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80" yWindow="0" windowWidth="13890" windowHeight="14955"/>
  </bookViews>
  <sheets>
    <sheet name="RATES" sheetId="1" r:id="rId1"/>
    <sheet name="FIT" sheetId="17" r:id="rId2"/>
    <sheet name="RESTATE" sheetId="3" r:id="rId3"/>
    <sheet name="13-PT AVERAGE" sheetId="25" r:id="rId4"/>
    <sheet name="PROFORMA" sheetId="2" r:id="rId5"/>
    <sheet name="RETURN" sheetId="4" r:id="rId6"/>
    <sheet name="PA-1 SALARY2018" sheetId="18" r:id="rId7"/>
    <sheet name="PA-2 MEDICAL INCREASE" sheetId="6" r:id="rId8"/>
    <sheet name="PA-3 DENTAL INCREASE" sheetId="12" state="hidden" r:id="rId9"/>
    <sheet name="PA-4 TACOMA BACK BILL" sheetId="20" r:id="rId10"/>
    <sheet name="PA-5 PROPERTY TAX INCREASE" sheetId="21" state="hidden" r:id="rId11"/>
    <sheet name="PA-5 RATE CASE COST 2019" sheetId="27" r:id="rId12"/>
    <sheet name="PA-6 RATE CASE COSTS PREVIOUS" sheetId="22" r:id="rId13"/>
    <sheet name="PA-7 DOH OP PERMIT FEE INCREASE" sheetId="23" state="hidden" r:id="rId14"/>
    <sheet name="PA-8 UCMR3 WATER TESTING" sheetId="24" state="hidden" r:id="rId15"/>
  </sheets>
  <definedNames>
    <definedName name="_PG1">RATES!$A$8</definedName>
    <definedName name="_PG3">RATES!$A$112:$J$161</definedName>
    <definedName name="_PG4">RATES!$A$163:$F$212</definedName>
    <definedName name="_PGE2">RATES!$A$54:$K$110</definedName>
    <definedName name="_Regression_Int" localSheetId="0" hidden="1">1</definedName>
    <definedName name="_xlnm.Print_Area" localSheetId="6">'PA-1 SALARY2018'!$A$1:$AB$223</definedName>
    <definedName name="_xlnm.Print_Area" localSheetId="7">'PA-2 MEDICAL INCREASE'!$A$1:$I$53</definedName>
    <definedName name="_xlnm.Print_Area" localSheetId="9">'PA-4 TACOMA BACK BILL'!#REF!</definedName>
    <definedName name="_xlnm.Print_Area" localSheetId="0">RATES!$A$55:$K$110</definedName>
    <definedName name="_xlnm.Print_Area" localSheetId="2">RESTATE!$A$1:$I$56</definedName>
    <definedName name="_xlnm.Print_Area" localSheetId="5">RETURN!$A$1:$I$42</definedName>
    <definedName name="Print_Area_MI">RATES!$A$55:$K$110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1" i="1" l="1"/>
  <c r="G92" i="1" l="1"/>
  <c r="G37" i="2"/>
  <c r="G12" i="27"/>
  <c r="H14" i="27" s="1"/>
  <c r="H16" i="27" s="1"/>
  <c r="C108" i="1" l="1"/>
  <c r="E20" i="25"/>
  <c r="E19" i="25"/>
  <c r="E18" i="25"/>
  <c r="E17" i="25"/>
  <c r="E16" i="25"/>
  <c r="E15" i="25"/>
  <c r="E14" i="25"/>
  <c r="E13" i="25"/>
  <c r="E12" i="25"/>
  <c r="E11" i="25"/>
  <c r="E10" i="25"/>
  <c r="C20" i="25" l="1"/>
  <c r="C19" i="25"/>
  <c r="C18" i="25"/>
  <c r="C17" i="25"/>
  <c r="C16" i="25"/>
  <c r="C15" i="25"/>
  <c r="C14" i="25"/>
  <c r="C13" i="25"/>
  <c r="C12" i="25"/>
  <c r="C11" i="25"/>
  <c r="C10" i="25"/>
  <c r="E22" i="25"/>
  <c r="C22" i="25" l="1"/>
  <c r="B13" i="4"/>
  <c r="I77" i="1"/>
  <c r="I76" i="1"/>
  <c r="D96" i="1"/>
  <c r="G76" i="1"/>
  <c r="F39" i="2"/>
  <c r="F41" i="2"/>
  <c r="F42" i="2" s="1"/>
  <c r="F43" i="2" s="1"/>
  <c r="F22" i="2"/>
  <c r="E13" i="20"/>
  <c r="E11" i="20"/>
  <c r="F9" i="25"/>
  <c r="H42" i="6" l="1"/>
  <c r="G42" i="6"/>
  <c r="G37" i="6"/>
  <c r="H37" i="6" s="1"/>
  <c r="G33" i="6"/>
  <c r="H33" i="6" s="1"/>
  <c r="G19" i="6"/>
  <c r="H19" i="6" s="1"/>
  <c r="AB217" i="18"/>
  <c r="Z217" i="18"/>
  <c r="X217" i="18"/>
  <c r="V217" i="18"/>
  <c r="T217" i="18"/>
  <c r="P217" i="18"/>
  <c r="L217" i="18"/>
  <c r="F217" i="18"/>
  <c r="B217" i="18"/>
  <c r="D102" i="18"/>
  <c r="D103" i="18"/>
  <c r="B52" i="18" l="1"/>
  <c r="B122" i="18" s="1"/>
  <c r="B167" i="18"/>
  <c r="B169" i="18"/>
  <c r="B170" i="18"/>
  <c r="J102" i="18"/>
  <c r="J103" i="18"/>
  <c r="L103" i="18" s="1"/>
  <c r="J100" i="18"/>
  <c r="L100" i="18" s="1"/>
  <c r="A82" i="18"/>
  <c r="A149" i="18" s="1"/>
  <c r="B82" i="18"/>
  <c r="A83" i="18"/>
  <c r="A150" i="18" s="1"/>
  <c r="B83" i="18"/>
  <c r="A84" i="18"/>
  <c r="A151" i="18" s="1"/>
  <c r="B84" i="18"/>
  <c r="A85" i="18"/>
  <c r="A152" i="18" s="1"/>
  <c r="B85" i="18"/>
  <c r="A86" i="18"/>
  <c r="A153" i="18" s="1"/>
  <c r="B86" i="18"/>
  <c r="A87" i="18"/>
  <c r="A154" i="18" s="1"/>
  <c r="B87" i="18"/>
  <c r="A88" i="18"/>
  <c r="A155" i="18" s="1"/>
  <c r="B88" i="18"/>
  <c r="A89" i="18"/>
  <c r="A156" i="18" s="1"/>
  <c r="B89" i="18"/>
  <c r="A90" i="18"/>
  <c r="A157" i="18" s="1"/>
  <c r="B90" i="18"/>
  <c r="A91" i="18"/>
  <c r="A158" i="18" s="1"/>
  <c r="B91" i="18"/>
  <c r="A92" i="18"/>
  <c r="A159" i="18" s="1"/>
  <c r="B92" i="18"/>
  <c r="A93" i="18"/>
  <c r="A160" i="18" s="1"/>
  <c r="B93" i="18"/>
  <c r="A94" i="18"/>
  <c r="A161" i="18" s="1"/>
  <c r="B94" i="18"/>
  <c r="A95" i="18"/>
  <c r="A162" i="18" s="1"/>
  <c r="B95" i="18"/>
  <c r="A96" i="18"/>
  <c r="A163" i="18" s="1"/>
  <c r="B96" i="18"/>
  <c r="A97" i="18"/>
  <c r="A164" i="18" s="1"/>
  <c r="B97" i="18"/>
  <c r="A98" i="18"/>
  <c r="A165" i="18" s="1"/>
  <c r="B98" i="18"/>
  <c r="A99" i="18"/>
  <c r="A166" i="18" s="1"/>
  <c r="B99" i="18"/>
  <c r="A100" i="18"/>
  <c r="A167" i="18" s="1"/>
  <c r="B100" i="18"/>
  <c r="A102" i="18"/>
  <c r="A169" i="18" s="1"/>
  <c r="B102" i="18"/>
  <c r="A103" i="18"/>
  <c r="A170" i="18" s="1"/>
  <c r="B103" i="18"/>
  <c r="A104" i="18"/>
  <c r="A171" i="18" s="1"/>
  <c r="B104" i="18"/>
  <c r="A105" i="18"/>
  <c r="A172" i="18" s="1"/>
  <c r="B105" i="18"/>
  <c r="A106" i="18"/>
  <c r="A173" i="18" s="1"/>
  <c r="B106" i="18"/>
  <c r="A107" i="18"/>
  <c r="A174" i="18" s="1"/>
  <c r="B107" i="18"/>
  <c r="A108" i="18"/>
  <c r="A175" i="18" s="1"/>
  <c r="B108" i="18"/>
  <c r="A109" i="18"/>
  <c r="A176" i="18" s="1"/>
  <c r="B109" i="18"/>
  <c r="A110" i="18"/>
  <c r="A177" i="18" s="1"/>
  <c r="B110" i="18"/>
  <c r="A111" i="18"/>
  <c r="A178" i="18" s="1"/>
  <c r="B111" i="18"/>
  <c r="A112" i="18"/>
  <c r="A179" i="18" s="1"/>
  <c r="B112" i="18"/>
  <c r="A113" i="18"/>
  <c r="A180" i="18" s="1"/>
  <c r="B113" i="18"/>
  <c r="A114" i="18"/>
  <c r="A181" i="18" s="1"/>
  <c r="B114" i="18"/>
  <c r="A115" i="18"/>
  <c r="A182" i="18" s="1"/>
  <c r="B115" i="18"/>
  <c r="A116" i="18"/>
  <c r="A183" i="18" s="1"/>
  <c r="B116" i="18"/>
  <c r="A117" i="18"/>
  <c r="A184" i="18" s="1"/>
  <c r="B117" i="18"/>
  <c r="A118" i="18"/>
  <c r="A185" i="18" s="1"/>
  <c r="B118" i="18"/>
  <c r="A119" i="18"/>
  <c r="A186" i="18" s="1"/>
  <c r="B119" i="18"/>
  <c r="A120" i="18"/>
  <c r="A187" i="18" s="1"/>
  <c r="B120" i="18"/>
  <c r="A121" i="18"/>
  <c r="A188" i="18" s="1"/>
  <c r="B121" i="18"/>
  <c r="A122" i="18"/>
  <c r="A189" i="18" s="1"/>
  <c r="A123" i="18"/>
  <c r="A190" i="18" s="1"/>
  <c r="B123" i="18"/>
  <c r="A124" i="18"/>
  <c r="A191" i="18" s="1"/>
  <c r="B124" i="18"/>
  <c r="D124" i="18" s="1"/>
  <c r="B56" i="18" l="1"/>
  <c r="B191" i="18"/>
  <c r="J124" i="18"/>
  <c r="L124" i="18" s="1"/>
  <c r="L102" i="18"/>
  <c r="C44" i="1"/>
  <c r="C18" i="1" l="1"/>
  <c r="E28" i="4" l="1"/>
  <c r="F18" i="4" s="1"/>
  <c r="H18" i="4" s="1"/>
  <c r="F41" i="12"/>
  <c r="G41" i="12" s="1"/>
  <c r="F37" i="12"/>
  <c r="G37" i="12" s="1"/>
  <c r="F35" i="12"/>
  <c r="G35" i="12" s="1"/>
  <c r="F30" i="12"/>
  <c r="G30" i="12" s="1"/>
  <c r="F43" i="12"/>
  <c r="G43" i="12" s="1"/>
  <c r="F19" i="12"/>
  <c r="G19" i="12" s="1"/>
  <c r="F17" i="12"/>
  <c r="G17" i="12" s="1"/>
  <c r="F48" i="12"/>
  <c r="G48" i="12" s="1"/>
  <c r="F44" i="12"/>
  <c r="G44" i="12" s="1"/>
  <c r="F39" i="12"/>
  <c r="G39" i="12" s="1"/>
  <c r="F26" i="12"/>
  <c r="G26" i="12" s="1"/>
  <c r="G40" i="6"/>
  <c r="H40" i="6" s="1"/>
  <c r="G35" i="6"/>
  <c r="H35" i="6" s="1"/>
  <c r="G17" i="6"/>
  <c r="H17" i="6" s="1"/>
  <c r="F36" i="1" l="1"/>
  <c r="I36" i="1" s="1"/>
  <c r="G64" i="1" l="1"/>
  <c r="G12" i="22" l="1"/>
  <c r="H14" i="22" s="1"/>
  <c r="H16" i="22" s="1"/>
  <c r="G7" i="22"/>
  <c r="G6" i="22"/>
  <c r="E19" i="3"/>
  <c r="E38" i="3" s="1"/>
  <c r="D67" i="1"/>
  <c r="D72" i="1" l="1"/>
  <c r="H82" i="21"/>
  <c r="J82" i="21"/>
  <c r="C87" i="1"/>
  <c r="C96" i="1"/>
  <c r="D98" i="1"/>
  <c r="C99" i="1"/>
  <c r="C73" i="1"/>
  <c r="C74" i="1"/>
  <c r="C75" i="1"/>
  <c r="C76" i="1"/>
  <c r="C77" i="1"/>
  <c r="C78" i="1"/>
  <c r="C79" i="1"/>
  <c r="C80" i="1"/>
  <c r="C81" i="1"/>
  <c r="C82" i="1"/>
  <c r="C83" i="1"/>
  <c r="C84" i="1"/>
  <c r="C86" i="1"/>
  <c r="C88" i="1"/>
  <c r="C89" i="1"/>
  <c r="C90" i="1"/>
  <c r="G24" i="6" l="1"/>
  <c r="H24" i="6" s="1"/>
  <c r="G28" i="6"/>
  <c r="H28" i="6" s="1"/>
  <c r="G46" i="6"/>
  <c r="H46" i="6" s="1"/>
  <c r="G45" i="6" l="1"/>
  <c r="H45" i="6" s="1"/>
  <c r="G38" i="6"/>
  <c r="H38" i="6" s="1"/>
  <c r="D122" i="18" l="1"/>
  <c r="B189" i="18" s="1"/>
  <c r="D123" i="18"/>
  <c r="B190" i="18" s="1"/>
  <c r="J123" i="18" l="1"/>
  <c r="L123" i="18" s="1"/>
  <c r="D104" i="18"/>
  <c r="B171" i="18" s="1"/>
  <c r="F17" i="4"/>
  <c r="H17" i="4" s="1"/>
  <c r="J104" i="18" l="1"/>
  <c r="L104" i="18" s="1"/>
  <c r="F16" i="4"/>
  <c r="I82" i="21" l="1"/>
  <c r="F52" i="12" l="1"/>
  <c r="G52" i="12" s="1"/>
  <c r="G13" i="6"/>
  <c r="D82" i="18" l="1"/>
  <c r="B149" i="18" s="1"/>
  <c r="D84" i="18"/>
  <c r="B151" i="18" s="1"/>
  <c r="D85" i="18"/>
  <c r="B152" i="18" s="1"/>
  <c r="D86" i="18"/>
  <c r="B153" i="18" s="1"/>
  <c r="D88" i="18"/>
  <c r="B155" i="18" s="1"/>
  <c r="D89" i="18"/>
  <c r="B156" i="18" s="1"/>
  <c r="D90" i="18"/>
  <c r="B157" i="18" s="1"/>
  <c r="D91" i="18"/>
  <c r="B158" i="18" s="1"/>
  <c r="D92" i="18"/>
  <c r="B159" i="18" s="1"/>
  <c r="D93" i="18"/>
  <c r="B160" i="18" s="1"/>
  <c r="D95" i="18"/>
  <c r="B162" i="18" s="1"/>
  <c r="D96" i="18"/>
  <c r="B163" i="18" s="1"/>
  <c r="D97" i="18"/>
  <c r="B164" i="18" s="1"/>
  <c r="D98" i="18"/>
  <c r="B165" i="18" s="1"/>
  <c r="D99" i="18"/>
  <c r="B166" i="18" s="1"/>
  <c r="D105" i="18"/>
  <c r="B172" i="18" s="1"/>
  <c r="D106" i="18"/>
  <c r="B173" i="18" s="1"/>
  <c r="D107" i="18"/>
  <c r="B174" i="18" s="1"/>
  <c r="D108" i="18"/>
  <c r="B175" i="18" s="1"/>
  <c r="D109" i="18"/>
  <c r="B176" i="18" s="1"/>
  <c r="D110" i="18"/>
  <c r="B177" i="18" s="1"/>
  <c r="D111" i="18"/>
  <c r="B178" i="18" s="1"/>
  <c r="D112" i="18"/>
  <c r="B179" i="18" s="1"/>
  <c r="D113" i="18"/>
  <c r="B180" i="18" s="1"/>
  <c r="D114" i="18"/>
  <c r="B181" i="18" s="1"/>
  <c r="D115" i="18"/>
  <c r="B182" i="18" s="1"/>
  <c r="D116" i="18"/>
  <c r="B183" i="18" s="1"/>
  <c r="D117" i="18"/>
  <c r="B184" i="18" s="1"/>
  <c r="D118" i="18"/>
  <c r="B185" i="18" s="1"/>
  <c r="D119" i="18"/>
  <c r="B186" i="18" s="1"/>
  <c r="D120" i="18"/>
  <c r="B187" i="18" s="1"/>
  <c r="D121" i="18"/>
  <c r="B188" i="18" s="1"/>
  <c r="J90" i="18" l="1"/>
  <c r="L90" i="18" s="1"/>
  <c r="J89" i="18"/>
  <c r="L89" i="18" s="1"/>
  <c r="J114" i="18"/>
  <c r="L114" i="18" s="1"/>
  <c r="J113" i="18"/>
  <c r="L113" i="18" s="1"/>
  <c r="J112" i="18"/>
  <c r="L112" i="18" s="1"/>
  <c r="J111" i="18"/>
  <c r="L111" i="18" s="1"/>
  <c r="B65" i="18"/>
  <c r="B68" i="18" s="1"/>
  <c r="C85" i="1"/>
  <c r="F50" i="12" l="1"/>
  <c r="G50" i="12" s="1"/>
  <c r="F49" i="12"/>
  <c r="G49" i="12" s="1"/>
  <c r="F25" i="12"/>
  <c r="G25" i="12" s="1"/>
  <c r="F11" i="25"/>
  <c r="F12" i="25"/>
  <c r="F13" i="25"/>
  <c r="F14" i="25"/>
  <c r="F15" i="25"/>
  <c r="F16" i="25"/>
  <c r="F17" i="25"/>
  <c r="F18" i="25"/>
  <c r="F19" i="25"/>
  <c r="F20" i="25"/>
  <c r="F21" i="25"/>
  <c r="F10" i="25"/>
  <c r="C26" i="25" l="1"/>
  <c r="E26" i="25" l="1"/>
  <c r="D105" i="1" s="1"/>
  <c r="D103" i="1"/>
  <c r="F24" i="25"/>
  <c r="F22" i="25"/>
  <c r="A81" i="18"/>
  <c r="A148" i="18" s="1"/>
  <c r="J99" i="18" l="1"/>
  <c r="L99" i="18" s="1"/>
  <c r="F26" i="25"/>
  <c r="E9" i="23"/>
  <c r="K20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J14" i="2"/>
  <c r="F8" i="24"/>
  <c r="J21" i="2" s="1"/>
  <c r="K21" i="2" s="1"/>
  <c r="I14" i="2"/>
  <c r="I22" i="2" l="1"/>
  <c r="K22" i="2" s="1"/>
  <c r="J39" i="2"/>
  <c r="J41" i="2" s="1"/>
  <c r="J42" i="2" l="1"/>
  <c r="J43" i="2" s="1"/>
  <c r="I39" i="2" l="1"/>
  <c r="H14" i="2"/>
  <c r="H37" i="2" l="1"/>
  <c r="I41" i="2"/>
  <c r="I83" i="21" l="1"/>
  <c r="I85" i="21"/>
  <c r="G36" i="2" s="1"/>
  <c r="H39" i="2"/>
  <c r="K37" i="2"/>
  <c r="I42" i="2"/>
  <c r="F33" i="12"/>
  <c r="G33" i="12" s="1"/>
  <c r="F29" i="12"/>
  <c r="G29" i="12" s="1"/>
  <c r="G31" i="6"/>
  <c r="H31" i="6" s="1"/>
  <c r="G27" i="6"/>
  <c r="H27" i="6" s="1"/>
  <c r="H41" i="2" l="1"/>
  <c r="I43" i="2"/>
  <c r="B133" i="18"/>
  <c r="D133" i="18" s="1"/>
  <c r="B128" i="18"/>
  <c r="D128" i="18" s="1"/>
  <c r="B129" i="18"/>
  <c r="D129" i="18" s="1"/>
  <c r="B130" i="18"/>
  <c r="B131" i="18"/>
  <c r="D131" i="18" s="1"/>
  <c r="H42" i="2" l="1"/>
  <c r="J93" i="18"/>
  <c r="L93" i="18" s="1"/>
  <c r="G63" i="1"/>
  <c r="D63" i="1"/>
  <c r="H43" i="2" l="1"/>
  <c r="G14" i="6"/>
  <c r="G16" i="6"/>
  <c r="H16" i="6" s="1"/>
  <c r="G18" i="6"/>
  <c r="G20" i="6"/>
  <c r="G21" i="6"/>
  <c r="G22" i="6"/>
  <c r="G23" i="6"/>
  <c r="G25" i="6"/>
  <c r="G26" i="6"/>
  <c r="G29" i="6"/>
  <c r="H29" i="6" s="1"/>
  <c r="G30" i="6"/>
  <c r="G32" i="6"/>
  <c r="H32" i="6" s="1"/>
  <c r="G34" i="6"/>
  <c r="G36" i="6"/>
  <c r="G39" i="6"/>
  <c r="G41" i="6"/>
  <c r="H41" i="6" s="1"/>
  <c r="G43" i="6"/>
  <c r="G44" i="6"/>
  <c r="G47" i="6"/>
  <c r="G48" i="6"/>
  <c r="G49" i="6"/>
  <c r="E15" i="3" l="1"/>
  <c r="F15" i="3"/>
  <c r="F38" i="3" s="1"/>
  <c r="C15" i="3"/>
  <c r="G68" i="1"/>
  <c r="F67" i="1"/>
  <c r="G103" i="1"/>
  <c r="I67" i="1" l="1"/>
  <c r="K67" i="1" s="1"/>
  <c r="B200" i="18" l="1"/>
  <c r="B196" i="18"/>
  <c r="B197" i="18"/>
  <c r="B198" i="18"/>
  <c r="B195" i="18" l="1"/>
  <c r="J129" i="18"/>
  <c r="L129" i="18" s="1"/>
  <c r="J88" i="18"/>
  <c r="J86" i="18"/>
  <c r="L86" i="18" s="1"/>
  <c r="J121" i="18"/>
  <c r="L121" i="18" s="1"/>
  <c r="F51" i="12"/>
  <c r="G51" i="12" s="1"/>
  <c r="F14" i="12"/>
  <c r="F15" i="12"/>
  <c r="F16" i="12"/>
  <c r="F18" i="12"/>
  <c r="F20" i="12"/>
  <c r="F21" i="12"/>
  <c r="F22" i="12"/>
  <c r="F23" i="12"/>
  <c r="F24" i="12"/>
  <c r="F27" i="12"/>
  <c r="F28" i="12"/>
  <c r="F31" i="12"/>
  <c r="F32" i="12"/>
  <c r="F34" i="12"/>
  <c r="F36" i="12"/>
  <c r="F38" i="12"/>
  <c r="F40" i="12"/>
  <c r="F42" i="12"/>
  <c r="F45" i="12"/>
  <c r="G45" i="12" s="1"/>
  <c r="F46" i="12"/>
  <c r="G46" i="12" s="1"/>
  <c r="F47" i="12"/>
  <c r="F13" i="12"/>
  <c r="H44" i="6"/>
  <c r="H20" i="6"/>
  <c r="G42" i="12" l="1"/>
  <c r="G40" i="12"/>
  <c r="G38" i="12"/>
  <c r="G36" i="12"/>
  <c r="G34" i="12"/>
  <c r="H47" i="6"/>
  <c r="H48" i="6"/>
  <c r="H49" i="6"/>
  <c r="H230" i="18" l="1"/>
  <c r="J230" i="18" s="1"/>
  <c r="H229" i="18"/>
  <c r="J229" i="18" s="1"/>
  <c r="D219" i="18"/>
  <c r="H211" i="18"/>
  <c r="H215" i="18" s="1"/>
  <c r="H209" i="18"/>
  <c r="D204" i="18"/>
  <c r="D211" i="18" s="1"/>
  <c r="H141" i="18"/>
  <c r="B132" i="18"/>
  <c r="D132" i="18" s="1"/>
  <c r="B81" i="18"/>
  <c r="R68" i="18"/>
  <c r="N68" i="18"/>
  <c r="J68" i="18"/>
  <c r="H68" i="18"/>
  <c r="D68" i="18"/>
  <c r="AB24" i="18"/>
  <c r="AB68" i="18" s="1"/>
  <c r="AB69" i="18" s="1"/>
  <c r="Z24" i="18"/>
  <c r="Z68" i="18" s="1"/>
  <c r="Z69" i="18" s="1"/>
  <c r="X24" i="18"/>
  <c r="X68" i="18" s="1"/>
  <c r="X69" i="18" s="1"/>
  <c r="V24" i="18"/>
  <c r="V68" i="18" s="1"/>
  <c r="V69" i="18" s="1"/>
  <c r="T24" i="18"/>
  <c r="T68" i="18" s="1"/>
  <c r="T69" i="18" s="1"/>
  <c r="P24" i="18"/>
  <c r="P68" i="18" s="1"/>
  <c r="P69" i="18" s="1"/>
  <c r="L24" i="18"/>
  <c r="L68" i="18" s="1"/>
  <c r="L69" i="18" s="1"/>
  <c r="F24" i="18"/>
  <c r="AD21" i="18"/>
  <c r="AD20" i="18"/>
  <c r="AD19" i="18"/>
  <c r="AD18" i="18"/>
  <c r="AD17" i="18"/>
  <c r="AD16" i="18"/>
  <c r="AD15" i="18"/>
  <c r="AD14" i="18"/>
  <c r="AD13" i="18"/>
  <c r="AD12" i="18"/>
  <c r="AD11" i="18"/>
  <c r="AD10" i="18"/>
  <c r="B126" i="18" l="1"/>
  <c r="D81" i="18"/>
  <c r="F68" i="18"/>
  <c r="F69" i="18" s="1"/>
  <c r="F219" i="18" s="1"/>
  <c r="AD24" i="18"/>
  <c r="AE26" i="18" s="1"/>
  <c r="B199" i="18"/>
  <c r="B135" i="18"/>
  <c r="C17" i="1" s="1"/>
  <c r="AE21" i="18"/>
  <c r="J69" i="18"/>
  <c r="R69" i="18"/>
  <c r="D215" i="18"/>
  <c r="D217" i="18"/>
  <c r="H69" i="18"/>
  <c r="N69" i="18"/>
  <c r="J231" i="18"/>
  <c r="B221" i="18" s="1"/>
  <c r="H217" i="18"/>
  <c r="C16" i="1" l="1"/>
  <c r="C71" i="1" s="1"/>
  <c r="C72" i="1"/>
  <c r="AE24" i="18"/>
  <c r="J132" i="18"/>
  <c r="L132" i="18" s="1"/>
  <c r="D135" i="18"/>
  <c r="B202" i="18"/>
  <c r="C18" i="2" s="1"/>
  <c r="N221" i="18"/>
  <c r="R221" i="18"/>
  <c r="F221" i="18"/>
  <c r="AB221" i="18"/>
  <c r="X221" i="18"/>
  <c r="T221" i="18"/>
  <c r="L221" i="18"/>
  <c r="Z221" i="18"/>
  <c r="V221" i="18"/>
  <c r="P221" i="18"/>
  <c r="D223" i="18"/>
  <c r="J221" i="18"/>
  <c r="AC68" i="18"/>
  <c r="H221" i="18"/>
  <c r="AC69" i="18"/>
  <c r="AE69" i="18" s="1"/>
  <c r="C38" i="1" l="1"/>
  <c r="K18" i="2"/>
  <c r="G72" i="1"/>
  <c r="AC221" i="18"/>
  <c r="AD221" i="18" s="1"/>
  <c r="H223" i="18"/>
  <c r="E49" i="2" l="1"/>
  <c r="K49" i="2" s="1"/>
  <c r="G27" i="12"/>
  <c r="G14" i="12"/>
  <c r="H39" i="6"/>
  <c r="H23" i="6"/>
  <c r="H14" i="6"/>
  <c r="C93" i="1"/>
  <c r="H43" i="6"/>
  <c r="H13" i="6"/>
  <c r="C51" i="1"/>
  <c r="C103" i="1"/>
  <c r="F103" i="1" s="1"/>
  <c r="D104" i="1"/>
  <c r="C105" i="1"/>
  <c r="F105" i="1" s="1"/>
  <c r="C104" i="1"/>
  <c r="C13" i="1"/>
  <c r="D12" i="17"/>
  <c r="H18" i="6"/>
  <c r="H21" i="6"/>
  <c r="H22" i="6"/>
  <c r="H25" i="6"/>
  <c r="H26" i="6"/>
  <c r="H30" i="6"/>
  <c r="H34" i="6"/>
  <c r="H36" i="6"/>
  <c r="G13" i="12"/>
  <c r="G15" i="12"/>
  <c r="G16" i="12"/>
  <c r="G18" i="12"/>
  <c r="G20" i="12"/>
  <c r="G21" i="12"/>
  <c r="G22" i="12"/>
  <c r="G23" i="12"/>
  <c r="G24" i="12"/>
  <c r="G28" i="12"/>
  <c r="G31" i="12"/>
  <c r="G32" i="12"/>
  <c r="G47" i="12"/>
  <c r="E14" i="2"/>
  <c r="F99" i="1"/>
  <c r="I99" i="1" s="1"/>
  <c r="K99" i="1" s="1"/>
  <c r="D9" i="17" s="1"/>
  <c r="C33" i="3"/>
  <c r="C36" i="3"/>
  <c r="I36" i="3" s="1"/>
  <c r="B11" i="4"/>
  <c r="B15" i="4" s="1"/>
  <c r="B30" i="4" s="1"/>
  <c r="C14" i="2"/>
  <c r="G14" i="2"/>
  <c r="G39" i="2"/>
  <c r="D14" i="2"/>
  <c r="K14" i="2" s="1"/>
  <c r="K10" i="2"/>
  <c r="K11" i="2"/>
  <c r="K12" i="2"/>
  <c r="K13" i="2"/>
  <c r="K9" i="2"/>
  <c r="C66" i="1"/>
  <c r="F66" i="1" s="1"/>
  <c r="I66" i="1" s="1"/>
  <c r="K66" i="1" s="1"/>
  <c r="F88" i="1"/>
  <c r="I88" i="1" s="1"/>
  <c r="K88" i="1" s="1"/>
  <c r="D13" i="1"/>
  <c r="D38" i="1"/>
  <c r="G13" i="1"/>
  <c r="G38" i="1"/>
  <c r="J13" i="1"/>
  <c r="J38" i="1"/>
  <c r="F44" i="1"/>
  <c r="I44" i="1" s="1"/>
  <c r="K44" i="1" s="1"/>
  <c r="F85" i="1"/>
  <c r="I85" i="1" s="1"/>
  <c r="K85" i="1" s="1"/>
  <c r="F84" i="1"/>
  <c r="I84" i="1" s="1"/>
  <c r="K84" i="1" s="1"/>
  <c r="F76" i="1"/>
  <c r="K76" i="1" s="1"/>
  <c r="F73" i="1"/>
  <c r="C63" i="1"/>
  <c r="C64" i="1"/>
  <c r="F64" i="1" s="1"/>
  <c r="C65" i="1"/>
  <c r="F12" i="1"/>
  <c r="I12" i="1" s="1"/>
  <c r="K12" i="1" s="1"/>
  <c r="F9" i="1"/>
  <c r="I9" i="1" s="1"/>
  <c r="K9" i="1" s="1"/>
  <c r="F10" i="1"/>
  <c r="I10" i="1" s="1"/>
  <c r="K10" i="1" s="1"/>
  <c r="F11" i="1"/>
  <c r="I11" i="1" s="1"/>
  <c r="K11" i="1" s="1"/>
  <c r="F16" i="1"/>
  <c r="I16" i="1" s="1"/>
  <c r="K16" i="1" s="1"/>
  <c r="F17" i="1"/>
  <c r="I17" i="1" s="1"/>
  <c r="K17" i="1" s="1"/>
  <c r="F18" i="1"/>
  <c r="I18" i="1" s="1"/>
  <c r="K18" i="1" s="1"/>
  <c r="F19" i="1"/>
  <c r="I19" i="1" s="1"/>
  <c r="K19" i="1" s="1"/>
  <c r="F20" i="1"/>
  <c r="I20" i="1" s="1"/>
  <c r="K20" i="1" s="1"/>
  <c r="F21" i="1"/>
  <c r="I21" i="1" s="1"/>
  <c r="K21" i="1" s="1"/>
  <c r="F22" i="1"/>
  <c r="I22" i="1" s="1"/>
  <c r="K22" i="1" s="1"/>
  <c r="F23" i="1"/>
  <c r="I23" i="1" s="1"/>
  <c r="K23" i="1" s="1"/>
  <c r="F24" i="1"/>
  <c r="I24" i="1" s="1"/>
  <c r="K24" i="1" s="1"/>
  <c r="F25" i="1"/>
  <c r="I25" i="1" s="1"/>
  <c r="K25" i="1" s="1"/>
  <c r="F26" i="1"/>
  <c r="I26" i="1" s="1"/>
  <c r="K26" i="1" s="1"/>
  <c r="F27" i="1"/>
  <c r="I27" i="1" s="1"/>
  <c r="K27" i="1" s="1"/>
  <c r="F28" i="1"/>
  <c r="I28" i="1" s="1"/>
  <c r="K28" i="1" s="1"/>
  <c r="F29" i="1"/>
  <c r="I29" i="1" s="1"/>
  <c r="K29" i="1" s="1"/>
  <c r="F30" i="1"/>
  <c r="I30" i="1" s="1"/>
  <c r="K30" i="1" s="1"/>
  <c r="F31" i="1"/>
  <c r="I31" i="1" s="1"/>
  <c r="K31" i="1" s="1"/>
  <c r="F32" i="1"/>
  <c r="I32" i="1" s="1"/>
  <c r="K32" i="1" s="1"/>
  <c r="F33" i="1"/>
  <c r="I33" i="1" s="1"/>
  <c r="K33" i="1" s="1"/>
  <c r="F34" i="1"/>
  <c r="I34" i="1" s="1"/>
  <c r="K34" i="1" s="1"/>
  <c r="F35" i="1"/>
  <c r="I35" i="1" s="1"/>
  <c r="K35" i="1" s="1"/>
  <c r="F78" i="1"/>
  <c r="I78" i="1" s="1"/>
  <c r="K78" i="1" s="1"/>
  <c r="F79" i="1"/>
  <c r="I79" i="1" s="1"/>
  <c r="K79" i="1" s="1"/>
  <c r="F80" i="1"/>
  <c r="I80" i="1" s="1"/>
  <c r="K80" i="1" s="1"/>
  <c r="F81" i="1"/>
  <c r="I81" i="1" s="1"/>
  <c r="K81" i="1" s="1"/>
  <c r="F82" i="1"/>
  <c r="I82" i="1" s="1"/>
  <c r="K82" i="1" s="1"/>
  <c r="F83" i="1"/>
  <c r="I83" i="1" s="1"/>
  <c r="K83" i="1" s="1"/>
  <c r="F87" i="1"/>
  <c r="I87" i="1" s="1"/>
  <c r="K87" i="1" s="1"/>
  <c r="C61" i="1"/>
  <c r="K36" i="1"/>
  <c r="K37" i="1"/>
  <c r="F48" i="1"/>
  <c r="I48" i="1" s="1"/>
  <c r="K48" i="1" s="1"/>
  <c r="F49" i="1"/>
  <c r="I49" i="1" s="1"/>
  <c r="K49" i="1" s="1"/>
  <c r="F50" i="1"/>
  <c r="I50" i="1" s="1"/>
  <c r="K50" i="1" s="1"/>
  <c r="D51" i="1"/>
  <c r="G51" i="1"/>
  <c r="J51" i="1"/>
  <c r="F71" i="1"/>
  <c r="F72" i="1"/>
  <c r="F74" i="1"/>
  <c r="I74" i="1" s="1"/>
  <c r="K74" i="1" s="1"/>
  <c r="F75" i="1"/>
  <c r="I75" i="1" s="1"/>
  <c r="K75" i="1" s="1"/>
  <c r="F77" i="1"/>
  <c r="K77" i="1" s="1"/>
  <c r="J108" i="1"/>
  <c r="F89" i="1"/>
  <c r="I89" i="1" s="1"/>
  <c r="F41" i="3"/>
  <c r="E41" i="3"/>
  <c r="I3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4" i="3"/>
  <c r="I35" i="3"/>
  <c r="I39" i="3"/>
  <c r="I10" i="3"/>
  <c r="I11" i="3"/>
  <c r="I13" i="3"/>
  <c r="H40" i="4"/>
  <c r="F12" i="4" l="1"/>
  <c r="H12" i="4" s="1"/>
  <c r="H16" i="4"/>
  <c r="F15" i="4"/>
  <c r="H15" i="4" s="1"/>
  <c r="C40" i="1"/>
  <c r="D6" i="17" s="1"/>
  <c r="G40" i="1"/>
  <c r="G41" i="1" s="1"/>
  <c r="G42" i="1" s="1"/>
  <c r="G45" i="1" s="1"/>
  <c r="G41" i="2"/>
  <c r="G42" i="2" s="1"/>
  <c r="H51" i="6"/>
  <c r="E43" i="3"/>
  <c r="F92" i="1" s="1"/>
  <c r="D40" i="1"/>
  <c r="D41" i="1" s="1"/>
  <c r="F41" i="1" s="1"/>
  <c r="F104" i="1"/>
  <c r="I104" i="1" s="1"/>
  <c r="K104" i="1" s="1"/>
  <c r="C68" i="1"/>
  <c r="F43" i="3"/>
  <c r="F44" i="3" s="1"/>
  <c r="F45" i="3" s="1"/>
  <c r="J40" i="1"/>
  <c r="J41" i="1" s="1"/>
  <c r="J42" i="1" s="1"/>
  <c r="J45" i="1" s="1"/>
  <c r="F13" i="4"/>
  <c r="H13" i="4" s="1"/>
  <c r="E31" i="4"/>
  <c r="F11" i="4"/>
  <c r="H11" i="4" s="1"/>
  <c r="F14" i="4"/>
  <c r="H14" i="4" s="1"/>
  <c r="G54" i="12"/>
  <c r="G56" i="12" s="1"/>
  <c r="F38" i="1"/>
  <c r="I38" i="1" s="1"/>
  <c r="F13" i="1"/>
  <c r="I13" i="1" s="1"/>
  <c r="K13" i="1" s="1"/>
  <c r="I64" i="1"/>
  <c r="D42" i="1"/>
  <c r="I51" i="1"/>
  <c r="K51" i="1" s="1"/>
  <c r="F51" i="1"/>
  <c r="C38" i="3"/>
  <c r="C95" i="1" l="1"/>
  <c r="C97" i="1" s="1"/>
  <c r="C100" i="1" s="1"/>
  <c r="C42" i="1"/>
  <c r="C53" i="1" s="1"/>
  <c r="H53" i="6"/>
  <c r="D19" i="2" s="1"/>
  <c r="E19" i="2"/>
  <c r="E39" i="2" s="1"/>
  <c r="E41" i="2" s="1"/>
  <c r="E42" i="2" s="1"/>
  <c r="E43" i="2" s="1"/>
  <c r="I41" i="1"/>
  <c r="G43" i="2"/>
  <c r="F28" i="4"/>
  <c r="I92" i="1"/>
  <c r="K92" i="1" s="1"/>
  <c r="E44" i="3"/>
  <c r="E45" i="3" s="1"/>
  <c r="F65" i="1"/>
  <c r="I65" i="1" s="1"/>
  <c r="K65" i="1" s="1"/>
  <c r="I12" i="3"/>
  <c r="D15" i="3"/>
  <c r="I9" i="3"/>
  <c r="I105" i="1"/>
  <c r="K105" i="1" s="1"/>
  <c r="F108" i="1"/>
  <c r="F40" i="1"/>
  <c r="E38" i="4"/>
  <c r="C41" i="3"/>
  <c r="C43" i="3" s="1"/>
  <c r="I40" i="1"/>
  <c r="K38" i="1"/>
  <c r="K40" i="1" s="1"/>
  <c r="K41" i="1" s="1"/>
  <c r="D45" i="1"/>
  <c r="C110" i="1" l="1"/>
  <c r="C45" i="1"/>
  <c r="F45" i="1" s="1"/>
  <c r="I45" i="1" s="1"/>
  <c r="F42" i="1"/>
  <c r="I42" i="1" s="1"/>
  <c r="G73" i="1"/>
  <c r="I73" i="1" s="1"/>
  <c r="K73" i="1" s="1"/>
  <c r="D39" i="2"/>
  <c r="D41" i="2" s="1"/>
  <c r="K19" i="2"/>
  <c r="H28" i="4"/>
  <c r="G31" i="4" s="1"/>
  <c r="G38" i="4" s="1"/>
  <c r="H38" i="4" s="1"/>
  <c r="H42" i="4" s="1"/>
  <c r="D68" i="1"/>
  <c r="F63" i="1"/>
  <c r="D38" i="3"/>
  <c r="D90" i="1" s="1"/>
  <c r="I15" i="3"/>
  <c r="D33" i="3"/>
  <c r="D86" i="1" s="1"/>
  <c r="C44" i="3"/>
  <c r="C45" i="3" s="1"/>
  <c r="F53" i="1" l="1"/>
  <c r="D41" i="3"/>
  <c r="D43" i="3" s="1"/>
  <c r="D44" i="3" s="1"/>
  <c r="D45" i="3" s="1"/>
  <c r="I33" i="3"/>
  <c r="F90" i="1"/>
  <c r="I38" i="3"/>
  <c r="I63" i="1"/>
  <c r="I68" i="1" s="1"/>
  <c r="F68" i="1"/>
  <c r="D42" i="2"/>
  <c r="D43" i="2" s="1"/>
  <c r="K42" i="1"/>
  <c r="I53" i="1"/>
  <c r="I41" i="3" l="1"/>
  <c r="I43" i="3" s="1"/>
  <c r="I44" i="3" s="1"/>
  <c r="I45" i="3" s="1"/>
  <c r="F86" i="1"/>
  <c r="D93" i="1"/>
  <c r="D95" i="1" s="1"/>
  <c r="K53" i="1"/>
  <c r="K45" i="1"/>
  <c r="I86" i="1" l="1"/>
  <c r="F93" i="1"/>
  <c r="F95" i="1"/>
  <c r="F96" i="1"/>
  <c r="D97" i="1" l="1"/>
  <c r="D100" i="1" s="1"/>
  <c r="F100" i="1" s="1"/>
  <c r="F97" i="1"/>
  <c r="F110" i="1" s="1"/>
  <c r="C46" i="2"/>
  <c r="K46" i="2" l="1"/>
  <c r="G108" i="1" l="1"/>
  <c r="I108" i="1" s="1"/>
  <c r="E35" i="4" s="1"/>
  <c r="E33" i="4" s="1"/>
  <c r="I103" i="1"/>
  <c r="K103" i="1" s="1"/>
  <c r="F31" i="4" l="1"/>
  <c r="H31" i="4" s="1"/>
  <c r="B20" i="4"/>
  <c r="K108" i="1"/>
  <c r="E40" i="4" l="1"/>
  <c r="E42" i="4" s="1"/>
  <c r="F33" i="4"/>
  <c r="H33" i="4" s="1"/>
  <c r="H35" i="4" s="1"/>
  <c r="B22" i="4" s="1"/>
  <c r="B24" i="4" s="1"/>
  <c r="J128" i="18"/>
  <c r="J82" i="18"/>
  <c r="L82" i="18" s="1"/>
  <c r="J84" i="18"/>
  <c r="L84" i="18" s="1"/>
  <c r="J85" i="18"/>
  <c r="L85" i="18" s="1"/>
  <c r="L88" i="18"/>
  <c r="J91" i="18"/>
  <c r="L91" i="18" s="1"/>
  <c r="J92" i="18"/>
  <c r="L92" i="18" s="1"/>
  <c r="J95" i="18"/>
  <c r="L95" i="18" s="1"/>
  <c r="J130" i="18"/>
  <c r="L130" i="18" s="1"/>
  <c r="J131" i="18"/>
  <c r="L131" i="18" s="1"/>
  <c r="J96" i="18"/>
  <c r="L96" i="18" s="1"/>
  <c r="J97" i="18"/>
  <c r="L97" i="18" s="1"/>
  <c r="L128" i="18" l="1"/>
  <c r="J98" i="18"/>
  <c r="L98" i="18" s="1"/>
  <c r="J105" i="18"/>
  <c r="L105" i="18" s="1"/>
  <c r="J106" i="18"/>
  <c r="L106" i="18" s="1"/>
  <c r="J107" i="18"/>
  <c r="L107" i="18" s="1"/>
  <c r="J108" i="18"/>
  <c r="L108" i="18" s="1"/>
  <c r="J109" i="18"/>
  <c r="L109" i="18" s="1"/>
  <c r="J110" i="18"/>
  <c r="L110" i="18" s="1"/>
  <c r="J115" i="18"/>
  <c r="L115" i="18" s="1"/>
  <c r="J116" i="18"/>
  <c r="L116" i="18" s="1"/>
  <c r="J117" i="18"/>
  <c r="L117" i="18" s="1"/>
  <c r="J118" i="18"/>
  <c r="L118" i="18" s="1"/>
  <c r="J119" i="18"/>
  <c r="L119" i="18" s="1"/>
  <c r="J120" i="18"/>
  <c r="L120" i="18" s="1"/>
  <c r="I72" i="1"/>
  <c r="K72" i="1" s="1"/>
  <c r="J122" i="18" l="1"/>
  <c r="L122" i="18" s="1"/>
  <c r="J133" i="18" l="1"/>
  <c r="J135" i="18" s="1"/>
  <c r="L133" i="18" l="1"/>
  <c r="L135" i="18" s="1"/>
  <c r="B137" i="18" l="1"/>
  <c r="D10" i="17"/>
  <c r="D83" i="18"/>
  <c r="B150" i="18" s="1"/>
  <c r="J83" i="18" l="1"/>
  <c r="L83" i="18" l="1"/>
  <c r="D94" i="18"/>
  <c r="B161" i="18" s="1"/>
  <c r="J94" i="18" l="1"/>
  <c r="L94" i="18" s="1"/>
  <c r="D87" i="18"/>
  <c r="B154" i="18" s="1"/>
  <c r="J87" i="18" l="1"/>
  <c r="L87" i="18" l="1"/>
  <c r="J63" i="1" l="1"/>
  <c r="L63" i="1" l="1"/>
  <c r="K63" i="1"/>
  <c r="J81" i="18"/>
  <c r="J126" i="18" l="1"/>
  <c r="J137" i="18" s="1"/>
  <c r="L81" i="18"/>
  <c r="L126" i="18" s="1"/>
  <c r="L137" i="18" s="1"/>
  <c r="B148" i="18"/>
  <c r="B193" i="18" s="1"/>
  <c r="D126" i="18"/>
  <c r="D137" i="18" s="1"/>
  <c r="H137" i="18" s="1"/>
  <c r="B204" i="18" l="1"/>
  <c r="C17" i="2"/>
  <c r="K17" i="2" l="1"/>
  <c r="G71" i="1"/>
  <c r="T204" i="18"/>
  <c r="T211" i="18" s="1"/>
  <c r="T215" i="18" s="1"/>
  <c r="T223" i="18" s="1"/>
  <c r="N204" i="18"/>
  <c r="N211" i="18" s="1"/>
  <c r="P204" i="18"/>
  <c r="P211" i="18" s="1"/>
  <c r="P215" i="18" s="1"/>
  <c r="P223" i="18" s="1"/>
  <c r="J204" i="18"/>
  <c r="J211" i="18" s="1"/>
  <c r="L204" i="18"/>
  <c r="R204" i="18"/>
  <c r="R211" i="18" s="1"/>
  <c r="V204" i="18"/>
  <c r="V211" i="18" s="1"/>
  <c r="V215" i="18" s="1"/>
  <c r="V223" i="18" s="1"/>
  <c r="AB204" i="18"/>
  <c r="AB211" i="18" s="1"/>
  <c r="AB215" i="18" s="1"/>
  <c r="AB223" i="18" s="1"/>
  <c r="X204" i="18"/>
  <c r="X211" i="18" s="1"/>
  <c r="X215" i="18" s="1"/>
  <c r="X223" i="18" s="1"/>
  <c r="Z204" i="18"/>
  <c r="Z211" i="18" s="1"/>
  <c r="Z215" i="18" s="1"/>
  <c r="Z223" i="18" s="1"/>
  <c r="F204" i="18"/>
  <c r="J217" i="18" l="1"/>
  <c r="J215" i="18"/>
  <c r="I71" i="1"/>
  <c r="L211" i="18"/>
  <c r="L215" i="18" s="1"/>
  <c r="L223" i="18" s="1"/>
  <c r="AC204" i="18"/>
  <c r="AE204" i="18" s="1"/>
  <c r="F211" i="18"/>
  <c r="R217" i="18"/>
  <c r="R215" i="18"/>
  <c r="N217" i="18"/>
  <c r="N215" i="18"/>
  <c r="R223" i="18" l="1"/>
  <c r="AC217" i="18"/>
  <c r="AD217" i="18" s="1"/>
  <c r="N223" i="18"/>
  <c r="J223" i="18"/>
  <c r="K71" i="1"/>
  <c r="AC211" i="18"/>
  <c r="F215" i="18"/>
  <c r="F223" i="18" l="1"/>
  <c r="AC223" i="18" s="1"/>
  <c r="AC215" i="18"/>
  <c r="C36" i="2" l="1"/>
  <c r="AD223" i="18"/>
  <c r="G90" i="1" l="1"/>
  <c r="G93" i="1" s="1"/>
  <c r="K36" i="2"/>
  <c r="C39" i="2"/>
  <c r="K39" i="2" l="1"/>
  <c r="C41" i="2"/>
  <c r="I90" i="1"/>
  <c r="G95" i="1"/>
  <c r="G96" i="1" s="1"/>
  <c r="I93" i="1" l="1"/>
  <c r="I96" i="1"/>
  <c r="I95" i="1"/>
  <c r="K41" i="2"/>
  <c r="C42" i="2"/>
  <c r="K42" i="2" s="1"/>
  <c r="C43" i="2" l="1"/>
  <c r="K43" i="2" s="1"/>
  <c r="G97" i="1"/>
  <c r="G100" i="1" l="1"/>
  <c r="I100" i="1" s="1"/>
  <c r="I97" i="1"/>
  <c r="I110" i="1" l="1"/>
  <c r="B26" i="4"/>
  <c r="B28" i="4" s="1"/>
  <c r="B32" i="4" s="1"/>
  <c r="B44" i="4" s="1"/>
  <c r="C47" i="4" l="1"/>
  <c r="C51" i="4"/>
  <c r="C53" i="4"/>
  <c r="C54" i="4"/>
  <c r="C55" i="4" l="1"/>
  <c r="J64" i="1"/>
  <c r="C48" i="4"/>
  <c r="C57" i="4" l="1"/>
  <c r="C58" i="4" s="1"/>
  <c r="C59" i="4" s="1"/>
  <c r="M65" i="1"/>
  <c r="L64" i="1"/>
  <c r="J68" i="1"/>
  <c r="K64" i="1"/>
  <c r="M64" i="1" s="1"/>
  <c r="L68" i="1" l="1"/>
  <c r="J90" i="1"/>
  <c r="K90" i="1" s="1"/>
  <c r="J86" i="1"/>
  <c r="K68" i="1"/>
  <c r="J89" i="1"/>
  <c r="K89" i="1" s="1"/>
  <c r="K86" i="1" l="1"/>
  <c r="J93" i="1"/>
  <c r="K93" i="1" l="1"/>
  <c r="J95" i="1"/>
  <c r="J96" i="1" s="1"/>
  <c r="K96" i="1" l="1"/>
  <c r="K95" i="1"/>
  <c r="J97" i="1" l="1"/>
  <c r="J100" i="1" s="1"/>
  <c r="K100" i="1" s="1"/>
  <c r="K97" i="1" l="1"/>
  <c r="K110" i="1" s="1"/>
</calcChain>
</file>

<file path=xl/comments1.xml><?xml version="1.0" encoding="utf-8"?>
<comments xmlns="http://schemas.openxmlformats.org/spreadsheetml/2006/main">
  <authors>
    <author>Irene Murakami</author>
    <author>Bob Blackman</author>
  </authors>
  <commentList>
    <comment ref="E23" authorId="0">
      <text>
        <r>
          <rPr>
            <b/>
            <sz val="8"/>
            <color indexed="81"/>
            <rFont val="Tahoma"/>
            <family val="2"/>
          </rPr>
          <t>Irene Murakami:</t>
        </r>
        <r>
          <rPr>
            <sz val="8"/>
            <color indexed="81"/>
            <rFont val="Tahoma"/>
            <family val="2"/>
          </rPr>
          <t xml:space="preserve">
Old address 4709 Pt Fosdick Dr NW &amp; 4689 48th St</t>
        </r>
      </text>
    </comment>
    <comment ref="B49" authorId="1">
      <text>
        <r>
          <rPr>
            <b/>
            <sz val="8"/>
            <color indexed="81"/>
            <rFont val="Tahoma"/>
            <family val="2"/>
          </rPr>
          <t>Bob Blackman:</t>
        </r>
        <r>
          <rPr>
            <sz val="8"/>
            <color indexed="81"/>
            <rFont val="Tahoma"/>
            <family val="2"/>
          </rPr>
          <t xml:space="preserve">
changed 6/22/07
due to binding site plan  
</t>
        </r>
      </text>
    </comment>
  </commentList>
</comments>
</file>

<file path=xl/sharedStrings.xml><?xml version="1.0" encoding="utf-8"?>
<sst xmlns="http://schemas.openxmlformats.org/spreadsheetml/2006/main" count="1004" uniqueCount="559">
  <si>
    <t>Rainier View Water Co.,Inc.</t>
  </si>
  <si>
    <t>Results of Operations</t>
  </si>
  <si>
    <t>PER BOOKS</t>
  </si>
  <si>
    <t>PROFORMA</t>
  </si>
  <si>
    <t>YEAR END</t>
  </si>
  <si>
    <t xml:space="preserve">  RESTATE</t>
  </si>
  <si>
    <t>RESTATED</t>
  </si>
  <si>
    <t xml:space="preserve"> BEFORE</t>
  </si>
  <si>
    <t>EFFECT OF</t>
  </si>
  <si>
    <t xml:space="preserve">   AFTER</t>
  </si>
  <si>
    <t xml:space="preserve">    ADJ</t>
  </si>
  <si>
    <t>AMOUNTS</t>
  </si>
  <si>
    <t xml:space="preserve">   ADJ</t>
  </si>
  <si>
    <t>PROP RATES</t>
  </si>
  <si>
    <t>OPERATING REVENUES</t>
  </si>
  <si>
    <t>Unmetered sales</t>
  </si>
  <si>
    <t>Metered Sales</t>
  </si>
  <si>
    <t>Fire Flow</t>
  </si>
  <si>
    <t>Misc Service Revenue</t>
  </si>
  <si>
    <t>Total Operating Revenue</t>
  </si>
  <si>
    <t>OPERATING &amp; MAINTENCE EXPENSE</t>
  </si>
  <si>
    <t>Salaries--Employees</t>
  </si>
  <si>
    <t>Salaries--Officers</t>
  </si>
  <si>
    <t>Employee Benefits</t>
  </si>
  <si>
    <t>Purchased Power</t>
  </si>
  <si>
    <t>Chemical Testing</t>
  </si>
  <si>
    <t>Materials &amp; Supplies</t>
  </si>
  <si>
    <t>Contract Services-Engineering</t>
  </si>
  <si>
    <t>Contract Services-Acctg</t>
  </si>
  <si>
    <t>Contract Services-Legal</t>
  </si>
  <si>
    <t>Contract Services-Other</t>
  </si>
  <si>
    <t>Building Rent</t>
  </si>
  <si>
    <t>Equipment Rent</t>
  </si>
  <si>
    <t>Transportation Expense</t>
  </si>
  <si>
    <t>Insurance-Vehicle</t>
  </si>
  <si>
    <t>Insurance-General Liability</t>
  </si>
  <si>
    <t>Regulatory Commission Expense</t>
  </si>
  <si>
    <t>Miscellaneous Expense</t>
  </si>
  <si>
    <t>Depreciation - Amortization</t>
  </si>
  <si>
    <t>Bad Debt</t>
  </si>
  <si>
    <t>Taxes Other Than Income</t>
  </si>
  <si>
    <t xml:space="preserve">    Total Operating Expenses</t>
  </si>
  <si>
    <t>Utility Operating Income Before FIT</t>
  </si>
  <si>
    <t>Federal Income Tax</t>
  </si>
  <si>
    <t>Net Operating Income</t>
  </si>
  <si>
    <t>RATE BASE (AVERAGE)</t>
  </si>
  <si>
    <t>Utility Plant in Service</t>
  </si>
  <si>
    <t>LESS: Accumulated Depreciation</t>
  </si>
  <si>
    <t xml:space="preserve">    Net CIAC</t>
  </si>
  <si>
    <t>Net Average Rate Base</t>
  </si>
  <si>
    <t>RATE OF RETURN</t>
  </si>
  <si>
    <t>‚::</t>
  </si>
  <si>
    <t xml:space="preserve">     ADJ</t>
  </si>
  <si>
    <t>Rate Case Expense</t>
  </si>
  <si>
    <t>SALARIES</t>
  </si>
  <si>
    <t xml:space="preserve">    TOTAL</t>
  </si>
  <si>
    <t>EXPENSE</t>
  </si>
  <si>
    <t>PA-2</t>
  </si>
  <si>
    <t>PA-3</t>
  </si>
  <si>
    <t xml:space="preserve">       ADJ</t>
  </si>
  <si>
    <t>RESTATING</t>
  </si>
  <si>
    <t xml:space="preserve">    RA-1</t>
  </si>
  <si>
    <t>DIFFERENCE</t>
  </si>
  <si>
    <t xml:space="preserve">Chemical </t>
  </si>
  <si>
    <t>Rainier View Water Co., Inc.</t>
  </si>
  <si>
    <t xml:space="preserve">     REVENUES</t>
  </si>
  <si>
    <t>COST OF MONEY:</t>
  </si>
  <si>
    <t xml:space="preserve">        WUTC REGULATORY FEE</t>
  </si>
  <si>
    <t xml:space="preserve">        UTILITY TAX</t>
  </si>
  <si>
    <t xml:space="preserve">        UNCOLLECTABLES</t>
  </si>
  <si>
    <t xml:space="preserve">     FEDERAL INCOME TAX</t>
  </si>
  <si>
    <t xml:space="preserve">     CONVERSION FACTOR</t>
  </si>
  <si>
    <t xml:space="preserve">     PROFORMA RATE BASE</t>
  </si>
  <si>
    <t xml:space="preserve">     </t>
  </si>
  <si>
    <t xml:space="preserve">     RATE OF RETURN</t>
  </si>
  <si>
    <t xml:space="preserve">     NOI REQUIREMENT</t>
  </si>
  <si>
    <t xml:space="preserve">     PROFORMA NOI</t>
  </si>
  <si>
    <t>DEBT</t>
  </si>
  <si>
    <t xml:space="preserve">     NOI DEFICIENCY</t>
  </si>
  <si>
    <t>EQUITY</t>
  </si>
  <si>
    <t xml:space="preserve">     ADDITIONAL REVENUE REQUIREMENT</t>
  </si>
  <si>
    <t xml:space="preserve">     UNMETERED SALES</t>
  </si>
  <si>
    <t xml:space="preserve">     METERED SALES</t>
  </si>
  <si>
    <t xml:space="preserve">          TOTAL OPERATING REVENUES</t>
  </si>
  <si>
    <t xml:space="preserve">     LESS:</t>
  </si>
  <si>
    <t xml:space="preserve">               WUTC REGULATORY FEE</t>
  </si>
  <si>
    <t xml:space="preserve">               UTILITY TAX</t>
  </si>
  <si>
    <t xml:space="preserve">               UNCOLLECTABLES</t>
  </si>
  <si>
    <t xml:space="preserve">     UTILITY OPERATING INCOME BEFORE FIT</t>
  </si>
  <si>
    <t xml:space="preserve">     NET OPERATING REVENUE</t>
  </si>
  <si>
    <t>CURRENT</t>
  </si>
  <si>
    <t>INCREASE</t>
  </si>
  <si>
    <t>Net Income</t>
  </si>
  <si>
    <t>Interest Expense</t>
  </si>
  <si>
    <t>Treatment Surcharge</t>
  </si>
  <si>
    <t>Ready to Serve-Contracts</t>
  </si>
  <si>
    <t xml:space="preserve">    RA-2</t>
  </si>
  <si>
    <t>Federal Income Tax (C-Corp Rates)</t>
  </si>
  <si>
    <t>Proforma Adjustments</t>
  </si>
  <si>
    <t>Copper/Lead lawsuit-Amortization</t>
  </si>
  <si>
    <t>Working Capital</t>
  </si>
  <si>
    <t xml:space="preserve">    RA-3</t>
  </si>
  <si>
    <t>RAINIER VIEW WATER COMPANY</t>
  </si>
  <si>
    <t>ANNUALIZED PREMIUM INCREASE</t>
  </si>
  <si>
    <t>RENEWAL</t>
  </si>
  <si>
    <t>PREMIUM</t>
  </si>
  <si>
    <t>ANNUALIZATION</t>
  </si>
  <si>
    <t>TOTAL ANNUALIZED MEDICAL INCREASE</t>
  </si>
  <si>
    <t>DATE</t>
  </si>
  <si>
    <t>PERCENTAGE</t>
  </si>
  <si>
    <t xml:space="preserve"> Rainier View Water Co.,Inc.</t>
  </si>
  <si>
    <t>Salary Restatement</t>
  </si>
  <si>
    <t xml:space="preserve">  EMPLOYEE NAME</t>
  </si>
  <si>
    <t>GROSS</t>
  </si>
  <si>
    <t>MISC</t>
  </si>
  <si>
    <t>UTILITY</t>
  </si>
  <si>
    <t>NON-UTILITY</t>
  </si>
  <si>
    <t>MAT &amp; SUPPLIES</t>
  </si>
  <si>
    <t>WATER TRT</t>
  </si>
  <si>
    <t>TRANS &amp; DIST</t>
  </si>
  <si>
    <t>CUSTOMER ACCT</t>
  </si>
  <si>
    <t>GENERAL &amp; ADM</t>
  </si>
  <si>
    <t>EMPLOYEE</t>
  </si>
  <si>
    <t xml:space="preserve">TRUCK </t>
  </si>
  <si>
    <t>PAYROLL</t>
  </si>
  <si>
    <t>PLANT</t>
  </si>
  <si>
    <t>OPERATIONS</t>
  </si>
  <si>
    <t>MAINTENANCE</t>
  </si>
  <si>
    <t>BENEFITS</t>
  </si>
  <si>
    <t xml:space="preserve">     Abbe, Linda</t>
  </si>
  <si>
    <t>J</t>
  </si>
  <si>
    <t xml:space="preserve">     Blackman, Bob</t>
  </si>
  <si>
    <t>F</t>
  </si>
  <si>
    <t>M</t>
  </si>
  <si>
    <t xml:space="preserve">     Cross, Lori</t>
  </si>
  <si>
    <t>A</t>
  </si>
  <si>
    <t xml:space="preserve">     Fisher, Doug</t>
  </si>
  <si>
    <t xml:space="preserve">     Haynes, Sheila</t>
  </si>
  <si>
    <t xml:space="preserve">     Peredo, Tony</t>
  </si>
  <si>
    <t>S</t>
  </si>
  <si>
    <t>O</t>
  </si>
  <si>
    <t xml:space="preserve">     Richardson, Paula</t>
  </si>
  <si>
    <t>N</t>
  </si>
  <si>
    <t xml:space="preserve">     Richardson, Richard</t>
  </si>
  <si>
    <t>D</t>
  </si>
  <si>
    <t xml:space="preserve">     Bell, Robert</t>
  </si>
  <si>
    <t xml:space="preserve">     Cooper, Thomas</t>
  </si>
  <si>
    <t xml:space="preserve">     Hoskins, Rickey</t>
  </si>
  <si>
    <t xml:space="preserve">     Jensen, James</t>
  </si>
  <si>
    <t xml:space="preserve">     Warner, Chuck</t>
  </si>
  <si>
    <t xml:space="preserve">     Richardson, Neil</t>
  </si>
  <si>
    <t xml:space="preserve">               TOTALS</t>
  </si>
  <si>
    <t>(Fig. 1)</t>
  </si>
  <si>
    <t>CHANGE IN</t>
  </si>
  <si>
    <t xml:space="preserve">EFFECTIVE </t>
  </si>
  <si>
    <t xml:space="preserve">PROFORMA </t>
  </si>
  <si>
    <t>TOTAL PROFORMA</t>
  </si>
  <si>
    <t>SALARY</t>
  </si>
  <si>
    <t>ADJUSTMENT</t>
  </si>
  <si>
    <t>Salary Proforma</t>
  </si>
  <si>
    <t>SALARY RESTATEMENT</t>
  </si>
  <si>
    <t>TAXES OTHER THAN INCOME</t>
  </si>
  <si>
    <t>FICA</t>
  </si>
  <si>
    <t>TOTAL TAX RESTATEMENT</t>
  </si>
  <si>
    <t xml:space="preserve">      TOTALS</t>
  </si>
  <si>
    <t xml:space="preserve">  </t>
  </si>
  <si>
    <t>FUTA (UNDER 7,000)</t>
  </si>
  <si>
    <t xml:space="preserve"> Difference in Book and Tax Depreciation</t>
  </si>
  <si>
    <t>FEDERAL INCOME TAXES</t>
  </si>
  <si>
    <t>Other Income</t>
  </si>
  <si>
    <t>FIT-Net Deductions (including Interest Expense)</t>
  </si>
  <si>
    <t xml:space="preserve"> Taxable Income</t>
  </si>
  <si>
    <t>Net Federal Income Tax</t>
  </si>
  <si>
    <t>PA-5</t>
  </si>
  <si>
    <t>Depreciation - Amortization NET</t>
  </si>
  <si>
    <t xml:space="preserve">RATE BASE </t>
  </si>
  <si>
    <t xml:space="preserve">    RA-4</t>
  </si>
  <si>
    <t>RESTATING ADJUSTMENTS</t>
  </si>
  <si>
    <t>OPERATING &amp; MAINTENANCE EXPENSE</t>
  </si>
  <si>
    <t xml:space="preserve"> MONTHS</t>
  </si>
  <si>
    <t>(DECREASE)</t>
  </si>
  <si>
    <t>PA-1</t>
  </si>
  <si>
    <t xml:space="preserve">     Murakami, Irene</t>
  </si>
  <si>
    <t xml:space="preserve">     Collette, Martin</t>
  </si>
  <si>
    <t xml:space="preserve">     Cullings, Art</t>
  </si>
  <si>
    <t>TOTAL ANNUALIZED DENTAL INCREASE</t>
  </si>
  <si>
    <t xml:space="preserve"> </t>
  </si>
  <si>
    <t xml:space="preserve">     Hoskins, Christopher</t>
  </si>
  <si>
    <t>ABBE, LINDA</t>
  </si>
  <si>
    <t>BELL, ROBERT</t>
  </si>
  <si>
    <t>BLACKMAN, ROBERT</t>
  </si>
  <si>
    <t>COLLETTE, MARTIN</t>
  </si>
  <si>
    <t>COOPER, THOMAS</t>
  </si>
  <si>
    <t>FISHER, DOUGLAS</t>
  </si>
  <si>
    <t>HAYNES, SHEILA</t>
  </si>
  <si>
    <t>HOSKINS, RICKEY</t>
  </si>
  <si>
    <t>JENSEN, JAMES</t>
  </si>
  <si>
    <t>PEREDO, ANTHONY</t>
  </si>
  <si>
    <t>RICHARDSON, NEIL</t>
  </si>
  <si>
    <t>WARNER, CHARLES</t>
  </si>
  <si>
    <t>COBANK - SDADA/NEW OFFICE T-6</t>
  </si>
  <si>
    <t xml:space="preserve">     Hellickson, Carol</t>
  </si>
  <si>
    <t>HELLICKSON, CAROL 6/1/07</t>
  </si>
  <si>
    <t>L&amp;I</t>
  </si>
  <si>
    <t>1507 WATER WORKS</t>
  </si>
  <si>
    <t>4904 CLERICAL OFFICE</t>
  </si>
  <si>
    <t xml:space="preserve">Proforma Salary </t>
  </si>
  <si>
    <t xml:space="preserve">     Bowers, Donald</t>
  </si>
  <si>
    <t xml:space="preserve">     Miller Jr., Sid</t>
  </si>
  <si>
    <t xml:space="preserve">     Beaulieu, Gwen</t>
  </si>
  <si>
    <t xml:space="preserve">     O'Brien, Jason</t>
  </si>
  <si>
    <t>BEAULIEU, GWEN 7/1/09</t>
  </si>
  <si>
    <t>BOWERS, DONALD 5/1/09</t>
  </si>
  <si>
    <t>CULLINGS, ART 12/01/05</t>
  </si>
  <si>
    <t>HOSKENS, CHRISTOPHER 11/1/06</t>
  </si>
  <si>
    <t>MILLER, SIDNEY 07/01/08</t>
  </si>
  <si>
    <t>MURAKAMI, IRENE 11/01/04</t>
  </si>
  <si>
    <t>O'BRIEN, JASON 10/1/09</t>
  </si>
  <si>
    <t>RICHARDSON, PAULA</t>
  </si>
  <si>
    <t>declined</t>
  </si>
  <si>
    <t>Rents from Water Property</t>
  </si>
  <si>
    <t>BLANKENSHIP, DAKOTA 3/1/11</t>
  </si>
  <si>
    <t>RINEHART, CAROL 7/1/10</t>
  </si>
  <si>
    <t xml:space="preserve">     Rinehart, Carol</t>
  </si>
  <si>
    <t xml:space="preserve">     Blankenship, Dakota</t>
  </si>
  <si>
    <t>Other Income-Ancillary charges</t>
  </si>
  <si>
    <t>BUY-UP</t>
  </si>
  <si>
    <t>COST</t>
  </si>
  <si>
    <t xml:space="preserve">     Inks, Danielle</t>
  </si>
  <si>
    <t xml:space="preserve">     Woods, Cindy</t>
  </si>
  <si>
    <t xml:space="preserve">     Hondel, Robert</t>
  </si>
  <si>
    <t>HONDEL, ROBERT 8/1/12</t>
  </si>
  <si>
    <t>WOODS, CINDY</t>
  </si>
  <si>
    <t>INKS, DANIELLE</t>
  </si>
  <si>
    <t>MEDICAL</t>
  </si>
  <si>
    <t xml:space="preserve">DENTAL </t>
  </si>
  <si>
    <t>TOTAL</t>
  </si>
  <si>
    <t>PARCEL NUMBER</t>
  </si>
  <si>
    <t>COUNTY</t>
  </si>
  <si>
    <t xml:space="preserve">           NAME</t>
  </si>
  <si>
    <t>LOCATION</t>
  </si>
  <si>
    <t xml:space="preserve">TAX CODE </t>
  </si>
  <si>
    <t xml:space="preserve">          LEGAL DISCRIPTION</t>
  </si>
  <si>
    <t>P  20042-45050</t>
  </si>
  <si>
    <t>PIERCE</t>
  </si>
  <si>
    <t>RVWC</t>
  </si>
  <si>
    <t xml:space="preserve">GRAHAM AREA </t>
  </si>
  <si>
    <t>PERSONAL PROPERTY</t>
  </si>
  <si>
    <t>P 20084-14110</t>
  </si>
  <si>
    <t>GRAHAM AREA (Sound)</t>
  </si>
  <si>
    <t>P  20400-02990</t>
  </si>
  <si>
    <t>5410 189th St E</t>
  </si>
  <si>
    <t>P  20960-00175</t>
  </si>
  <si>
    <t>GIG HARBOR AREA</t>
  </si>
  <si>
    <t>P  20960-00180</t>
  </si>
  <si>
    <t>BETHEL AREA</t>
  </si>
  <si>
    <t>R  01-21-23-4-094</t>
  </si>
  <si>
    <t>7221 35TH ST NW</t>
  </si>
  <si>
    <t>PINECREST  (BACK SITE)</t>
  </si>
  <si>
    <t>R  01-21-23-5-058</t>
  </si>
  <si>
    <t>4304 73RD AVE NW</t>
  </si>
  <si>
    <t>ARTONDALE  TANK &amp; WELL SITE</t>
  </si>
  <si>
    <t>R  01-21-24-2-019</t>
  </si>
  <si>
    <t>4509 65TH AVE NW</t>
  </si>
  <si>
    <t>ARTONDALE  #1 &amp; #2</t>
  </si>
  <si>
    <t>R  01-21-24-3-015</t>
  </si>
  <si>
    <t>3426 63RD AVE NW</t>
  </si>
  <si>
    <t>BAYVIEW WELL SITE</t>
  </si>
  <si>
    <t>R  01-21-25-4-046</t>
  </si>
  <si>
    <t>2213 62ND AVE NW</t>
  </si>
  <si>
    <t>CROMWELL WELL SITE</t>
  </si>
  <si>
    <t>R  01-21-28-1-059</t>
  </si>
  <si>
    <t>3123 HORSEHEAD BAY DR NW</t>
  </si>
  <si>
    <t>SHAW'S COVE WELL SITE</t>
  </si>
  <si>
    <t>R  01-22-13-2-037</t>
  </si>
  <si>
    <t>6229 157TH ST NW</t>
  </si>
  <si>
    <t>PURDY ACRES WELL SITE</t>
  </si>
  <si>
    <t>R  02-21-19-2-036</t>
  </si>
  <si>
    <t>4306 EAST BAY DR NW</t>
  </si>
  <si>
    <t>EASEMENT - LOWER WOLLOCHET</t>
  </si>
  <si>
    <t>R  02-21-20-1-030</t>
  </si>
  <si>
    <t>2604 48TH ST NW</t>
  </si>
  <si>
    <t>075</t>
  </si>
  <si>
    <t>CONC TANK - OLY MALL</t>
  </si>
  <si>
    <t>R  02-21-21-2-035</t>
  </si>
  <si>
    <t>4519 REID DR NW</t>
  </si>
  <si>
    <t>OLY  MALL WELL SITE</t>
  </si>
  <si>
    <t>R  03-17-17-4-012</t>
  </si>
  <si>
    <t>32902 10TH AVE S</t>
  </si>
  <si>
    <t>MOORE'S 40 ACRES WELL SITE</t>
  </si>
  <si>
    <t>R  03-18-03-4-037</t>
  </si>
  <si>
    <t>20021 17TH AVE E</t>
  </si>
  <si>
    <t>SPANAWAY TANK SITE</t>
  </si>
  <si>
    <t>R  03-18-24-1-033</t>
  </si>
  <si>
    <t>24014 49TH AVE CT E</t>
  </si>
  <si>
    <t>SALLY HUBERT WELL SITE</t>
  </si>
  <si>
    <t xml:space="preserve">R  03-18-34-3-050 </t>
  </si>
  <si>
    <t>1002 282ND ST E</t>
  </si>
  <si>
    <t>THE RANCH WELL SITE</t>
  </si>
  <si>
    <t>R  03-18-36-5-020</t>
  </si>
  <si>
    <t>5301 277TH ST CT E</t>
  </si>
  <si>
    <t>MUCK CREEK HILL WELL SITE</t>
  </si>
  <si>
    <t>R  03-18-36-6-022</t>
  </si>
  <si>
    <t>4411 277TH ST CT E</t>
  </si>
  <si>
    <t>RYANWOOD  WELL SITE</t>
  </si>
  <si>
    <t>R  03-19-35-1-067</t>
  </si>
  <si>
    <t>3220 179TH ST E</t>
  </si>
  <si>
    <t>NELSON RIDGE WELL SITE</t>
  </si>
  <si>
    <t>R  03-19-36-4-042</t>
  </si>
  <si>
    <t>5410 189TH ST E</t>
  </si>
  <si>
    <t>R  04-18-10-7-022</t>
  </si>
  <si>
    <t>21805 103RD AVE CT E</t>
  </si>
  <si>
    <t>BEHM SITE - SOUND OFFICE</t>
  </si>
  <si>
    <t>R  04-18-15-1-029</t>
  </si>
  <si>
    <t>11718 230TH ST E</t>
  </si>
  <si>
    <t>THRIFT TANK   &amp; WELL SITE</t>
  </si>
  <si>
    <t>R  04-18-19-5-053</t>
  </si>
  <si>
    <t>24311 68TH AVE E</t>
  </si>
  <si>
    <t>INDIAN SPRINGS WELLS - 2A &amp; 6</t>
  </si>
  <si>
    <t>R  04-18-19-5-056</t>
  </si>
  <si>
    <t>24010 70TH AVE E</t>
  </si>
  <si>
    <t xml:space="preserve">INDIAN SPRINGS WELL     #1 </t>
  </si>
  <si>
    <t>R  04-18-19-8-037</t>
  </si>
  <si>
    <t>6815 254TH ST E</t>
  </si>
  <si>
    <t>INDIAN SPRINGS WELLS - 4 &amp; 5</t>
  </si>
  <si>
    <t>R  04-18-30-2-026</t>
  </si>
  <si>
    <t>5415 258TH ST CT E</t>
  </si>
  <si>
    <t>PARKLANE WELL SITE</t>
  </si>
  <si>
    <t>R 04-19-31-3-042</t>
  </si>
  <si>
    <t>R 04-19-33-4-015</t>
  </si>
  <si>
    <t>19129 97TH AVE CT E</t>
  </si>
  <si>
    <t>SILVER CREEK TANK SITE</t>
  </si>
  <si>
    <t>R  249200-030-1</t>
  </si>
  <si>
    <t>21408 34TH AVE E</t>
  </si>
  <si>
    <t>BETHEL RIDGE WELL SITE</t>
  </si>
  <si>
    <t>R  250556-015-0</t>
  </si>
  <si>
    <t>20712 16TH AVE CT E</t>
  </si>
  <si>
    <t>BEVERLY PARK WELL SITE</t>
  </si>
  <si>
    <t>R  300014-078-2</t>
  </si>
  <si>
    <t>4504 76TH AVE CT NW</t>
  </si>
  <si>
    <t>MADRONA WELL SITE</t>
  </si>
  <si>
    <t>R  388700-004-0</t>
  </si>
  <si>
    <t>7813 185TH ST CT E</t>
  </si>
  <si>
    <t>185TH ST WELL SITE</t>
  </si>
  <si>
    <t>R 400260-003-0</t>
  </si>
  <si>
    <t>4699 PT FOSDICK DR NW</t>
  </si>
  <si>
    <t>GATEWAY WELL SITE</t>
  </si>
  <si>
    <t>R  401500-063-6</t>
  </si>
  <si>
    <t>5909 206TH ST CT E</t>
  </si>
  <si>
    <t>BARNA WELL SITE</t>
  </si>
  <si>
    <t>R  471802-001-1</t>
  </si>
  <si>
    <t>25206 67TH AVE E</t>
  </si>
  <si>
    <t>INDIAN SPRINGS STANDPIPE</t>
  </si>
  <si>
    <t>R  516550-066-0</t>
  </si>
  <si>
    <t>24501 38TH AVE CT E</t>
  </si>
  <si>
    <t>LAURADEL WELL SITE</t>
  </si>
  <si>
    <t>R  602023-006-0</t>
  </si>
  <si>
    <t>24015 84TH AVE E</t>
  </si>
  <si>
    <t>CHATEAU WOODS WELL SITE</t>
  </si>
  <si>
    <t>R  602057-047-0</t>
  </si>
  <si>
    <t>13202  226TH ST E</t>
  </si>
  <si>
    <t>COUNTRY PARK #1  WELL SITE</t>
  </si>
  <si>
    <t>R  602058-012-1</t>
  </si>
  <si>
    <t>20813 74TH AVE CT E</t>
  </si>
  <si>
    <t>SPIRITWOOD DIV. 2 WELL SITE</t>
  </si>
  <si>
    <t>R  602172-103-0</t>
  </si>
  <si>
    <t>22801 126TH  AVE E</t>
  </si>
  <si>
    <t>COUNTRY PARK #2  WELL SITE</t>
  </si>
  <si>
    <t>R  612800-067-0</t>
  </si>
  <si>
    <t>20607 53RD AVE CT E</t>
  </si>
  <si>
    <t>MORRY GLENN  WELL SITE</t>
  </si>
  <si>
    <t xml:space="preserve">R  627602-017-0 </t>
  </si>
  <si>
    <t>NELSON RIDGE WELL SITE &amp; EASE.</t>
  </si>
  <si>
    <t>R  675525-150-0</t>
  </si>
  <si>
    <t>5617 257TH ST E</t>
  </si>
  <si>
    <t>R  687900-037-0</t>
  </si>
  <si>
    <t>7217 35TH ST NW</t>
  </si>
  <si>
    <t>PINECREST WELL SITE</t>
  </si>
  <si>
    <t>R  709300-077-0</t>
  </si>
  <si>
    <t>3721 255TH ST E</t>
  </si>
  <si>
    <t>QUIET VILLAGE #1 WELL SITE</t>
  </si>
  <si>
    <t>R  709302-110-0</t>
  </si>
  <si>
    <t>25504 30TH AVE E</t>
  </si>
  <si>
    <t>QUIET VILLAGE #2 WELL SITE</t>
  </si>
  <si>
    <t>R  714525-018-1</t>
  </si>
  <si>
    <t>4102 206TH ST CT E</t>
  </si>
  <si>
    <t>REBEKAH GLENN  EASEMENT</t>
  </si>
  <si>
    <t>R  721500-039-0</t>
  </si>
  <si>
    <t>35628 86TH AVE S</t>
  </si>
  <si>
    <t>RIVER VIEW WELL SITE</t>
  </si>
  <si>
    <t>R  724020-012-0</t>
  </si>
  <si>
    <t>4905 255TH ST CT E</t>
  </si>
  <si>
    <t>ROCKY WOODS WELL SITE</t>
  </si>
  <si>
    <t>R  727600-026-0</t>
  </si>
  <si>
    <t>6715 87TH ST NW</t>
  </si>
  <si>
    <t>ROSDALE   TRACT "A" WELL SITE</t>
  </si>
  <si>
    <t>R  757402-013-0</t>
  </si>
  <si>
    <t>17209 WALLER RD. E</t>
  </si>
  <si>
    <t>SHERWOOD RANCHETTE WELL SITE</t>
  </si>
  <si>
    <t>R  774200-019-5</t>
  </si>
  <si>
    <t>29215 47TH AVE E</t>
  </si>
  <si>
    <t>SOUTHCREEK #2 WELL SITE</t>
  </si>
  <si>
    <t>R  774200-036-6</t>
  </si>
  <si>
    <t>30017 SOUTHCREEK RD E</t>
  </si>
  <si>
    <t>SOUTHCREEK #1 WELL SITE</t>
  </si>
  <si>
    <t>R  781620-097-0</t>
  </si>
  <si>
    <t>22108 44TH AVE E</t>
  </si>
  <si>
    <t>SOUTHWOOD WELL #1</t>
  </si>
  <si>
    <t>R  781631-113-0</t>
  </si>
  <si>
    <t>22119 48TH AVE E</t>
  </si>
  <si>
    <t>SOUTHWOOD WELL #4</t>
  </si>
  <si>
    <t>R  781632-100-0</t>
  </si>
  <si>
    <t>22119 51ST AVE CT E</t>
  </si>
  <si>
    <t>SOUTHWOOD TANK SITE</t>
  </si>
  <si>
    <t>R  781633-147-0</t>
  </si>
  <si>
    <t>21711 46TH AVE E</t>
  </si>
  <si>
    <t>SOUTHWOOD TRACT "B" WELL SITE</t>
  </si>
  <si>
    <t>R  781650-021-0</t>
  </si>
  <si>
    <t>17624 32ND AVE  E</t>
  </si>
  <si>
    <t>SPANAWAY RANCHETTE WELL SITE</t>
  </si>
  <si>
    <t>R  886709-087-1</t>
  </si>
  <si>
    <t>3923 77TH AVE CT NW</t>
  </si>
  <si>
    <t>SWANSON (WILDWOOD) WELL SITE</t>
  </si>
  <si>
    <t>R  897700-027-0</t>
  </si>
  <si>
    <t>20010 78TH AVE CT E</t>
  </si>
  <si>
    <t>TANNENBAUM WELL SITE</t>
  </si>
  <si>
    <t>R  976020-104-0</t>
  </si>
  <si>
    <t>4701 BIRCHTREE LN NW</t>
  </si>
  <si>
    <t>WOLLOCHET HEIGHTS WELL SITE</t>
  </si>
  <si>
    <t>Total</t>
  </si>
  <si>
    <t>OFFICE</t>
  </si>
  <si>
    <t>PROPERTY TAX INCREASE 2013</t>
  </si>
  <si>
    <t>PA-6</t>
  </si>
  <si>
    <t>AMORTIZED TWO YEARS</t>
  </si>
  <si>
    <t>PA-7</t>
  </si>
  <si>
    <t>RATE CASE</t>
  </si>
  <si>
    <t>DEFERRED TAX</t>
  </si>
  <si>
    <t>DEPT. OF HEALTH OPERATING PERMIT FEE INCREASE</t>
  </si>
  <si>
    <t>2012 FEES</t>
  </si>
  <si>
    <t>2013 FEES</t>
  </si>
  <si>
    <t>PA-8</t>
  </si>
  <si>
    <t>REQUIRED UCMR3 WATER TESTING FOR 2013</t>
  </si>
  <si>
    <t xml:space="preserve">     Asila, Raymond</t>
  </si>
  <si>
    <t xml:space="preserve">     Tabacco, Michael </t>
  </si>
  <si>
    <t xml:space="preserve">     Tatum, Paul</t>
  </si>
  <si>
    <t>ASSET/(BENEFIT)</t>
  </si>
  <si>
    <t>Thirteen-Point Average Rate Base</t>
  </si>
  <si>
    <t>(a)</t>
  </si>
  <si>
    <t>(b)</t>
  </si>
  <si>
    <t>(c)</t>
  </si>
  <si>
    <t>(d)</t>
  </si>
  <si>
    <t>(e)</t>
  </si>
  <si>
    <t>Line No.</t>
  </si>
  <si>
    <t>Description</t>
  </si>
  <si>
    <t>Results Utility Plant in Service</t>
  </si>
  <si>
    <t>Results Acquisition</t>
  </si>
  <si>
    <t>Results Contribution in Aid of Construction</t>
  </si>
  <si>
    <t>Net Rate Base</t>
  </si>
  <si>
    <t>Thirteen-Point Average</t>
  </si>
  <si>
    <t>Adjustments</t>
  </si>
  <si>
    <t xml:space="preserve">                 -  </t>
  </si>
  <si>
    <t>ACTUAL COST</t>
  </si>
  <si>
    <t>SCH-1</t>
  </si>
  <si>
    <t>ASILA, RAYMOND 7/1/14</t>
  </si>
  <si>
    <t>INKS, DANIELLE 08/01/11</t>
  </si>
  <si>
    <t>TABACCO, MICHAEL 11/1/13</t>
  </si>
  <si>
    <t>TATUM, PAUL 11/1/13</t>
  </si>
  <si>
    <t>SCH-1, RA-1</t>
  </si>
  <si>
    <t>COBANK - FLUORIDE/SCADA</t>
  </si>
  <si>
    <t>FORD MOTOR CREDIT</t>
  </si>
  <si>
    <t>COBANK - MANG. TREATMENT</t>
  </si>
  <si>
    <t xml:space="preserve">     Hatkoff, Jennifer</t>
  </si>
  <si>
    <t xml:space="preserve">     Neal, Ryan</t>
  </si>
  <si>
    <t xml:space="preserve">     Shelton, Candi</t>
  </si>
  <si>
    <t>HATKOFF, JENNIFER 5/1/15</t>
  </si>
  <si>
    <t>PROCTOR, KENNETH 6/1/15</t>
  </si>
  <si>
    <t>SHELTON, CANDI 6/1/15</t>
  </si>
  <si>
    <t>NEAL, RYAN 8/1/15</t>
  </si>
  <si>
    <t>2016 TAXABLE VALUE</t>
  </si>
  <si>
    <t>R  360020-096-0</t>
  </si>
  <si>
    <t>5101 239TH ST E</t>
  </si>
  <si>
    <t>EASTWOOD PK WELL SITE</t>
  </si>
  <si>
    <t>COBANK - BACKHOE &amp; EXCAVATOR</t>
  </si>
  <si>
    <t xml:space="preserve">     Blagrove, Sherese</t>
  </si>
  <si>
    <t xml:space="preserve">     Marshall, Ethan</t>
  </si>
  <si>
    <t xml:space="preserve">     Proctor, Kenneth</t>
  </si>
  <si>
    <t>DENTAL PLAN INCREASE EFFECTIVE 07/01/16</t>
  </si>
  <si>
    <t xml:space="preserve">EASTWOOD PK </t>
  </si>
  <si>
    <t>P 2002538650</t>
  </si>
  <si>
    <t>RENTAL INCOME</t>
  </si>
  <si>
    <t>DEDUCT PAULA</t>
  </si>
  <si>
    <t>RATE CASE COSTS 2017</t>
  </si>
  <si>
    <t>ACCOUNTING FEES</t>
  </si>
  <si>
    <t xml:space="preserve">ATTORNEY FEES </t>
  </si>
  <si>
    <t>PRINTING FEES RATE NOTICE</t>
  </si>
  <si>
    <t>MAILING FEES RATE NOTICE</t>
  </si>
  <si>
    <t>AMORTIZED THREE YEARS</t>
  </si>
  <si>
    <t>CELL</t>
  </si>
  <si>
    <t>Gain or Loss on Disposal of FA</t>
  </si>
  <si>
    <t xml:space="preserve">     Black, Alexander</t>
  </si>
  <si>
    <t xml:space="preserve">     Hansen, Ryan </t>
  </si>
  <si>
    <t xml:space="preserve">     Hood, Stephanie</t>
  </si>
  <si>
    <t xml:space="preserve">     Mundell, Michael</t>
  </si>
  <si>
    <t xml:space="preserve">     O'Brien, Josh</t>
  </si>
  <si>
    <t xml:space="preserve">     Petty, Casey</t>
  </si>
  <si>
    <t xml:space="preserve">     Streeter, Phillip</t>
  </si>
  <si>
    <t>2018 RATES</t>
  </si>
  <si>
    <t>BLACK, ALEXANDEER</t>
  </si>
  <si>
    <t>MUNDELL, MICHAEL 1/1/18</t>
  </si>
  <si>
    <t>O'BRIEN, JOSH 6/1/17</t>
  </si>
  <si>
    <t>BLACK, ALEXANDER</t>
  </si>
  <si>
    <t>BLAGROVE, SHERESE</t>
  </si>
  <si>
    <t>PETTY, CASEY 7/1/17</t>
  </si>
  <si>
    <t>HOOD, STEPHANIE 4/1/16</t>
  </si>
  <si>
    <t>MARSHELL, ETHAN 3/1/16</t>
  </si>
  <si>
    <t>NISSAN MOTOR CO.</t>
  </si>
  <si>
    <t xml:space="preserve"> 12/31/18</t>
  </si>
  <si>
    <t>2018 GROSS PAYROLL TOTALS</t>
  </si>
  <si>
    <t>For period ending December 31, 2018</t>
  </si>
  <si>
    <t xml:space="preserve">     Hansen, Hunter</t>
  </si>
  <si>
    <t xml:space="preserve">     Sutherland, Rebecca</t>
  </si>
  <si>
    <t>TOTALS 2018</t>
  </si>
  <si>
    <t xml:space="preserve">     Hondel, Tyler</t>
  </si>
  <si>
    <t xml:space="preserve">     Murphy, Charles</t>
  </si>
  <si>
    <t xml:space="preserve">     Veach, Kyle</t>
  </si>
  <si>
    <t>2018 SALARY INCREASE</t>
  </si>
  <si>
    <t>SUTA (UNDER 49,800)</t>
  </si>
  <si>
    <t>2018 HOURS</t>
  </si>
  <si>
    <t>2019 RATES</t>
  </si>
  <si>
    <t>HOOD, STEPHANIE</t>
  </si>
  <si>
    <t>MARSHALL, ETHAN</t>
  </si>
  <si>
    <t>MURPHY, CHARLES</t>
  </si>
  <si>
    <t>SUTHERLAND, REBECCA</t>
  </si>
  <si>
    <t>PETTY, CASEY</t>
  </si>
  <si>
    <t>MEDICAL PLAN INCREASE EFFECTIVE 07/01/18</t>
  </si>
  <si>
    <t>TAX DUE 2018</t>
  </si>
  <si>
    <t>R  01-21-13-40-39</t>
  </si>
  <si>
    <t>R  01-21-22-10-41</t>
  </si>
  <si>
    <t>R  01-22-13-2-116</t>
  </si>
  <si>
    <t>R  03-18-13-1-061</t>
  </si>
  <si>
    <t>R  03-18-13-7-051</t>
  </si>
  <si>
    <t>R  04-18-06-3-028</t>
  </si>
  <si>
    <t>R  446220-024-0</t>
  </si>
  <si>
    <t>R  687900-034-2</t>
  </si>
  <si>
    <t>R  727620-041-1</t>
  </si>
  <si>
    <t>R  750100-038-1</t>
  </si>
  <si>
    <t>TAX DUE 2019</t>
  </si>
  <si>
    <t>PA-4</t>
  </si>
  <si>
    <t>TACOMA BACK BILL FOR INTERTIE WATER USAGE 2015-2017</t>
  </si>
  <si>
    <t>TOTAL BILLED</t>
  </si>
  <si>
    <t>BILLED 2018</t>
  </si>
  <si>
    <t>amorized three years</t>
  </si>
  <si>
    <t>Adjustment year 1</t>
  </si>
  <si>
    <t>TACOMA</t>
  </si>
  <si>
    <t>BILL ADJUST</t>
  </si>
  <si>
    <t>RATE CASE COSTS 2019</t>
  </si>
  <si>
    <t>COSTS PREVIOUS</t>
  </si>
  <si>
    <t>COST 2019</t>
  </si>
  <si>
    <t>PA-5 &amp; PA-6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</si>
</sst>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000000_)"/>
    <numFmt numFmtId="167" formatCode="0.000%"/>
    <numFmt numFmtId="168" formatCode="&quot;$&quot;#,##0"/>
    <numFmt numFmtId="169" formatCode="&quot;$&quot;#,##0.00"/>
    <numFmt numFmtId="170" formatCode="[$-409]mmmm\-yy;@"/>
  </numFmts>
  <fonts count="49" x14ac:knownFonts="1"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2"/>
      <name val="Helv"/>
    </font>
    <font>
      <u/>
      <sz val="12"/>
      <name val="Helv"/>
    </font>
    <font>
      <u val="singleAccounting"/>
      <sz val="12"/>
      <name val="Helv"/>
    </font>
    <font>
      <b/>
      <sz val="12"/>
      <name val="Helv"/>
    </font>
    <font>
      <sz val="12"/>
      <name val="Helv"/>
    </font>
    <font>
      <i/>
      <u/>
      <sz val="12"/>
      <name val="Helv"/>
    </font>
    <font>
      <b/>
      <sz val="16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Helv"/>
    </font>
    <font>
      <u/>
      <sz val="16"/>
      <name val="Helv"/>
    </font>
    <font>
      <sz val="12"/>
      <color indexed="10"/>
      <name val="Helv"/>
    </font>
    <font>
      <sz val="12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Helv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rgb="FFFF0000"/>
      <name val="Helv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125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solid">
        <fgColor indexed="57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9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25" applyNumberFormat="0" applyFill="0" applyAlignment="0" applyProtection="0"/>
    <xf numFmtId="0" fontId="27" fillId="0" borderId="26" applyNumberFormat="0" applyFill="0" applyAlignment="0" applyProtection="0"/>
    <xf numFmtId="0" fontId="28" fillId="0" borderId="27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28" applyNumberFormat="0" applyAlignment="0" applyProtection="0"/>
    <xf numFmtId="0" fontId="33" fillId="9" borderId="29" applyNumberFormat="0" applyAlignment="0" applyProtection="0"/>
    <xf numFmtId="0" fontId="34" fillId="9" borderId="28" applyNumberFormat="0" applyAlignment="0" applyProtection="0"/>
    <xf numFmtId="0" fontId="35" fillId="0" borderId="30" applyNumberFormat="0" applyFill="0" applyAlignment="0" applyProtection="0"/>
    <xf numFmtId="0" fontId="36" fillId="10" borderId="31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33" applyNumberFormat="0" applyFill="0" applyAlignment="0" applyProtection="0"/>
    <xf numFmtId="0" fontId="4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41" fillId="0" borderId="0"/>
    <xf numFmtId="9" fontId="42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43" fillId="0" borderId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0" fontId="43" fillId="0" borderId="0"/>
    <xf numFmtId="44" fontId="43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5" fillId="0" borderId="0"/>
    <xf numFmtId="0" fontId="43" fillId="0" borderId="0"/>
    <xf numFmtId="9" fontId="4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4" fillId="0" borderId="0"/>
    <xf numFmtId="44" fontId="2" fillId="0" borderId="0" applyFont="0" applyFill="0" applyBorder="0" applyAlignment="0" applyProtection="0"/>
    <xf numFmtId="38" fontId="45" fillId="0" borderId="0" applyNumberFormat="0" applyFont="0" applyFill="0" applyBorder="0">
      <alignment horizontal="left" indent="4"/>
      <protection locked="0"/>
    </xf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47" fillId="0" borderId="34">
      <alignment horizontal="center"/>
    </xf>
    <xf numFmtId="3" fontId="46" fillId="0" borderId="0" applyFont="0" applyFill="0" applyBorder="0" applyAlignment="0" applyProtection="0"/>
    <xf numFmtId="0" fontId="46" fillId="37" borderId="0" applyNumberFormat="0" applyFont="0" applyBorder="0" applyAlignment="0" applyProtection="0"/>
    <xf numFmtId="165" fontId="15" fillId="36" borderId="0" applyFont="0" applyFill="0" applyBorder="0" applyAlignment="0" applyProtection="0">
      <alignment wrapText="1"/>
    </xf>
    <xf numFmtId="0" fontId="2" fillId="38" borderId="0" applyNumberFormat="0" applyFont="0" applyFill="0" applyBorder="0" applyAlignment="0" applyProtection="0"/>
    <xf numFmtId="0" fontId="1" fillId="0" borderId="0"/>
    <xf numFmtId="0" fontId="46" fillId="0" borderId="0"/>
    <xf numFmtId="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5" fillId="0" borderId="0"/>
    <xf numFmtId="0" fontId="7" fillId="0" borderId="0"/>
    <xf numFmtId="0" fontId="1" fillId="0" borderId="0"/>
    <xf numFmtId="0" fontId="1" fillId="11" borderId="32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5" fontId="0" fillId="0" borderId="0" xfId="0" applyNumberFormat="1"/>
    <xf numFmtId="37" fontId="0" fillId="0" borderId="0" xfId="0" applyNumberFormat="1"/>
    <xf numFmtId="37" fontId="4" fillId="0" borderId="0" xfId="0" applyNumberFormat="1" applyFont="1"/>
    <xf numFmtId="0" fontId="4" fillId="0" borderId="0" xfId="0" applyFont="1"/>
    <xf numFmtId="165" fontId="0" fillId="0" borderId="0" xfId="1" applyNumberFormat="1" applyFont="1"/>
    <xf numFmtId="5" fontId="4" fillId="0" borderId="0" xfId="0" applyNumberFormat="1" applyFont="1"/>
    <xf numFmtId="0" fontId="3" fillId="0" borderId="0" xfId="0" applyFont="1" applyAlignment="1">
      <alignment horizontal="left"/>
    </xf>
    <xf numFmtId="37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5" fontId="3" fillId="0" borderId="0" xfId="1" applyNumberFormat="1" applyFont="1" applyAlignment="1">
      <alignment horizontal="right"/>
    </xf>
    <xf numFmtId="10" fontId="0" fillId="0" borderId="0" xfId="0" applyNumberFormat="1"/>
    <xf numFmtId="0" fontId="0" fillId="0" borderId="0" xfId="0" quotePrefix="1" applyAlignment="1">
      <alignment horizontal="center"/>
    </xf>
    <xf numFmtId="166" fontId="0" fillId="0" borderId="0" xfId="0" applyNumberFormat="1"/>
    <xf numFmtId="0" fontId="6" fillId="0" borderId="0" xfId="0" applyFont="1" applyAlignment="1">
      <alignment horizontal="left"/>
    </xf>
    <xf numFmtId="0" fontId="0" fillId="0" borderId="1" xfId="0" applyBorder="1"/>
    <xf numFmtId="0" fontId="6" fillId="0" borderId="0" xfId="0" applyFont="1"/>
    <xf numFmtId="37" fontId="0" fillId="0" borderId="1" xfId="0" applyNumberFormat="1" applyBorder="1"/>
    <xf numFmtId="10" fontId="0" fillId="0" borderId="1" xfId="0" applyNumberFormat="1" applyBorder="1"/>
    <xf numFmtId="37" fontId="0" fillId="0" borderId="2" xfId="0" applyNumberFormat="1" applyBorder="1"/>
    <xf numFmtId="10" fontId="6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165" fontId="3" fillId="0" borderId="0" xfId="2" applyNumberFormat="1" applyFont="1"/>
    <xf numFmtId="165" fontId="0" fillId="0" borderId="0" xfId="1" applyNumberFormat="1" applyFont="1" applyAlignment="1">
      <alignment horizontal="left"/>
    </xf>
    <xf numFmtId="10" fontId="0" fillId="0" borderId="0" xfId="0" applyNumberFormat="1" applyAlignment="1">
      <alignment horizontal="right"/>
    </xf>
    <xf numFmtId="5" fontId="0" fillId="0" borderId="0" xfId="2" applyNumberFormat="1" applyFont="1"/>
    <xf numFmtId="37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/>
    <xf numFmtId="5" fontId="5" fillId="0" borderId="0" xfId="1" applyNumberFormat="1" applyFont="1"/>
    <xf numFmtId="0" fontId="8" fillId="0" borderId="0" xfId="0" applyFont="1"/>
    <xf numFmtId="0" fontId="0" fillId="2" borderId="0" xfId="0" applyFill="1"/>
    <xf numFmtId="0" fontId="0" fillId="2" borderId="0" xfId="0" applyFill="1" applyAlignment="1">
      <alignment horizontal="left"/>
    </xf>
    <xf numFmtId="10" fontId="0" fillId="2" borderId="0" xfId="0" applyNumberFormat="1" applyFill="1"/>
    <xf numFmtId="0" fontId="3" fillId="2" borderId="0" xfId="0" applyFont="1" applyFill="1"/>
    <xf numFmtId="167" fontId="0" fillId="0" borderId="0" xfId="0" applyNumberFormat="1"/>
    <xf numFmtId="0" fontId="9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/>
    <xf numFmtId="0" fontId="11" fillId="0" borderId="0" xfId="0" applyFont="1"/>
    <xf numFmtId="43" fontId="0" fillId="0" borderId="0" xfId="1" applyFont="1"/>
    <xf numFmtId="43" fontId="0" fillId="0" borderId="0" xfId="0" applyNumberFormat="1"/>
    <xf numFmtId="43" fontId="11" fillId="0" borderId="3" xfId="1" applyFont="1" applyBorder="1"/>
    <xf numFmtId="164" fontId="0" fillId="0" borderId="6" xfId="1" applyNumberFormat="1" applyFont="1" applyBorder="1"/>
    <xf numFmtId="0" fontId="12" fillId="3" borderId="0" xfId="0" applyFont="1" applyFill="1" applyAlignment="1">
      <alignment horizontal="left"/>
    </xf>
    <xf numFmtId="37" fontId="12" fillId="3" borderId="0" xfId="0" applyNumberFormat="1" applyFont="1" applyFill="1"/>
    <xf numFmtId="37" fontId="12" fillId="0" borderId="0" xfId="0" applyNumberFormat="1" applyFont="1"/>
    <xf numFmtId="0" fontId="12" fillId="0" borderId="0" xfId="0" applyFont="1"/>
    <xf numFmtId="37" fontId="6" fillId="0" borderId="0" xfId="0" applyNumberFormat="1" applyFont="1" applyAlignment="1">
      <alignment horizontal="center"/>
    </xf>
    <xf numFmtId="37" fontId="0" fillId="0" borderId="0" xfId="0" applyNumberFormat="1" applyAlignment="1">
      <alignment horizontal="left"/>
    </xf>
    <xf numFmtId="15" fontId="0" fillId="0" borderId="0" xfId="0" applyNumberFormat="1" applyAlignment="1">
      <alignment horizontal="left"/>
    </xf>
    <xf numFmtId="10" fontId="12" fillId="3" borderId="0" xfId="0" applyNumberFormat="1" applyFont="1" applyFill="1"/>
    <xf numFmtId="0" fontId="6" fillId="0" borderId="0" xfId="0" applyFont="1" applyAlignment="1">
      <alignment horizontal="center"/>
    </xf>
    <xf numFmtId="0" fontId="12" fillId="3" borderId="0" xfId="0" applyFont="1" applyFill="1"/>
    <xf numFmtId="37" fontId="0" fillId="3" borderId="0" xfId="0" applyNumberFormat="1" applyFill="1"/>
    <xf numFmtId="37" fontId="13" fillId="3" borderId="0" xfId="0" applyNumberFormat="1" applyFont="1" applyFill="1"/>
    <xf numFmtId="37" fontId="12" fillId="0" borderId="7" xfId="0" applyNumberFormat="1" applyFont="1" applyBorder="1"/>
    <xf numFmtId="0" fontId="14" fillId="0" borderId="0" xfId="0" applyFont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/>
    <xf numFmtId="0" fontId="3" fillId="0" borderId="8" xfId="0" applyFont="1" applyBorder="1"/>
    <xf numFmtId="0" fontId="0" fillId="0" borderId="9" xfId="0" applyBorder="1"/>
    <xf numFmtId="0" fontId="0" fillId="0" borderId="10" xfId="0" applyBorder="1"/>
    <xf numFmtId="0" fontId="3" fillId="0" borderId="10" xfId="0" applyFont="1" applyBorder="1"/>
    <xf numFmtId="0" fontId="0" fillId="0" borderId="10" xfId="0" applyBorder="1" applyAlignment="1">
      <alignment horizontal="left"/>
    </xf>
    <xf numFmtId="0" fontId="7" fillId="0" borderId="10" xfId="0" applyFont="1" applyBorder="1"/>
    <xf numFmtId="0" fontId="3" fillId="0" borderId="9" xfId="0" applyFont="1" applyBorder="1"/>
    <xf numFmtId="37" fontId="0" fillId="0" borderId="10" xfId="0" applyNumberFormat="1" applyBorder="1"/>
    <xf numFmtId="37" fontId="4" fillId="0" borderId="10" xfId="0" applyNumberFormat="1" applyFont="1" applyBorder="1"/>
    <xf numFmtId="165" fontId="7" fillId="0" borderId="10" xfId="1" applyNumberFormat="1" applyFont="1" applyBorder="1"/>
    <xf numFmtId="0" fontId="0" fillId="3" borderId="10" xfId="0" applyFill="1" applyBorder="1" applyAlignment="1">
      <alignment horizontal="left"/>
    </xf>
    <xf numFmtId="0" fontId="3" fillId="0" borderId="11" xfId="0" applyFont="1" applyBorder="1"/>
    <xf numFmtId="0" fontId="0" fillId="0" borderId="12" xfId="0" applyBorder="1" applyAlignment="1">
      <alignment horizontal="left"/>
    </xf>
    <xf numFmtId="0" fontId="4" fillId="0" borderId="8" xfId="0" applyFont="1" applyBorder="1" applyAlignment="1">
      <alignment horizontal="left"/>
    </xf>
    <xf numFmtId="0" fontId="0" fillId="0" borderId="13" xfId="0" applyBorder="1" applyAlignment="1">
      <alignment horizontal="left"/>
    </xf>
    <xf numFmtId="39" fontId="0" fillId="0" borderId="0" xfId="1" applyNumberFormat="1" applyFont="1"/>
    <xf numFmtId="39" fontId="3" fillId="0" borderId="0" xfId="1" applyNumberFormat="1" applyFont="1"/>
    <xf numFmtId="39" fontId="0" fillId="0" borderId="12" xfId="1" applyNumberFormat="1" applyFont="1" applyBorder="1"/>
    <xf numFmtId="39" fontId="3" fillId="0" borderId="12" xfId="1" applyNumberFormat="1" applyFont="1" applyBorder="1"/>
    <xf numFmtId="39" fontId="0" fillId="0" borderId="13" xfId="1" applyNumberFormat="1" applyFont="1" applyBorder="1"/>
    <xf numFmtId="39" fontId="3" fillId="0" borderId="13" xfId="1" applyNumberFormat="1" applyFont="1" applyBorder="1"/>
    <xf numFmtId="39" fontId="0" fillId="0" borderId="8" xfId="1" applyNumberFormat="1" applyFont="1" applyBorder="1"/>
    <xf numFmtId="39" fontId="3" fillId="0" borderId="8" xfId="1" applyNumberFormat="1" applyFont="1" applyBorder="1"/>
    <xf numFmtId="39" fontId="0" fillId="0" borderId="10" xfId="1" applyNumberFormat="1" applyFont="1" applyBorder="1"/>
    <xf numFmtId="39" fontId="3" fillId="0" borderId="10" xfId="1" applyNumberFormat="1" applyFont="1" applyBorder="1"/>
    <xf numFmtId="39" fontId="3" fillId="0" borderId="10" xfId="1" applyNumberFormat="1" applyFont="1" applyBorder="1" applyAlignment="1">
      <alignment horizontal="left"/>
    </xf>
    <xf numFmtId="165" fontId="12" fillId="0" borderId="0" xfId="1" applyNumberFormat="1" applyFont="1"/>
    <xf numFmtId="0" fontId="0" fillId="0" borderId="14" xfId="0" applyBorder="1"/>
    <xf numFmtId="165" fontId="0" fillId="0" borderId="14" xfId="1" applyNumberFormat="1" applyFont="1" applyBorder="1"/>
    <xf numFmtId="0" fontId="0" fillId="0" borderId="15" xfId="0" applyBorder="1"/>
    <xf numFmtId="165" fontId="0" fillId="0" borderId="15" xfId="1" applyNumberFormat="1" applyFont="1" applyBorder="1"/>
    <xf numFmtId="37" fontId="0" fillId="0" borderId="10" xfId="1" applyNumberFormat="1" applyFont="1" applyBorder="1"/>
    <xf numFmtId="37" fontId="0" fillId="0" borderId="0" xfId="1" applyNumberFormat="1" applyFont="1"/>
    <xf numFmtId="37" fontId="0" fillId="0" borderId="8" xfId="1" applyNumberFormat="1" applyFont="1" applyBorder="1"/>
    <xf numFmtId="37" fontId="4" fillId="0" borderId="10" xfId="1" applyNumberFormat="1" applyFont="1" applyBorder="1"/>
    <xf numFmtId="37" fontId="3" fillId="0" borderId="10" xfId="1" applyNumberFormat="1" applyFont="1" applyBorder="1" applyAlignment="1">
      <alignment horizontal="right"/>
    </xf>
    <xf numFmtId="37" fontId="0" fillId="0" borderId="12" xfId="1" applyNumberFormat="1" applyFont="1" applyBorder="1" applyAlignment="1">
      <alignment horizontal="right"/>
    </xf>
    <xf numFmtId="37" fontId="3" fillId="0" borderId="0" xfId="1" applyNumberFormat="1" applyFont="1"/>
    <xf numFmtId="37" fontId="7" fillId="0" borderId="8" xfId="1" applyNumberFormat="1" applyFont="1" applyBorder="1"/>
    <xf numFmtId="37" fontId="7" fillId="0" borderId="10" xfId="1" applyNumberFormat="1" applyFont="1" applyBorder="1"/>
    <xf numFmtId="37" fontId="3" fillId="0" borderId="10" xfId="1" applyNumberFormat="1" applyFont="1" applyBorder="1"/>
    <xf numFmtId="37" fontId="0" fillId="0" borderId="16" xfId="1" applyNumberFormat="1" applyFont="1" applyBorder="1" applyAlignment="1">
      <alignment horizontal="left"/>
    </xf>
    <xf numFmtId="37" fontId="0" fillId="0" borderId="17" xfId="1" applyNumberFormat="1" applyFont="1" applyBorder="1" applyAlignment="1">
      <alignment horizontal="left"/>
    </xf>
    <xf numFmtId="37" fontId="4" fillId="0" borderId="18" xfId="1" applyNumberFormat="1" applyFont="1" applyBorder="1" applyAlignment="1">
      <alignment horizontal="left"/>
    </xf>
    <xf numFmtId="165" fontId="3" fillId="0" borderId="10" xfId="1" applyNumberFormat="1" applyFont="1" applyBorder="1"/>
    <xf numFmtId="1" fontId="0" fillId="0" borderId="10" xfId="1" applyNumberFormat="1" applyFont="1" applyBorder="1"/>
    <xf numFmtId="37" fontId="0" fillId="0" borderId="0" xfId="0" applyNumberFormat="1" applyAlignment="1">
      <alignment horizontal="right"/>
    </xf>
    <xf numFmtId="37" fontId="3" fillId="0" borderId="0" xfId="0" applyNumberFormat="1" applyFont="1"/>
    <xf numFmtId="39" fontId="3" fillId="0" borderId="0" xfId="0" applyNumberFormat="1" applyFont="1" applyAlignment="1">
      <alignment horizontal="left"/>
    </xf>
    <xf numFmtId="0" fontId="0" fillId="0" borderId="19" xfId="0" applyBorder="1" applyAlignment="1">
      <alignment horizontal="center"/>
    </xf>
    <xf numFmtId="0" fontId="0" fillId="0" borderId="4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14" fontId="0" fillId="0" borderId="22" xfId="0" applyNumberFormat="1" applyBorder="1" applyAlignment="1">
      <alignment horizontal="center"/>
    </xf>
    <xf numFmtId="1" fontId="0" fillId="0" borderId="16" xfId="1" applyNumberFormat="1" applyFont="1" applyBorder="1" applyAlignment="1">
      <alignment horizontal="center"/>
    </xf>
    <xf numFmtId="43" fontId="0" fillId="0" borderId="17" xfId="1" applyFont="1" applyBorder="1" applyAlignment="1">
      <alignment horizontal="center"/>
    </xf>
    <xf numFmtId="43" fontId="0" fillId="0" borderId="18" xfId="1" applyFont="1" applyBorder="1" applyAlignment="1">
      <alignment horizontal="center"/>
    </xf>
    <xf numFmtId="0" fontId="0" fillId="0" borderId="5" xfId="0" applyBorder="1"/>
    <xf numFmtId="165" fontId="3" fillId="0" borderId="0" xfId="1" applyNumberFormat="1" applyFont="1"/>
    <xf numFmtId="165" fontId="0" fillId="0" borderId="12" xfId="1" applyNumberFormat="1" applyFont="1" applyBorder="1" applyAlignment="1">
      <alignment horizontal="left"/>
    </xf>
    <xf numFmtId="165" fontId="4" fillId="0" borderId="8" xfId="1" applyNumberFormat="1" applyFont="1" applyBorder="1" applyAlignment="1">
      <alignment horizontal="left"/>
    </xf>
    <xf numFmtId="165" fontId="3" fillId="0" borderId="8" xfId="1" applyNumberFormat="1" applyFont="1" applyBorder="1"/>
    <xf numFmtId="165" fontId="0" fillId="0" borderId="10" xfId="1" applyNumberFormat="1" applyFont="1" applyBorder="1"/>
    <xf numFmtId="165" fontId="4" fillId="0" borderId="10" xfId="1" applyNumberFormat="1" applyFont="1" applyBorder="1"/>
    <xf numFmtId="14" fontId="0" fillId="0" borderId="0" xfId="0" applyNumberFormat="1"/>
    <xf numFmtId="0" fontId="0" fillId="0" borderId="13" xfId="0" quotePrefix="1" applyBorder="1" applyAlignment="1">
      <alignment horizontal="left"/>
    </xf>
    <xf numFmtId="37" fontId="4" fillId="0" borderId="8" xfId="1" applyNumberFormat="1" applyFont="1" applyBorder="1" applyAlignment="1">
      <alignment horizontal="left"/>
    </xf>
    <xf numFmtId="165" fontId="0" fillId="0" borderId="3" xfId="0" applyNumberFormat="1" applyBorder="1"/>
    <xf numFmtId="165" fontId="0" fillId="0" borderId="13" xfId="1" applyNumberFormat="1" applyFont="1" applyBorder="1"/>
    <xf numFmtId="37" fontId="0" fillId="0" borderId="13" xfId="1" applyNumberFormat="1" applyFont="1" applyBorder="1" applyAlignment="1">
      <alignment horizontal="left" wrapText="1"/>
    </xf>
    <xf numFmtId="165" fontId="4" fillId="0" borderId="0" xfId="1" applyNumberFormat="1" applyFont="1"/>
    <xf numFmtId="165" fontId="12" fillId="3" borderId="0" xfId="1" applyNumberFormat="1" applyFont="1" applyFill="1"/>
    <xf numFmtId="165" fontId="0" fillId="0" borderId="0" xfId="1" applyNumberFormat="1" applyFont="1" applyAlignment="1">
      <alignment horizontal="center"/>
    </xf>
    <xf numFmtId="165" fontId="14" fillId="0" borderId="0" xfId="1" applyNumberFormat="1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37" fontId="0" fillId="0" borderId="12" xfId="1" quotePrefix="1" applyNumberFormat="1" applyFont="1" applyBorder="1" applyAlignment="1">
      <alignment horizontal="left" wrapText="1"/>
    </xf>
    <xf numFmtId="0" fontId="0" fillId="0" borderId="23" xfId="0" applyBorder="1" applyAlignment="1">
      <alignment horizontal="left"/>
    </xf>
    <xf numFmtId="37" fontId="0" fillId="0" borderId="13" xfId="1" applyNumberFormat="1" applyFont="1" applyBorder="1" applyAlignment="1">
      <alignment horizontal="center" wrapText="1"/>
    </xf>
    <xf numFmtId="39" fontId="7" fillId="0" borderId="10" xfId="1" applyNumberFormat="1" applyFont="1" applyBorder="1"/>
    <xf numFmtId="5" fontId="3" fillId="0" borderId="0" xfId="0" applyNumberFormat="1" applyFont="1"/>
    <xf numFmtId="10" fontId="0" fillId="0" borderId="0" xfId="3" applyNumberFormat="1" applyFont="1"/>
    <xf numFmtId="1" fontId="0" fillId="0" borderId="4" xfId="1" applyNumberFormat="1" applyFont="1" applyBorder="1" applyAlignment="1">
      <alignment horizontal="center"/>
    </xf>
    <xf numFmtId="43" fontId="0" fillId="0" borderId="19" xfId="1" applyFont="1" applyBorder="1" applyAlignment="1">
      <alignment horizontal="center"/>
    </xf>
    <xf numFmtId="43" fontId="0" fillId="0" borderId="5" xfId="1" applyFont="1" applyBorder="1" applyAlignment="1">
      <alignment horizontal="center"/>
    </xf>
    <xf numFmtId="0" fontId="2" fillId="0" borderId="0" xfId="0" applyFont="1"/>
    <xf numFmtId="43" fontId="0" fillId="0" borderId="4" xfId="1" applyFont="1" applyBorder="1"/>
    <xf numFmtId="165" fontId="7" fillId="0" borderId="0" xfId="1" applyNumberFormat="1" applyFont="1"/>
    <xf numFmtId="43" fontId="6" fillId="0" borderId="3" xfId="1" applyFont="1" applyBorder="1"/>
    <xf numFmtId="0" fontId="19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 wrapText="1"/>
    </xf>
    <xf numFmtId="168" fontId="20" fillId="0" borderId="6" xfId="0" applyNumberFormat="1" applyFont="1" applyBorder="1" applyAlignment="1">
      <alignment horizontal="center" wrapText="1"/>
    </xf>
    <xf numFmtId="169" fontId="20" fillId="0" borderId="6" xfId="0" applyNumberFormat="1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6" fontId="16" fillId="0" borderId="6" xfId="0" applyNumberFormat="1" applyFont="1" applyBorder="1" applyAlignment="1">
      <alignment horizontal="center"/>
    </xf>
    <xf numFmtId="169" fontId="16" fillId="4" borderId="6" xfId="0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6" fontId="0" fillId="0" borderId="6" xfId="0" applyNumberFormat="1" applyBorder="1" applyAlignment="1">
      <alignment horizontal="center"/>
    </xf>
    <xf numFmtId="169" fontId="0" fillId="4" borderId="6" xfId="0" applyNumberFormat="1" applyFill="1" applyBorder="1" applyAlignment="1">
      <alignment horizontal="center" wrapText="1"/>
    </xf>
    <xf numFmtId="169" fontId="2" fillId="4" borderId="6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6" xfId="0" quotePrefix="1" applyFont="1" applyBorder="1" applyAlignment="1">
      <alignment horizontal="center" wrapText="1"/>
    </xf>
    <xf numFmtId="6" fontId="2" fillId="0" borderId="6" xfId="0" applyNumberFormat="1" applyFont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168" fontId="2" fillId="0" borderId="6" xfId="0" applyNumberFormat="1" applyFont="1" applyBorder="1" applyAlignment="1">
      <alignment horizontal="center" wrapText="1"/>
    </xf>
    <xf numFmtId="169" fontId="2" fillId="0" borderId="6" xfId="0" applyNumberFormat="1" applyFont="1" applyBorder="1" applyAlignment="1">
      <alignment horizontal="center" wrapText="1"/>
    </xf>
    <xf numFmtId="9" fontId="11" fillId="0" borderId="6" xfId="3" applyFont="1" applyBorder="1" applyAlignment="1">
      <alignment horizontal="center" wrapText="1"/>
    </xf>
    <xf numFmtId="0" fontId="24" fillId="0" borderId="0" xfId="0" applyFont="1"/>
    <xf numFmtId="169" fontId="6" fillId="0" borderId="3" xfId="0" applyNumberFormat="1" applyFont="1" applyBorder="1"/>
    <xf numFmtId="43" fontId="0" fillId="0" borderId="24" xfId="1" applyFont="1" applyBorder="1"/>
    <xf numFmtId="43" fontId="0" fillId="0" borderId="3" xfId="1" applyFont="1" applyBorder="1"/>
    <xf numFmtId="43" fontId="6" fillId="0" borderId="0" xfId="1" applyFont="1"/>
    <xf numFmtId="14" fontId="0" fillId="0" borderId="13" xfId="0" applyNumberFormat="1" applyBorder="1"/>
    <xf numFmtId="3" fontId="0" fillId="0" borderId="0" xfId="0" applyNumberFormat="1"/>
    <xf numFmtId="170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43" fontId="11" fillId="0" borderId="0" xfId="1" applyFont="1"/>
    <xf numFmtId="10" fontId="0" fillId="0" borderId="0" xfId="3" applyNumberFormat="1" applyFont="1" applyAlignment="1">
      <alignment horizontal="right"/>
    </xf>
    <xf numFmtId="0" fontId="17" fillId="0" borderId="6" xfId="0" applyFont="1" applyBorder="1" applyAlignment="1">
      <alignment horizontal="center"/>
    </xf>
    <xf numFmtId="0" fontId="17" fillId="0" borderId="6" xfId="0" applyFont="1" applyBorder="1" applyAlignment="1">
      <alignment horizontal="center" wrapText="1"/>
    </xf>
    <xf numFmtId="6" fontId="17" fillId="0" borderId="6" xfId="0" applyNumberFormat="1" applyFont="1" applyBorder="1" applyAlignment="1">
      <alignment horizontal="center"/>
    </xf>
    <xf numFmtId="169" fontId="17" fillId="4" borderId="6" xfId="0" applyNumberFormat="1" applyFont="1" applyFill="1" applyBorder="1" applyAlignment="1">
      <alignment horizontal="center" wrapText="1"/>
    </xf>
    <xf numFmtId="0" fontId="48" fillId="0" borderId="0" xfId="0" applyFont="1"/>
    <xf numFmtId="0" fontId="21" fillId="0" borderId="6" xfId="0" applyFont="1" applyBorder="1" applyAlignment="1">
      <alignment horizontal="center"/>
    </xf>
    <xf numFmtId="0" fontId="0" fillId="0" borderId="12" xfId="0" applyBorder="1" applyAlignment="1">
      <alignment horizontal="left" vertical="top"/>
    </xf>
    <xf numFmtId="44" fontId="0" fillId="0" borderId="0" xfId="2" applyFont="1"/>
    <xf numFmtId="44" fontId="0" fillId="0" borderId="1" xfId="2" applyFont="1" applyBorder="1"/>
  </cellXfs>
  <cellStyles count="95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5"/>
    <cellStyle name="Comma 3" xfId="70"/>
    <cellStyle name="Comma 4" xfId="85"/>
    <cellStyle name="Comma 5" xfId="94"/>
    <cellStyle name="Comma 6" xfId="49"/>
    <cellStyle name="Currency" xfId="2" builtinId="4"/>
    <cellStyle name="Currency 2" xfId="53"/>
    <cellStyle name="Currency 2 2" xfId="60"/>
    <cellStyle name="Currency 2 3" xfId="67"/>
    <cellStyle name="Currency 3" xfId="55"/>
    <cellStyle name="Currency 4" xfId="56"/>
    <cellStyle name="Currency 5" xfId="72"/>
    <cellStyle name="Currency 6" xfId="86"/>
    <cellStyle name="Currency 7" xfId="91"/>
    <cellStyle name="Currency 8" xfId="50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" xfId="82"/>
    <cellStyle name="Normal 11" xfId="83"/>
    <cellStyle name="Normal 12" xfId="88"/>
    <cellStyle name="Normal 13" xfId="89"/>
    <cellStyle name="Normal 14" xfId="92"/>
    <cellStyle name="Normal 15" xfId="46"/>
    <cellStyle name="Normal 2" xfId="48"/>
    <cellStyle name="Normal 2 2" xfId="59"/>
    <cellStyle name="Normal 2 7" xfId="87"/>
    <cellStyle name="Normal 3" xfId="51"/>
    <cellStyle name="Normal 3 2" xfId="63"/>
    <cellStyle name="Normal 4" xfId="52"/>
    <cellStyle name="Normal 5" xfId="58"/>
    <cellStyle name="Normal 5 2" xfId="62"/>
    <cellStyle name="Normal 6" xfId="65"/>
    <cellStyle name="Normal 7" xfId="68"/>
    <cellStyle name="Normal 8" xfId="71"/>
    <cellStyle name="Normal 9" xfId="4"/>
    <cellStyle name="Note 2" xfId="90"/>
    <cellStyle name="Output" xfId="15" builtinId="21" customBuiltin="1"/>
    <cellStyle name="Percent" xfId="3" builtinId="5"/>
    <cellStyle name="Percent 2" xfId="54"/>
    <cellStyle name="Percent 2 2" xfId="64"/>
    <cellStyle name="Percent 3" xfId="57"/>
    <cellStyle name="Percent 3 2" xfId="61"/>
    <cellStyle name="Percent 4" xfId="66"/>
    <cellStyle name="Percent 5" xfId="69"/>
    <cellStyle name="Percent 6" xfId="84"/>
    <cellStyle name="Percent 7" xfId="93"/>
    <cellStyle name="Percent 8" xfId="47"/>
    <cellStyle name="PS_Comma" xfId="73"/>
    <cellStyle name="PSChar" xfId="74"/>
    <cellStyle name="PSDate" xfId="75"/>
    <cellStyle name="PSDec" xfId="76"/>
    <cellStyle name="PSHeading" xfId="77"/>
    <cellStyle name="PSInt" xfId="78"/>
    <cellStyle name="PSSpacer" xfId="79"/>
    <cellStyle name="Title" xfId="6" builtinId="15" customBuiltin="1"/>
    <cellStyle name="Total" xfId="21" builtinId="25" customBuiltin="1"/>
    <cellStyle name="Warning Text" xfId="19" builtinId="11" customBuiltin="1"/>
    <cellStyle name="WM_STANDARD" xfId="80"/>
    <cellStyle name="WMI_Standard" xfId="8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57" transitionEvaluation="1" codeName="Sheet1"/>
  <dimension ref="A1:M290"/>
  <sheetViews>
    <sheetView showGridLines="0" tabSelected="1" topLeftCell="A52" zoomScale="75" zoomScaleNormal="75" workbookViewId="0">
      <pane xSplit="2" ySplit="2" topLeftCell="C57" activePane="bottomRight" state="frozen"/>
      <selection activeCell="A52" sqref="A52"/>
      <selection pane="topRight" activeCell="C52" sqref="C52"/>
      <selection pane="bottomLeft" activeCell="A54" sqref="A54"/>
      <selection pane="bottomRight" activeCell="C54" sqref="C54"/>
    </sheetView>
  </sheetViews>
  <sheetFormatPr defaultColWidth="15.21875" defaultRowHeight="15.75" x14ac:dyDescent="0.25"/>
  <cols>
    <col min="1" max="1" width="3.77734375" customWidth="1"/>
    <col min="2" max="2" width="30.77734375" customWidth="1"/>
    <col min="3" max="3" width="15.77734375" customWidth="1"/>
    <col min="4" max="4" width="12.77734375" customWidth="1"/>
    <col min="5" max="5" width="11.21875" customWidth="1"/>
    <col min="6" max="7" width="11.77734375" customWidth="1"/>
    <col min="8" max="9" width="13.33203125" customWidth="1"/>
    <col min="10" max="10" width="12.44140625" customWidth="1"/>
    <col min="13" max="13" width="18.109375" bestFit="1" customWidth="1"/>
  </cols>
  <sheetData>
    <row r="1" spans="1:11" x14ac:dyDescent="0.25">
      <c r="B1" s="1" t="s">
        <v>0</v>
      </c>
      <c r="G1" s="1" t="s">
        <v>1</v>
      </c>
      <c r="H1" s="2"/>
    </row>
    <row r="2" spans="1:11" x14ac:dyDescent="0.25">
      <c r="H2" s="2"/>
    </row>
    <row r="3" spans="1:11" x14ac:dyDescent="0.25">
      <c r="H3" s="2"/>
    </row>
    <row r="4" spans="1:11" x14ac:dyDescent="0.25">
      <c r="H4" s="2"/>
    </row>
    <row r="5" spans="1:11" x14ac:dyDescent="0.25">
      <c r="C5" s="1" t="s">
        <v>2</v>
      </c>
      <c r="H5" s="2"/>
      <c r="I5" s="1" t="s">
        <v>3</v>
      </c>
      <c r="J5" s="1" t="s">
        <v>3</v>
      </c>
      <c r="K5" s="1" t="s">
        <v>3</v>
      </c>
    </row>
    <row r="6" spans="1:11" x14ac:dyDescent="0.25">
      <c r="C6" s="1" t="s">
        <v>4</v>
      </c>
      <c r="D6" s="1" t="s">
        <v>5</v>
      </c>
      <c r="E6" s="1"/>
      <c r="F6" s="1" t="s">
        <v>6</v>
      </c>
      <c r="G6" s="1" t="s">
        <v>3</v>
      </c>
      <c r="H6" s="2"/>
      <c r="I6" s="1" t="s">
        <v>7</v>
      </c>
      <c r="J6" s="1" t="s">
        <v>8</v>
      </c>
      <c r="K6" s="1" t="s">
        <v>9</v>
      </c>
    </row>
    <row r="7" spans="1:11" x14ac:dyDescent="0.25">
      <c r="C7" s="3" t="s">
        <v>516</v>
      </c>
      <c r="D7" s="3" t="s">
        <v>10</v>
      </c>
      <c r="E7" s="3"/>
      <c r="F7" s="3" t="s">
        <v>11</v>
      </c>
      <c r="G7" s="3" t="s">
        <v>12</v>
      </c>
      <c r="H7" s="2"/>
      <c r="I7" s="3" t="s">
        <v>13</v>
      </c>
      <c r="J7" s="3" t="s">
        <v>13</v>
      </c>
      <c r="K7" s="3" t="s">
        <v>13</v>
      </c>
    </row>
    <row r="8" spans="1:11" x14ac:dyDescent="0.25">
      <c r="A8" s="2">
        <v>1</v>
      </c>
      <c r="B8" s="1" t="s">
        <v>14</v>
      </c>
      <c r="H8" s="2"/>
    </row>
    <row r="9" spans="1:11" x14ac:dyDescent="0.25">
      <c r="A9" s="2">
        <v>2</v>
      </c>
      <c r="B9" s="1" t="s">
        <v>15</v>
      </c>
      <c r="C9" s="4">
        <v>1376.64</v>
      </c>
      <c r="D9" s="4"/>
      <c r="E9" s="4"/>
      <c r="F9" s="4">
        <f>C9+D9</f>
        <v>1376.64</v>
      </c>
      <c r="H9" s="2"/>
      <c r="I9" s="4">
        <f t="shared" ref="I9:I13" si="0">F9+G9</f>
        <v>1376.64</v>
      </c>
      <c r="J9" s="4"/>
      <c r="K9" s="4">
        <f t="shared" ref="K9:K13" si="1">I9+J9</f>
        <v>1376.64</v>
      </c>
    </row>
    <row r="10" spans="1:11" x14ac:dyDescent="0.25">
      <c r="A10" s="2">
        <v>3</v>
      </c>
      <c r="B10" s="1" t="s">
        <v>16</v>
      </c>
      <c r="C10" s="5">
        <v>6621799.0800000001</v>
      </c>
      <c r="D10" s="5"/>
      <c r="E10" s="5"/>
      <c r="F10" s="5">
        <f>C10+D10</f>
        <v>6621799.0800000001</v>
      </c>
      <c r="H10" s="2"/>
      <c r="I10" s="5">
        <f t="shared" si="0"/>
        <v>6621799.0800000001</v>
      </c>
      <c r="J10" s="5"/>
      <c r="K10" s="5">
        <f t="shared" si="1"/>
        <v>6621799.0800000001</v>
      </c>
    </row>
    <row r="11" spans="1:11" x14ac:dyDescent="0.25">
      <c r="A11" s="2">
        <v>4</v>
      </c>
      <c r="B11" s="1" t="s">
        <v>17</v>
      </c>
      <c r="C11" s="5">
        <v>325484.48</v>
      </c>
      <c r="D11" s="5"/>
      <c r="E11" s="5"/>
      <c r="F11" s="5">
        <f>C11+D11</f>
        <v>325484.48</v>
      </c>
      <c r="H11" s="2"/>
      <c r="I11" s="5">
        <f t="shared" si="0"/>
        <v>325484.48</v>
      </c>
      <c r="J11" s="5"/>
      <c r="K11" s="5">
        <f t="shared" si="1"/>
        <v>325484.48</v>
      </c>
    </row>
    <row r="12" spans="1:11" s="32" customFormat="1" x14ac:dyDescent="0.25">
      <c r="A12" s="2">
        <v>5</v>
      </c>
      <c r="B12" s="31" t="s">
        <v>18</v>
      </c>
      <c r="C12" s="6">
        <v>101746</v>
      </c>
      <c r="D12" s="6"/>
      <c r="E12" s="6"/>
      <c r="F12" s="6">
        <f>C12+D12</f>
        <v>101746</v>
      </c>
      <c r="I12" s="6">
        <f t="shared" si="0"/>
        <v>101746</v>
      </c>
      <c r="J12" s="6"/>
      <c r="K12" s="6">
        <f>I12+J12</f>
        <v>101746</v>
      </c>
    </row>
    <row r="13" spans="1:11" x14ac:dyDescent="0.25">
      <c r="A13" s="2">
        <v>6</v>
      </c>
      <c r="B13" s="1" t="s">
        <v>19</v>
      </c>
      <c r="C13" s="4">
        <f>SUM(C9:C12)</f>
        <v>7050406.1999999993</v>
      </c>
      <c r="D13" s="4">
        <f>SUM(D9:D12)</f>
        <v>0</v>
      </c>
      <c r="E13" s="4"/>
      <c r="F13" s="4">
        <f>SUM(F9:F12)</f>
        <v>7050406.1999999993</v>
      </c>
      <c r="G13" s="4">
        <f>SUM(G9:G12)</f>
        <v>0</v>
      </c>
      <c r="H13" s="2"/>
      <c r="I13" s="4">
        <f t="shared" si="0"/>
        <v>7050406.1999999993</v>
      </c>
      <c r="J13" s="4">
        <f>SUM(J9:J12)</f>
        <v>0</v>
      </c>
      <c r="K13" s="4">
        <f t="shared" si="1"/>
        <v>7050406.1999999993</v>
      </c>
    </row>
    <row r="14" spans="1:11" x14ac:dyDescent="0.25">
      <c r="A14" s="2">
        <v>7</v>
      </c>
      <c r="H14" s="2"/>
      <c r="I14" s="4"/>
      <c r="K14" s="5"/>
    </row>
    <row r="15" spans="1:11" x14ac:dyDescent="0.25">
      <c r="A15" s="2">
        <v>8</v>
      </c>
      <c r="B15" s="1" t="s">
        <v>20</v>
      </c>
      <c r="H15" s="2"/>
      <c r="I15" s="4"/>
      <c r="K15" s="5"/>
    </row>
    <row r="16" spans="1:11" x14ac:dyDescent="0.25">
      <c r="A16" s="2">
        <v>9</v>
      </c>
      <c r="B16" s="1" t="s">
        <v>21</v>
      </c>
      <c r="C16" s="4">
        <f>1769444.63-C17</f>
        <v>1333458.6299999999</v>
      </c>
      <c r="D16" s="4"/>
      <c r="E16" s="4"/>
      <c r="F16" s="4">
        <f t="shared" ref="F16:F36" si="2">C16+D16</f>
        <v>1333458.6299999999</v>
      </c>
      <c r="G16" s="4"/>
      <c r="H16" s="2"/>
      <c r="I16" s="4">
        <f t="shared" ref="I16:I36" si="3">F16+G16</f>
        <v>1333458.6299999999</v>
      </c>
      <c r="J16" s="4"/>
      <c r="K16" s="4">
        <f t="shared" ref="K16:K38" si="4">I16+J16</f>
        <v>1333458.6299999999</v>
      </c>
    </row>
    <row r="17" spans="1:11" x14ac:dyDescent="0.25">
      <c r="A17" s="2">
        <v>10</v>
      </c>
      <c r="B17" s="1" t="s">
        <v>22</v>
      </c>
      <c r="C17" s="5">
        <f>+'PA-1 SALARY2018'!B135</f>
        <v>435986</v>
      </c>
      <c r="D17" s="5"/>
      <c r="E17" s="5"/>
      <c r="F17" s="5">
        <f t="shared" si="2"/>
        <v>435986</v>
      </c>
      <c r="G17" s="5"/>
      <c r="H17" s="2"/>
      <c r="I17" s="5">
        <f t="shared" si="3"/>
        <v>435986</v>
      </c>
      <c r="J17" s="5"/>
      <c r="K17" s="5">
        <f t="shared" si="4"/>
        <v>435986</v>
      </c>
    </row>
    <row r="18" spans="1:11" x14ac:dyDescent="0.25">
      <c r="A18" s="2">
        <v>11</v>
      </c>
      <c r="B18" s="1" t="s">
        <v>23</v>
      </c>
      <c r="C18" s="5">
        <f>632886.47+2635.9</f>
        <v>635522.37</v>
      </c>
      <c r="D18" s="5"/>
      <c r="E18" s="5"/>
      <c r="F18" s="5">
        <f t="shared" si="2"/>
        <v>635522.37</v>
      </c>
      <c r="G18" s="5"/>
      <c r="H18" s="2"/>
      <c r="I18" s="5">
        <f t="shared" si="3"/>
        <v>635522.37</v>
      </c>
      <c r="J18" s="5"/>
      <c r="K18" s="5">
        <f t="shared" si="4"/>
        <v>635522.37</v>
      </c>
    </row>
    <row r="19" spans="1:11" x14ac:dyDescent="0.25">
      <c r="A19" s="2">
        <v>12</v>
      </c>
      <c r="B19" s="1" t="s">
        <v>24</v>
      </c>
      <c r="C19" s="5">
        <v>1116843.45</v>
      </c>
      <c r="D19" s="5"/>
      <c r="E19" s="5"/>
      <c r="F19" s="5">
        <f t="shared" si="2"/>
        <v>1116843.45</v>
      </c>
      <c r="G19" s="5"/>
      <c r="H19" s="2"/>
      <c r="I19" s="5">
        <f t="shared" si="3"/>
        <v>1116843.45</v>
      </c>
      <c r="J19" s="5"/>
      <c r="K19" s="5">
        <f t="shared" si="4"/>
        <v>1116843.45</v>
      </c>
    </row>
    <row r="20" spans="1:11" x14ac:dyDescent="0.25">
      <c r="A20" s="2">
        <v>13</v>
      </c>
      <c r="B20" s="1" t="s">
        <v>63</v>
      </c>
      <c r="C20" s="5">
        <v>154109.57999999999</v>
      </c>
      <c r="D20" s="5"/>
      <c r="E20" s="5"/>
      <c r="F20" s="5">
        <f t="shared" si="2"/>
        <v>154109.57999999999</v>
      </c>
      <c r="G20" s="5"/>
      <c r="H20" s="2"/>
      <c r="I20" s="5">
        <f t="shared" si="3"/>
        <v>154109.57999999999</v>
      </c>
      <c r="J20" s="5"/>
      <c r="K20" s="5">
        <f t="shared" si="4"/>
        <v>154109.57999999999</v>
      </c>
    </row>
    <row r="21" spans="1:11" x14ac:dyDescent="0.25">
      <c r="A21" s="2">
        <v>14</v>
      </c>
      <c r="B21" s="1" t="s">
        <v>26</v>
      </c>
      <c r="C21" s="5">
        <v>769063.28</v>
      </c>
      <c r="D21" s="5"/>
      <c r="E21" s="5"/>
      <c r="F21" s="5">
        <f t="shared" si="2"/>
        <v>769063.28</v>
      </c>
      <c r="G21" s="5"/>
      <c r="H21" s="2"/>
      <c r="I21" s="5">
        <f t="shared" si="3"/>
        <v>769063.28</v>
      </c>
      <c r="J21" s="5"/>
      <c r="K21" s="5">
        <f t="shared" si="4"/>
        <v>769063.28</v>
      </c>
    </row>
    <row r="22" spans="1:11" x14ac:dyDescent="0.25">
      <c r="A22" s="2">
        <v>15</v>
      </c>
      <c r="B22" s="1" t="s">
        <v>27</v>
      </c>
      <c r="C22" s="5">
        <v>48698.29</v>
      </c>
      <c r="D22" s="5"/>
      <c r="E22" s="5"/>
      <c r="F22" s="5">
        <f t="shared" si="2"/>
        <v>48698.29</v>
      </c>
      <c r="G22" s="5"/>
      <c r="H22" s="2"/>
      <c r="I22" s="5">
        <f t="shared" si="3"/>
        <v>48698.29</v>
      </c>
      <c r="J22" s="5"/>
      <c r="K22" s="5">
        <f t="shared" si="4"/>
        <v>48698.29</v>
      </c>
    </row>
    <row r="23" spans="1:11" x14ac:dyDescent="0.25">
      <c r="A23" s="2">
        <v>16</v>
      </c>
      <c r="B23" s="1" t="s">
        <v>28</v>
      </c>
      <c r="C23" s="5">
        <v>27956.3</v>
      </c>
      <c r="D23" s="5"/>
      <c r="E23" s="5"/>
      <c r="F23" s="5">
        <f t="shared" si="2"/>
        <v>27956.3</v>
      </c>
      <c r="G23" s="5"/>
      <c r="H23" s="2"/>
      <c r="I23" s="5">
        <f t="shared" si="3"/>
        <v>27956.3</v>
      </c>
      <c r="J23" s="5"/>
      <c r="K23" s="5">
        <f t="shared" si="4"/>
        <v>27956.3</v>
      </c>
    </row>
    <row r="24" spans="1:11" x14ac:dyDescent="0.25">
      <c r="A24" s="2">
        <v>17</v>
      </c>
      <c r="B24" s="1" t="s">
        <v>29</v>
      </c>
      <c r="C24" s="5">
        <v>28869</v>
      </c>
      <c r="D24" s="5"/>
      <c r="E24" s="5"/>
      <c r="F24" s="5">
        <f t="shared" si="2"/>
        <v>28869</v>
      </c>
      <c r="G24" s="5"/>
      <c r="H24" s="2"/>
      <c r="I24" s="5">
        <f t="shared" si="3"/>
        <v>28869</v>
      </c>
      <c r="J24" s="5"/>
      <c r="K24" s="5">
        <f t="shared" si="4"/>
        <v>28869</v>
      </c>
    </row>
    <row r="25" spans="1:11" x14ac:dyDescent="0.25">
      <c r="A25" s="2">
        <v>18</v>
      </c>
      <c r="B25" s="1" t="s">
        <v>30</v>
      </c>
      <c r="C25" s="5">
        <v>35210.35</v>
      </c>
      <c r="D25" s="5"/>
      <c r="E25" s="5"/>
      <c r="F25" s="5">
        <f t="shared" si="2"/>
        <v>35210.35</v>
      </c>
      <c r="G25" s="5"/>
      <c r="H25" s="2"/>
      <c r="I25" s="5">
        <f t="shared" si="3"/>
        <v>35210.35</v>
      </c>
      <c r="J25" s="5"/>
      <c r="K25" s="5">
        <f t="shared" si="4"/>
        <v>35210.35</v>
      </c>
    </row>
    <row r="26" spans="1:11" x14ac:dyDescent="0.25">
      <c r="A26" s="2">
        <v>19</v>
      </c>
      <c r="B26" s="1" t="s">
        <v>220</v>
      </c>
      <c r="C26" s="5">
        <v>-154032</v>
      </c>
      <c r="D26" s="5"/>
      <c r="E26" s="5"/>
      <c r="F26" s="5">
        <f t="shared" si="2"/>
        <v>-154032</v>
      </c>
      <c r="G26" s="5"/>
      <c r="H26" s="2"/>
      <c r="I26" s="5">
        <f t="shared" si="3"/>
        <v>-154032</v>
      </c>
      <c r="J26" s="5"/>
      <c r="K26" s="5">
        <f t="shared" si="4"/>
        <v>-154032</v>
      </c>
    </row>
    <row r="27" spans="1:11" x14ac:dyDescent="0.25">
      <c r="A27" s="2">
        <v>20</v>
      </c>
      <c r="B27" s="1" t="s">
        <v>32</v>
      </c>
      <c r="C27" s="5">
        <v>6873.81</v>
      </c>
      <c r="D27" s="5"/>
      <c r="E27" s="5"/>
      <c r="F27" s="5">
        <f t="shared" si="2"/>
        <v>6873.81</v>
      </c>
      <c r="G27" s="5"/>
      <c r="H27" s="2"/>
      <c r="I27" s="5">
        <f t="shared" si="3"/>
        <v>6873.81</v>
      </c>
      <c r="J27" s="5"/>
      <c r="K27" s="5">
        <f t="shared" si="4"/>
        <v>6873.81</v>
      </c>
    </row>
    <row r="28" spans="1:11" x14ac:dyDescent="0.25">
      <c r="A28" s="2">
        <v>21</v>
      </c>
      <c r="B28" s="1" t="s">
        <v>33</v>
      </c>
      <c r="C28" s="5">
        <v>174522.77</v>
      </c>
      <c r="D28" s="5"/>
      <c r="E28" s="5"/>
      <c r="F28" s="5">
        <f t="shared" si="2"/>
        <v>174522.77</v>
      </c>
      <c r="G28" s="5"/>
      <c r="H28" s="2"/>
      <c r="I28" s="5">
        <f t="shared" si="3"/>
        <v>174522.77</v>
      </c>
      <c r="J28" s="5"/>
      <c r="K28" s="5">
        <f t="shared" si="4"/>
        <v>174522.77</v>
      </c>
    </row>
    <row r="29" spans="1:11" x14ac:dyDescent="0.25">
      <c r="A29" s="2">
        <v>22</v>
      </c>
      <c r="B29" s="1" t="s">
        <v>34</v>
      </c>
      <c r="C29" s="5">
        <v>48672.66</v>
      </c>
      <c r="D29" s="5"/>
      <c r="E29" s="5"/>
      <c r="F29" s="5">
        <f t="shared" si="2"/>
        <v>48672.66</v>
      </c>
      <c r="G29" s="5"/>
      <c r="H29" s="2"/>
      <c r="I29" s="5">
        <f t="shared" si="3"/>
        <v>48672.66</v>
      </c>
      <c r="J29" s="5"/>
      <c r="K29" s="5">
        <f t="shared" si="4"/>
        <v>48672.66</v>
      </c>
    </row>
    <row r="30" spans="1:11" x14ac:dyDescent="0.25">
      <c r="A30" s="2">
        <v>23</v>
      </c>
      <c r="B30" s="1" t="s">
        <v>35</v>
      </c>
      <c r="C30" s="5">
        <v>48028.32</v>
      </c>
      <c r="D30" s="5"/>
      <c r="E30" s="5"/>
      <c r="F30" s="5">
        <f t="shared" si="2"/>
        <v>48028.32</v>
      </c>
      <c r="G30" s="5"/>
      <c r="H30" s="2"/>
      <c r="I30" s="5">
        <f t="shared" si="3"/>
        <v>48028.32</v>
      </c>
      <c r="J30" s="5"/>
      <c r="K30" s="5">
        <f t="shared" si="4"/>
        <v>48028.32</v>
      </c>
    </row>
    <row r="31" spans="1:11" x14ac:dyDescent="0.25">
      <c r="A31" s="2">
        <v>24</v>
      </c>
      <c r="B31" s="1" t="s">
        <v>36</v>
      </c>
      <c r="C31" s="5">
        <v>13680.73</v>
      </c>
      <c r="D31" s="5"/>
      <c r="E31" s="5"/>
      <c r="F31" s="5">
        <f t="shared" si="2"/>
        <v>13680.73</v>
      </c>
      <c r="G31" s="5"/>
      <c r="H31" s="2"/>
      <c r="I31" s="5">
        <f t="shared" si="3"/>
        <v>13680.73</v>
      </c>
      <c r="J31" s="5"/>
      <c r="K31" s="5">
        <f t="shared" si="4"/>
        <v>13680.73</v>
      </c>
    </row>
    <row r="32" spans="1:11" x14ac:dyDescent="0.25">
      <c r="A32" s="2">
        <v>25</v>
      </c>
      <c r="B32" s="1" t="s">
        <v>37</v>
      </c>
      <c r="C32" s="5">
        <v>64018</v>
      </c>
      <c r="D32" s="5"/>
      <c r="E32" s="5"/>
      <c r="F32" s="5">
        <f t="shared" si="2"/>
        <v>64018</v>
      </c>
      <c r="G32" s="5"/>
      <c r="H32" s="2"/>
      <c r="I32" s="5">
        <f t="shared" si="3"/>
        <v>64018</v>
      </c>
      <c r="J32" s="5"/>
      <c r="K32" s="5">
        <f t="shared" si="4"/>
        <v>64018</v>
      </c>
    </row>
    <row r="33" spans="1:11" x14ac:dyDescent="0.25">
      <c r="A33" s="2">
        <v>26</v>
      </c>
      <c r="B33" s="1" t="s">
        <v>38</v>
      </c>
      <c r="C33" s="5">
        <v>656071</v>
      </c>
      <c r="D33" s="5"/>
      <c r="E33" s="5"/>
      <c r="F33" s="5">
        <f t="shared" si="2"/>
        <v>656071</v>
      </c>
      <c r="G33" s="5"/>
      <c r="H33" s="2"/>
      <c r="I33" s="5">
        <f t="shared" si="3"/>
        <v>656071</v>
      </c>
      <c r="J33" s="5"/>
      <c r="K33" s="5">
        <f t="shared" si="4"/>
        <v>656071</v>
      </c>
    </row>
    <row r="34" spans="1:11" x14ac:dyDescent="0.25">
      <c r="A34" s="2">
        <v>27</v>
      </c>
      <c r="B34" s="1" t="s">
        <v>39</v>
      </c>
      <c r="C34" s="5">
        <v>17060.71</v>
      </c>
      <c r="D34" s="5"/>
      <c r="E34" s="5"/>
      <c r="F34" s="5">
        <f t="shared" si="2"/>
        <v>17060.71</v>
      </c>
      <c r="G34" s="5"/>
      <c r="H34" s="2"/>
      <c r="I34" s="5">
        <f t="shared" si="3"/>
        <v>17060.71</v>
      </c>
      <c r="J34" s="5"/>
      <c r="K34" s="5">
        <f t="shared" si="4"/>
        <v>17060.71</v>
      </c>
    </row>
    <row r="35" spans="1:11" x14ac:dyDescent="0.25">
      <c r="A35" s="2">
        <v>28</v>
      </c>
      <c r="B35" s="1" t="s">
        <v>40</v>
      </c>
      <c r="C35" s="5">
        <v>866885</v>
      </c>
      <c r="D35" s="5"/>
      <c r="E35" s="5"/>
      <c r="F35" s="5">
        <f t="shared" si="2"/>
        <v>866885</v>
      </c>
      <c r="G35" s="5"/>
      <c r="H35" s="2"/>
      <c r="I35" s="5">
        <f t="shared" si="3"/>
        <v>866885</v>
      </c>
      <c r="J35" s="5"/>
      <c r="K35" s="5">
        <f t="shared" si="4"/>
        <v>866885</v>
      </c>
    </row>
    <row r="36" spans="1:11" x14ac:dyDescent="0.25">
      <c r="A36" s="2">
        <v>29</v>
      </c>
      <c r="B36" s="1" t="s">
        <v>498</v>
      </c>
      <c r="C36" s="5">
        <v>0</v>
      </c>
      <c r="D36" s="5"/>
      <c r="E36" s="5"/>
      <c r="F36" s="5">
        <f t="shared" si="2"/>
        <v>0</v>
      </c>
      <c r="G36" s="5"/>
      <c r="H36" s="2"/>
      <c r="I36" s="5">
        <f t="shared" si="3"/>
        <v>0</v>
      </c>
      <c r="J36" s="5"/>
      <c r="K36" s="5">
        <f t="shared" si="4"/>
        <v>0</v>
      </c>
    </row>
    <row r="37" spans="1:11" x14ac:dyDescent="0.25">
      <c r="A37" s="2">
        <v>30</v>
      </c>
      <c r="C37" s="6">
        <v>0</v>
      </c>
      <c r="D37" s="6">
        <v>0</v>
      </c>
      <c r="E37" s="6"/>
      <c r="F37" s="6">
        <v>0</v>
      </c>
      <c r="G37" s="6">
        <v>0</v>
      </c>
      <c r="H37" s="2"/>
      <c r="I37" s="6">
        <v>0</v>
      </c>
      <c r="J37" s="6">
        <v>0</v>
      </c>
      <c r="K37" s="6">
        <f t="shared" si="4"/>
        <v>0</v>
      </c>
    </row>
    <row r="38" spans="1:11" x14ac:dyDescent="0.25">
      <c r="A38" s="2">
        <v>31</v>
      </c>
      <c r="B38" s="1" t="s">
        <v>41</v>
      </c>
      <c r="C38" s="4">
        <f>SUM(C16:C37)</f>
        <v>6327498.25</v>
      </c>
      <c r="D38" s="4">
        <f>SUM(D16:D37)</f>
        <v>0</v>
      </c>
      <c r="E38" s="4"/>
      <c r="F38" s="4">
        <f>SUM(F16:F37)</f>
        <v>6327498.25</v>
      </c>
      <c r="G38" s="4">
        <f>SUM(G16:G37)</f>
        <v>0</v>
      </c>
      <c r="H38" s="2"/>
      <c r="I38" s="4">
        <f>F38+G38</f>
        <v>6327498.25</v>
      </c>
      <c r="J38" s="4">
        <f>SUM(J16:J37)</f>
        <v>0</v>
      </c>
      <c r="K38" s="4">
        <f t="shared" si="4"/>
        <v>6327498.25</v>
      </c>
    </row>
    <row r="39" spans="1:11" x14ac:dyDescent="0.25">
      <c r="A39" s="2">
        <v>32</v>
      </c>
      <c r="H39" s="2"/>
      <c r="I39" s="4"/>
      <c r="K39" s="5"/>
    </row>
    <row r="40" spans="1:11" x14ac:dyDescent="0.25">
      <c r="A40" s="2">
        <v>33</v>
      </c>
      <c r="B40" s="1" t="s">
        <v>42</v>
      </c>
      <c r="C40" s="4">
        <f>+C13-C38</f>
        <v>722907.94999999925</v>
      </c>
      <c r="D40" s="4">
        <f>D13-D38</f>
        <v>0</v>
      </c>
      <c r="E40" s="4"/>
      <c r="F40" s="4">
        <f>F13-F38</f>
        <v>722907.94999999925</v>
      </c>
      <c r="G40" s="4">
        <f>G13-G38</f>
        <v>0</v>
      </c>
      <c r="H40" s="2"/>
      <c r="I40" s="4">
        <f>I13-I38</f>
        <v>722907.94999999925</v>
      </c>
      <c r="J40" s="4">
        <f>J13-J38</f>
        <v>0</v>
      </c>
      <c r="K40" s="4">
        <f>K13-K38</f>
        <v>722907.94999999925</v>
      </c>
    </row>
    <row r="41" spans="1:11" x14ac:dyDescent="0.25">
      <c r="A41" s="2">
        <v>34</v>
      </c>
      <c r="B41" s="1" t="s">
        <v>43</v>
      </c>
      <c r="C41" s="6">
        <f>SUM(+C40-C44)*0.21</f>
        <v>125390.16839999983</v>
      </c>
      <c r="D41" s="6">
        <f>+(D40-D44)*0.34</f>
        <v>0</v>
      </c>
      <c r="E41" s="6"/>
      <c r="F41" s="6">
        <f>C41+D41</f>
        <v>125390.16839999983</v>
      </c>
      <c r="G41" s="6">
        <f>+(G40-G44)*0.34</f>
        <v>0</v>
      </c>
      <c r="H41" s="6"/>
      <c r="I41" s="9">
        <f>F41+G41</f>
        <v>125390.16839999983</v>
      </c>
      <c r="J41" s="6">
        <f>+(J40-J44)*0.34</f>
        <v>0</v>
      </c>
      <c r="K41" s="6">
        <f>+(K40-K44)*0.34</f>
        <v>203012.65359999976</v>
      </c>
    </row>
    <row r="42" spans="1:11" x14ac:dyDescent="0.25">
      <c r="A42" s="2">
        <v>35</v>
      </c>
      <c r="B42" s="1" t="s">
        <v>44</v>
      </c>
      <c r="C42" s="4">
        <f>+C40-C41</f>
        <v>597517.78159999941</v>
      </c>
      <c r="D42" s="4">
        <f>D40-D41</f>
        <v>0</v>
      </c>
      <c r="E42" s="4"/>
      <c r="F42" s="30">
        <f>C42+D42</f>
        <v>597517.78159999941</v>
      </c>
      <c r="G42" s="4">
        <f>G40-G41</f>
        <v>0</v>
      </c>
      <c r="H42" s="2"/>
      <c r="I42" s="4">
        <f>F42+G42</f>
        <v>597517.78159999941</v>
      </c>
      <c r="J42" s="4">
        <f>J40-J41</f>
        <v>0</v>
      </c>
      <c r="K42" s="4">
        <f>I42+J42</f>
        <v>597517.78159999941</v>
      </c>
    </row>
    <row r="43" spans="1:11" x14ac:dyDescent="0.25">
      <c r="A43" s="2">
        <v>36</v>
      </c>
      <c r="B43" s="1"/>
      <c r="C43" s="4"/>
      <c r="D43" s="4"/>
      <c r="E43" s="4"/>
      <c r="F43" s="4"/>
      <c r="G43" s="4"/>
      <c r="H43" s="2"/>
      <c r="I43" s="4"/>
      <c r="J43" s="4"/>
      <c r="K43" s="4"/>
    </row>
    <row r="44" spans="1:11" x14ac:dyDescent="0.25">
      <c r="A44" s="2">
        <v>37</v>
      </c>
      <c r="B44" s="8" t="s">
        <v>93</v>
      </c>
      <c r="C44" s="6">
        <f>137077.44-11265.53</f>
        <v>125811.91</v>
      </c>
      <c r="D44" s="6">
        <v>0</v>
      </c>
      <c r="E44" s="6"/>
      <c r="F44" s="6">
        <f>C44+D44</f>
        <v>125811.91</v>
      </c>
      <c r="G44" s="6">
        <v>0</v>
      </c>
      <c r="H44" s="2"/>
      <c r="I44" s="6">
        <f>F44+G44</f>
        <v>125811.91</v>
      </c>
      <c r="J44" s="6">
        <v>0</v>
      </c>
      <c r="K44" s="5">
        <f>I44+J44</f>
        <v>125811.91</v>
      </c>
    </row>
    <row r="45" spans="1:11" s="8" customFormat="1" x14ac:dyDescent="0.25">
      <c r="A45" s="2">
        <v>38</v>
      </c>
      <c r="B45" s="8" t="s">
        <v>92</v>
      </c>
      <c r="C45" s="4">
        <f>+C42-C44</f>
        <v>471705.87159999937</v>
      </c>
      <c r="D45" s="4">
        <f>+D42-D44</f>
        <v>0</v>
      </c>
      <c r="E45" s="4"/>
      <c r="F45" s="5">
        <f>C45+D45</f>
        <v>471705.87159999937</v>
      </c>
      <c r="G45" s="4">
        <f>+G42-G44</f>
        <v>0</v>
      </c>
      <c r="H45" s="2"/>
      <c r="I45" s="5">
        <f>F45+G45</f>
        <v>471705.87159999937</v>
      </c>
      <c r="J45" s="4">
        <f>+J42-J44</f>
        <v>0</v>
      </c>
      <c r="K45" s="4">
        <f>+K42-K44</f>
        <v>471705.87159999937</v>
      </c>
    </row>
    <row r="46" spans="1:11" x14ac:dyDescent="0.25">
      <c r="A46" s="2">
        <v>39</v>
      </c>
      <c r="C46" s="4"/>
      <c r="H46" s="2"/>
      <c r="I46" s="4"/>
      <c r="K46" s="5"/>
    </row>
    <row r="47" spans="1:11" x14ac:dyDescent="0.25">
      <c r="A47" s="2">
        <v>40</v>
      </c>
      <c r="B47" s="1" t="s">
        <v>45</v>
      </c>
      <c r="H47" s="2"/>
      <c r="I47" s="4"/>
      <c r="K47" s="5"/>
    </row>
    <row r="48" spans="1:11" x14ac:dyDescent="0.25">
      <c r="A48" s="2">
        <v>41</v>
      </c>
      <c r="B48" s="1" t="s">
        <v>46</v>
      </c>
      <c r="C48" s="4">
        <v>53166998.869999997</v>
      </c>
      <c r="D48" s="4"/>
      <c r="E48" s="4"/>
      <c r="F48" s="4">
        <f>C48+D48</f>
        <v>53166998.869999997</v>
      </c>
      <c r="G48" s="4"/>
      <c r="H48" s="2"/>
      <c r="I48" s="4">
        <f>F48+G48</f>
        <v>53166998.869999997</v>
      </c>
      <c r="J48" s="4">
        <v>0</v>
      </c>
      <c r="K48" s="4">
        <f>I48+J48</f>
        <v>53166998.869999997</v>
      </c>
    </row>
    <row r="49" spans="1:13" x14ac:dyDescent="0.25">
      <c r="A49" s="2">
        <v>42</v>
      </c>
      <c r="B49" s="1" t="s">
        <v>47</v>
      </c>
      <c r="C49" s="5">
        <v>-18687608.120000001</v>
      </c>
      <c r="D49" s="5"/>
      <c r="E49" s="5"/>
      <c r="F49" s="5">
        <f>C49+D49</f>
        <v>-18687608.120000001</v>
      </c>
      <c r="G49" s="5">
        <v>0</v>
      </c>
      <c r="H49" s="2"/>
      <c r="I49" s="5">
        <f>F49+G49</f>
        <v>-18687608.120000001</v>
      </c>
      <c r="J49" s="5">
        <v>0</v>
      </c>
      <c r="K49" s="5">
        <f>I49+J49</f>
        <v>-18687608.120000001</v>
      </c>
    </row>
    <row r="50" spans="1:13" x14ac:dyDescent="0.25">
      <c r="A50" s="2">
        <v>43</v>
      </c>
      <c r="B50" s="1" t="s">
        <v>48</v>
      </c>
      <c r="C50" s="6">
        <v>-21342313</v>
      </c>
      <c r="D50" s="6"/>
      <c r="E50" s="6"/>
      <c r="F50" s="6">
        <f>C50+D50</f>
        <v>-21342313</v>
      </c>
      <c r="G50" s="6">
        <v>0</v>
      </c>
      <c r="H50" s="2"/>
      <c r="I50" s="6">
        <f>F50+G50</f>
        <v>-21342313</v>
      </c>
      <c r="J50" s="6">
        <v>0</v>
      </c>
      <c r="K50" s="6">
        <f>I50+J50</f>
        <v>-21342313</v>
      </c>
    </row>
    <row r="51" spans="1:13" x14ac:dyDescent="0.25">
      <c r="A51" s="2">
        <v>44</v>
      </c>
      <c r="B51" s="1" t="s">
        <v>49</v>
      </c>
      <c r="C51" s="4">
        <f>C48+C49+C50</f>
        <v>13137077.75</v>
      </c>
      <c r="D51" s="4">
        <f>D48+D49+D50</f>
        <v>0</v>
      </c>
      <c r="E51" s="4"/>
      <c r="F51" s="4">
        <f>F48+F49+F50</f>
        <v>13137077.75</v>
      </c>
      <c r="G51" s="4">
        <f>G48+G49+G50</f>
        <v>0</v>
      </c>
      <c r="H51" s="2"/>
      <c r="I51" s="4">
        <f>I48+I49+I50</f>
        <v>13137077.75</v>
      </c>
      <c r="J51" s="4">
        <f>J48+J49+J50</f>
        <v>0</v>
      </c>
      <c r="K51" s="4">
        <f>I51+J51</f>
        <v>13137077.75</v>
      </c>
    </row>
    <row r="52" spans="1:13" x14ac:dyDescent="0.25">
      <c r="A52" s="2">
        <v>45</v>
      </c>
      <c r="H52" s="2"/>
      <c r="I52" s="4"/>
      <c r="K52" s="5"/>
    </row>
    <row r="53" spans="1:13" x14ac:dyDescent="0.25">
      <c r="A53" s="2">
        <v>46</v>
      </c>
      <c r="B53" s="36" t="s">
        <v>50</v>
      </c>
      <c r="C53" s="37">
        <f>C42/C51</f>
        <v>4.5483310137218257E-2</v>
      </c>
      <c r="D53" s="37"/>
      <c r="E53" s="37"/>
      <c r="F53" s="37">
        <f>F42/F51</f>
        <v>4.5483310137218257E-2</v>
      </c>
      <c r="G53" s="35"/>
      <c r="H53" s="37"/>
      <c r="I53" s="37">
        <f>I42/I51</f>
        <v>4.5483310137218257E-2</v>
      </c>
      <c r="J53" s="37"/>
      <c r="K53" s="37">
        <f>K42/K51</f>
        <v>4.5483310137218257E-2</v>
      </c>
    </row>
    <row r="54" spans="1:13" x14ac:dyDescent="0.25">
      <c r="A54" s="1" t="s">
        <v>51</v>
      </c>
      <c r="H54" s="2"/>
    </row>
    <row r="55" spans="1:13" x14ac:dyDescent="0.25">
      <c r="B55" s="1" t="s">
        <v>0</v>
      </c>
      <c r="H55" s="2"/>
      <c r="I55" s="1" t="s">
        <v>1</v>
      </c>
    </row>
    <row r="56" spans="1:13" x14ac:dyDescent="0.25">
      <c r="H56" s="2"/>
    </row>
    <row r="57" spans="1:13" x14ac:dyDescent="0.25">
      <c r="H57" s="2"/>
    </row>
    <row r="58" spans="1:13" x14ac:dyDescent="0.25">
      <c r="H58" s="2"/>
    </row>
    <row r="59" spans="1:13" x14ac:dyDescent="0.25">
      <c r="C59" s="1" t="s">
        <v>2</v>
      </c>
      <c r="H59" s="2"/>
      <c r="I59" s="1" t="s">
        <v>3</v>
      </c>
      <c r="J59" s="1" t="s">
        <v>3</v>
      </c>
      <c r="K59" s="1" t="s">
        <v>3</v>
      </c>
    </row>
    <row r="60" spans="1:13" x14ac:dyDescent="0.25">
      <c r="C60" s="1" t="s">
        <v>4</v>
      </c>
      <c r="D60" s="1" t="s">
        <v>5</v>
      </c>
      <c r="E60" s="1"/>
      <c r="F60" s="1" t="s">
        <v>6</v>
      </c>
      <c r="G60" s="1" t="s">
        <v>3</v>
      </c>
      <c r="H60" s="2"/>
      <c r="I60" s="1" t="s">
        <v>7</v>
      </c>
      <c r="J60" s="1" t="s">
        <v>8</v>
      </c>
      <c r="K60" s="1" t="s">
        <v>9</v>
      </c>
    </row>
    <row r="61" spans="1:13" x14ac:dyDescent="0.25">
      <c r="C61" s="3" t="str">
        <f>C7</f>
        <v xml:space="preserve"> 12/31/18</v>
      </c>
      <c r="D61" s="3" t="s">
        <v>10</v>
      </c>
      <c r="E61" s="3"/>
      <c r="F61" s="3" t="s">
        <v>11</v>
      </c>
      <c r="G61" s="3" t="s">
        <v>52</v>
      </c>
      <c r="H61" s="2"/>
      <c r="I61" s="3" t="s">
        <v>13</v>
      </c>
      <c r="J61" s="3" t="s">
        <v>13</v>
      </c>
      <c r="K61" s="3" t="s">
        <v>13</v>
      </c>
    </row>
    <row r="62" spans="1:13" x14ac:dyDescent="0.25">
      <c r="A62" s="2">
        <v>1</v>
      </c>
      <c r="B62" s="1" t="s">
        <v>14</v>
      </c>
      <c r="H62" s="2"/>
    </row>
    <row r="63" spans="1:13" x14ac:dyDescent="0.25">
      <c r="A63" s="2">
        <v>2</v>
      </c>
      <c r="B63" s="1" t="s">
        <v>15</v>
      </c>
      <c r="C63" s="4">
        <f>+C9</f>
        <v>1376.64</v>
      </c>
      <c r="D63" s="4">
        <f>+RESTATE!C9</f>
        <v>0</v>
      </c>
      <c r="E63" s="146"/>
      <c r="F63" s="4">
        <f>C63+D63</f>
        <v>1376.64</v>
      </c>
      <c r="G63" s="4">
        <f>+PROFORMA!D9</f>
        <v>0</v>
      </c>
      <c r="H63" s="2"/>
      <c r="I63" s="4">
        <f>F63+G63</f>
        <v>1376.64</v>
      </c>
      <c r="J63" s="4">
        <f>+RETURN!C46</f>
        <v>0</v>
      </c>
      <c r="K63" s="4">
        <f t="shared" ref="K63:K68" si="5">I63+J63</f>
        <v>1376.64</v>
      </c>
      <c r="L63" s="14">
        <f>+J63/C63</f>
        <v>0</v>
      </c>
    </row>
    <row r="64" spans="1:13" x14ac:dyDescent="0.25">
      <c r="A64" s="2">
        <v>3</v>
      </c>
      <c r="B64" s="1" t="s">
        <v>16</v>
      </c>
      <c r="C64" s="5">
        <f>+C10</f>
        <v>6621799.0800000001</v>
      </c>
      <c r="D64" s="4">
        <v>0</v>
      </c>
      <c r="E64" s="146"/>
      <c r="F64" s="5">
        <f>C64+D64</f>
        <v>6621799.0800000001</v>
      </c>
      <c r="G64" s="5">
        <f>+PROFORMA!I10</f>
        <v>0</v>
      </c>
      <c r="H64" s="2"/>
      <c r="I64" s="5">
        <f>F64+G64</f>
        <v>6621799.0800000001</v>
      </c>
      <c r="J64" s="5">
        <f>+RETURN!C47</f>
        <v>641338.71570157725</v>
      </c>
      <c r="K64" s="5">
        <f t="shared" si="5"/>
        <v>7263137.7957015773</v>
      </c>
      <c r="L64" s="14">
        <f>+J64/C64</f>
        <v>9.6852638981244549E-2</v>
      </c>
      <c r="M64" s="5">
        <f>+K63+K64</f>
        <v>7264514.435701577</v>
      </c>
    </row>
    <row r="65" spans="1:13" x14ac:dyDescent="0.25">
      <c r="A65" s="2">
        <v>4</v>
      </c>
      <c r="B65" s="1" t="s">
        <v>17</v>
      </c>
      <c r="C65" s="5">
        <f>+C11</f>
        <v>325484.48</v>
      </c>
      <c r="D65" s="5"/>
      <c r="E65" s="146"/>
      <c r="F65" s="5">
        <f>C65+D65</f>
        <v>325484.48</v>
      </c>
      <c r="G65" s="5"/>
      <c r="H65" s="2"/>
      <c r="I65" s="5">
        <f>F65+G65</f>
        <v>325484.48</v>
      </c>
      <c r="J65" s="5"/>
      <c r="K65" s="5">
        <f t="shared" si="5"/>
        <v>325484.48</v>
      </c>
      <c r="M65" s="147">
        <f>SUM(J63:J64)/(+I63+I64)</f>
        <v>9.6832507971202866E-2</v>
      </c>
    </row>
    <row r="66" spans="1:13" x14ac:dyDescent="0.25">
      <c r="A66" s="2">
        <v>5</v>
      </c>
      <c r="B66" s="1" t="s">
        <v>18</v>
      </c>
      <c r="C66" s="5">
        <f>+C12</f>
        <v>101746</v>
      </c>
      <c r="D66" s="5"/>
      <c r="E66" s="146"/>
      <c r="F66" s="5">
        <f>C66+D66</f>
        <v>101746</v>
      </c>
      <c r="H66" s="34"/>
      <c r="I66" s="5">
        <f>F66+G67</f>
        <v>101746</v>
      </c>
      <c r="J66" s="6"/>
      <c r="K66" s="5">
        <f>I66+J66</f>
        <v>101746</v>
      </c>
    </row>
    <row r="67" spans="1:13" x14ac:dyDescent="0.25">
      <c r="A67" s="2">
        <v>6</v>
      </c>
      <c r="B67" s="1" t="s">
        <v>225</v>
      </c>
      <c r="C67" s="6">
        <v>0</v>
      </c>
      <c r="D67" s="6">
        <f>+RESTATE!D14</f>
        <v>68400</v>
      </c>
      <c r="E67" s="112"/>
      <c r="F67" s="6">
        <f>C67+D67</f>
        <v>68400</v>
      </c>
      <c r="G67" s="6">
        <v>0</v>
      </c>
      <c r="H67" s="34"/>
      <c r="I67" s="6">
        <f>F67+G68</f>
        <v>68400</v>
      </c>
      <c r="J67" s="6">
        <v>0</v>
      </c>
      <c r="K67" s="6">
        <f>I67+J67</f>
        <v>68400</v>
      </c>
    </row>
    <row r="68" spans="1:13" x14ac:dyDescent="0.25">
      <c r="A68" s="2">
        <v>7</v>
      </c>
      <c r="B68" s="1" t="s">
        <v>19</v>
      </c>
      <c r="C68" s="4">
        <f>SUM(C63:C67)</f>
        <v>7050406.1999999993</v>
      </c>
      <c r="D68" s="4">
        <f>SUM(D63:D67)</f>
        <v>68400</v>
      </c>
      <c r="E68" s="4"/>
      <c r="F68" s="4">
        <f>SUM(F63:F67)</f>
        <v>7118806.1999999993</v>
      </c>
      <c r="G68" s="4">
        <f>SUM(G63:G67)</f>
        <v>0</v>
      </c>
      <c r="H68" s="2"/>
      <c r="I68" s="4">
        <f>SUM(I63:I67)</f>
        <v>7118806.1999999993</v>
      </c>
      <c r="J68" s="4">
        <f>SUM(J63:J66)</f>
        <v>641338.71570157725</v>
      </c>
      <c r="K68" s="4">
        <f t="shared" si="5"/>
        <v>7760144.9157015765</v>
      </c>
      <c r="L68" s="14">
        <f>+J68/C68</f>
        <v>9.0964789475757771E-2</v>
      </c>
    </row>
    <row r="69" spans="1:13" x14ac:dyDescent="0.25">
      <c r="A69" s="2">
        <v>8</v>
      </c>
      <c r="H69" s="2"/>
      <c r="K69" s="5"/>
    </row>
    <row r="70" spans="1:13" x14ac:dyDescent="0.25">
      <c r="A70" s="2">
        <v>9</v>
      </c>
      <c r="B70" s="1" t="s">
        <v>20</v>
      </c>
      <c r="H70" s="2"/>
      <c r="K70" s="5"/>
    </row>
    <row r="71" spans="1:13" x14ac:dyDescent="0.25">
      <c r="A71" s="2">
        <v>10</v>
      </c>
      <c r="B71" s="1" t="s">
        <v>21</v>
      </c>
      <c r="C71" s="8">
        <f t="shared" ref="C71:C90" si="6">+C16</f>
        <v>1333458.6299999999</v>
      </c>
      <c r="D71" s="4"/>
      <c r="E71" s="4"/>
      <c r="F71" s="4">
        <f t="shared" ref="F71:F90" si="7">C71+D71</f>
        <v>1333458.6299999999</v>
      </c>
      <c r="G71" s="4">
        <f>+PROFORMA!C17</f>
        <v>95592.112600000008</v>
      </c>
      <c r="H71" s="2" t="s">
        <v>181</v>
      </c>
      <c r="I71" s="4">
        <f t="shared" ref="I71:I90" si="8">F71+G71</f>
        <v>1429050.7426</v>
      </c>
      <c r="J71" s="4"/>
      <c r="K71" s="4">
        <f t="shared" ref="K71:K90" si="9">I71+J71</f>
        <v>1429050.7426</v>
      </c>
    </row>
    <row r="72" spans="1:13" x14ac:dyDescent="0.25">
      <c r="A72" s="2">
        <v>11</v>
      </c>
      <c r="B72" s="1" t="s">
        <v>22</v>
      </c>
      <c r="C72" s="8">
        <f t="shared" si="6"/>
        <v>435986</v>
      </c>
      <c r="D72" s="4">
        <f>+RESTATE!E19</f>
        <v>-16990</v>
      </c>
      <c r="E72" s="4"/>
      <c r="F72" s="5">
        <f t="shared" si="7"/>
        <v>418996</v>
      </c>
      <c r="G72" s="5">
        <f>+PROFORMA!C18</f>
        <v>42275.680000000008</v>
      </c>
      <c r="H72" s="2" t="s">
        <v>181</v>
      </c>
      <c r="I72" s="5">
        <f t="shared" si="8"/>
        <v>461271.68</v>
      </c>
      <c r="J72" s="5"/>
      <c r="K72" s="5">
        <f t="shared" si="9"/>
        <v>461271.68</v>
      </c>
    </row>
    <row r="73" spans="1:13" x14ac:dyDescent="0.25">
      <c r="A73" s="2">
        <v>12</v>
      </c>
      <c r="B73" s="1" t="s">
        <v>23</v>
      </c>
      <c r="C73" s="8">
        <f t="shared" si="6"/>
        <v>635522.37</v>
      </c>
      <c r="D73" s="5"/>
      <c r="E73" s="5"/>
      <c r="F73" s="5">
        <f t="shared" si="7"/>
        <v>635522.37</v>
      </c>
      <c r="G73" s="5">
        <f>+PROFORMA!D19+PROFORMA!E19</f>
        <v>22075.439999999988</v>
      </c>
      <c r="H73" s="2" t="s">
        <v>57</v>
      </c>
      <c r="I73" s="5">
        <f t="shared" si="8"/>
        <v>657597.80999999994</v>
      </c>
      <c r="J73" s="5"/>
      <c r="K73" s="5">
        <f t="shared" si="9"/>
        <v>657597.80999999994</v>
      </c>
    </row>
    <row r="74" spans="1:13" x14ac:dyDescent="0.25">
      <c r="A74" s="2">
        <v>13</v>
      </c>
      <c r="B74" s="1" t="s">
        <v>24</v>
      </c>
      <c r="C74" s="8">
        <f t="shared" si="6"/>
        <v>1116843.45</v>
      </c>
      <c r="D74" s="5"/>
      <c r="E74" s="5"/>
      <c r="F74" s="5">
        <f t="shared" si="7"/>
        <v>1116843.45</v>
      </c>
      <c r="G74" s="5"/>
      <c r="H74" s="2"/>
      <c r="I74" s="5">
        <f t="shared" si="8"/>
        <v>1116843.45</v>
      </c>
      <c r="J74" s="5"/>
      <c r="K74" s="5">
        <f t="shared" si="9"/>
        <v>1116843.45</v>
      </c>
    </row>
    <row r="75" spans="1:13" x14ac:dyDescent="0.25">
      <c r="A75" s="2">
        <v>14</v>
      </c>
      <c r="B75" s="1" t="s">
        <v>25</v>
      </c>
      <c r="C75" s="8">
        <f t="shared" si="6"/>
        <v>154109.57999999999</v>
      </c>
      <c r="D75" s="5"/>
      <c r="E75" s="5"/>
      <c r="F75" s="5">
        <f t="shared" si="7"/>
        <v>154109.57999999999</v>
      </c>
      <c r="G75" s="5"/>
      <c r="H75" s="2"/>
      <c r="I75" s="5">
        <f t="shared" si="8"/>
        <v>154109.57999999999</v>
      </c>
      <c r="J75" s="5"/>
      <c r="K75" s="5">
        <f t="shared" si="9"/>
        <v>154109.57999999999</v>
      </c>
    </row>
    <row r="76" spans="1:13" x14ac:dyDescent="0.25">
      <c r="A76" s="2">
        <v>15</v>
      </c>
      <c r="B76" s="1" t="s">
        <v>26</v>
      </c>
      <c r="C76" s="8">
        <f t="shared" si="6"/>
        <v>769063.28</v>
      </c>
      <c r="D76" s="5"/>
      <c r="E76" s="5"/>
      <c r="F76" s="5">
        <f t="shared" si="7"/>
        <v>769063.28</v>
      </c>
      <c r="G76" s="5">
        <f>+PROFORMA!F22</f>
        <v>-165974.46666666667</v>
      </c>
      <c r="H76" s="2" t="s">
        <v>547</v>
      </c>
      <c r="I76" s="5">
        <f>F76+G76</f>
        <v>603088.81333333335</v>
      </c>
      <c r="J76" s="5"/>
      <c r="K76" s="5">
        <f t="shared" si="9"/>
        <v>603088.81333333335</v>
      </c>
    </row>
    <row r="77" spans="1:13" x14ac:dyDescent="0.25">
      <c r="A77" s="2">
        <v>16</v>
      </c>
      <c r="B77" s="1" t="s">
        <v>27</v>
      </c>
      <c r="C77" s="8">
        <f t="shared" si="6"/>
        <v>48698.29</v>
      </c>
      <c r="D77" s="5"/>
      <c r="E77" s="5"/>
      <c r="F77" s="5">
        <f t="shared" si="7"/>
        <v>48698.29</v>
      </c>
      <c r="I77" s="5">
        <f>F77+G77</f>
        <v>48698.29</v>
      </c>
      <c r="J77" s="5"/>
      <c r="K77" s="5">
        <f t="shared" si="9"/>
        <v>48698.29</v>
      </c>
    </row>
    <row r="78" spans="1:13" x14ac:dyDescent="0.25">
      <c r="A78" s="2">
        <v>17</v>
      </c>
      <c r="B78" s="1" t="s">
        <v>28</v>
      </c>
      <c r="C78" s="8">
        <f t="shared" si="6"/>
        <v>27956.3</v>
      </c>
      <c r="D78" s="5"/>
      <c r="E78" s="5"/>
      <c r="F78" s="5">
        <f t="shared" si="7"/>
        <v>27956.3</v>
      </c>
      <c r="G78" s="5"/>
      <c r="H78" s="2"/>
      <c r="I78" s="5">
        <f t="shared" si="8"/>
        <v>27956.3</v>
      </c>
      <c r="J78" s="5"/>
      <c r="K78" s="5">
        <f t="shared" si="9"/>
        <v>27956.3</v>
      </c>
    </row>
    <row r="79" spans="1:13" x14ac:dyDescent="0.25">
      <c r="A79" s="2">
        <v>18</v>
      </c>
      <c r="B79" s="1" t="s">
        <v>29</v>
      </c>
      <c r="C79" s="8">
        <f t="shared" si="6"/>
        <v>28869</v>
      </c>
      <c r="D79" s="5"/>
      <c r="E79" s="5"/>
      <c r="F79" s="5">
        <f t="shared" si="7"/>
        <v>28869</v>
      </c>
      <c r="G79" s="5"/>
      <c r="H79" s="2"/>
      <c r="I79" s="5">
        <f t="shared" si="8"/>
        <v>28869</v>
      </c>
      <c r="J79" s="5"/>
      <c r="K79" s="5">
        <f t="shared" si="9"/>
        <v>28869</v>
      </c>
    </row>
    <row r="80" spans="1:13" x14ac:dyDescent="0.25">
      <c r="A80" s="2">
        <v>19</v>
      </c>
      <c r="B80" s="1" t="s">
        <v>30</v>
      </c>
      <c r="C80" s="8">
        <f t="shared" si="6"/>
        <v>35210.35</v>
      </c>
      <c r="D80" s="5"/>
      <c r="E80" s="5"/>
      <c r="F80" s="5">
        <f t="shared" si="7"/>
        <v>35210.35</v>
      </c>
      <c r="G80" s="5"/>
      <c r="H80" s="2"/>
      <c r="I80" s="5">
        <f t="shared" si="8"/>
        <v>35210.35</v>
      </c>
      <c r="J80" s="5"/>
      <c r="K80" s="5">
        <f t="shared" si="9"/>
        <v>35210.35</v>
      </c>
    </row>
    <row r="81" spans="1:11" x14ac:dyDescent="0.25">
      <c r="A81" s="2">
        <v>20</v>
      </c>
      <c r="B81" s="1" t="s">
        <v>31</v>
      </c>
      <c r="C81" s="8">
        <f t="shared" si="6"/>
        <v>-154032</v>
      </c>
      <c r="D81" s="5"/>
      <c r="E81" s="5"/>
      <c r="F81" s="5">
        <f t="shared" si="7"/>
        <v>-154032</v>
      </c>
      <c r="G81" s="5"/>
      <c r="H81" s="2"/>
      <c r="I81" s="5">
        <f t="shared" si="8"/>
        <v>-154032</v>
      </c>
      <c r="J81" s="5"/>
      <c r="K81" s="5">
        <f t="shared" si="9"/>
        <v>-154032</v>
      </c>
    </row>
    <row r="82" spans="1:11" x14ac:dyDescent="0.25">
      <c r="A82" s="2">
        <v>21</v>
      </c>
      <c r="B82" s="1" t="s">
        <v>32</v>
      </c>
      <c r="C82" s="8">
        <f t="shared" si="6"/>
        <v>6873.81</v>
      </c>
      <c r="D82" s="5"/>
      <c r="E82" s="5"/>
      <c r="F82" s="5">
        <f t="shared" si="7"/>
        <v>6873.81</v>
      </c>
      <c r="G82" s="5"/>
      <c r="H82" s="2"/>
      <c r="I82" s="5">
        <f t="shared" si="8"/>
        <v>6873.81</v>
      </c>
      <c r="J82" s="5"/>
      <c r="K82" s="5">
        <f t="shared" si="9"/>
        <v>6873.81</v>
      </c>
    </row>
    <row r="83" spans="1:11" x14ac:dyDescent="0.25">
      <c r="A83" s="2">
        <v>22</v>
      </c>
      <c r="B83" s="1" t="s">
        <v>33</v>
      </c>
      <c r="C83" s="8">
        <f t="shared" si="6"/>
        <v>174522.77</v>
      </c>
      <c r="D83" s="5"/>
      <c r="E83" s="5"/>
      <c r="F83" s="5">
        <f t="shared" si="7"/>
        <v>174522.77</v>
      </c>
      <c r="G83" s="5"/>
      <c r="H83" s="2"/>
      <c r="I83" s="5">
        <f t="shared" si="8"/>
        <v>174522.77</v>
      </c>
      <c r="J83" s="5"/>
      <c r="K83" s="5">
        <f t="shared" si="9"/>
        <v>174522.77</v>
      </c>
    </row>
    <row r="84" spans="1:11" x14ac:dyDescent="0.25">
      <c r="A84" s="2">
        <v>23</v>
      </c>
      <c r="B84" s="1" t="s">
        <v>34</v>
      </c>
      <c r="C84" s="8">
        <f t="shared" si="6"/>
        <v>48672.66</v>
      </c>
      <c r="D84" s="5"/>
      <c r="E84" s="5"/>
      <c r="F84" s="5">
        <f t="shared" si="7"/>
        <v>48672.66</v>
      </c>
      <c r="G84" s="5"/>
      <c r="H84" s="2"/>
      <c r="I84" s="5">
        <f t="shared" si="8"/>
        <v>48672.66</v>
      </c>
      <c r="J84" s="5"/>
      <c r="K84" s="5">
        <f t="shared" si="9"/>
        <v>48672.66</v>
      </c>
    </row>
    <row r="85" spans="1:11" x14ac:dyDescent="0.25">
      <c r="A85" s="2">
        <v>24</v>
      </c>
      <c r="B85" s="1" t="s">
        <v>35</v>
      </c>
      <c r="C85" s="8">
        <f t="shared" si="6"/>
        <v>48028.32</v>
      </c>
      <c r="D85" s="5"/>
      <c r="E85" s="5"/>
      <c r="F85" s="5">
        <f t="shared" si="7"/>
        <v>48028.32</v>
      </c>
      <c r="G85" s="5"/>
      <c r="H85" s="2"/>
      <c r="I85" s="5">
        <f t="shared" si="8"/>
        <v>48028.32</v>
      </c>
      <c r="J85" s="5"/>
      <c r="K85" s="5">
        <f t="shared" si="9"/>
        <v>48028.32</v>
      </c>
    </row>
    <row r="86" spans="1:11" x14ac:dyDescent="0.25">
      <c r="A86" s="2">
        <v>25</v>
      </c>
      <c r="B86" s="1" t="s">
        <v>36</v>
      </c>
      <c r="C86" s="8">
        <f t="shared" si="6"/>
        <v>13680.73</v>
      </c>
      <c r="D86" s="5">
        <f>+RESTATE!D33</f>
        <v>232.55999999999997</v>
      </c>
      <c r="E86" s="146"/>
      <c r="F86" s="5">
        <f t="shared" si="7"/>
        <v>13913.289999999999</v>
      </c>
      <c r="G86" s="5"/>
      <c r="H86" s="2"/>
      <c r="I86" s="5">
        <f t="shared" si="8"/>
        <v>13913.289999999999</v>
      </c>
      <c r="J86" s="5">
        <f>+J68*0.002</f>
        <v>1282.6774314031545</v>
      </c>
      <c r="K86" s="5">
        <f t="shared" si="9"/>
        <v>15195.967431403154</v>
      </c>
    </row>
    <row r="87" spans="1:11" x14ac:dyDescent="0.25">
      <c r="A87" s="2">
        <v>26</v>
      </c>
      <c r="B87" s="1" t="s">
        <v>37</v>
      </c>
      <c r="C87" s="8">
        <f t="shared" si="6"/>
        <v>64018</v>
      </c>
      <c r="D87" s="5"/>
      <c r="E87" s="5"/>
      <c r="F87" s="5">
        <f t="shared" si="7"/>
        <v>64018</v>
      </c>
      <c r="G87" s="5"/>
      <c r="H87" s="2"/>
      <c r="I87" s="5">
        <f t="shared" si="8"/>
        <v>64018</v>
      </c>
      <c r="J87" s="5"/>
      <c r="K87" s="5">
        <f t="shared" si="9"/>
        <v>64018</v>
      </c>
    </row>
    <row r="88" spans="1:11" x14ac:dyDescent="0.25">
      <c r="A88" s="2">
        <v>27</v>
      </c>
      <c r="B88" s="1" t="s">
        <v>174</v>
      </c>
      <c r="C88" s="8">
        <f t="shared" si="6"/>
        <v>656071</v>
      </c>
      <c r="D88" s="5"/>
      <c r="E88" s="5"/>
      <c r="F88" s="5">
        <f t="shared" si="7"/>
        <v>656071</v>
      </c>
      <c r="G88" s="5"/>
      <c r="H88" s="2"/>
      <c r="I88" s="5">
        <f>F88+G88</f>
        <v>656071</v>
      </c>
      <c r="J88" s="5"/>
      <c r="K88" s="5">
        <f>I88+J88</f>
        <v>656071</v>
      </c>
    </row>
    <row r="89" spans="1:11" x14ac:dyDescent="0.25">
      <c r="A89" s="2">
        <v>28</v>
      </c>
      <c r="B89" s="1" t="s">
        <v>39</v>
      </c>
      <c r="C89" s="8">
        <f t="shared" si="6"/>
        <v>17060.71</v>
      </c>
      <c r="D89" s="5"/>
      <c r="E89" s="5"/>
      <c r="F89" s="5">
        <f t="shared" si="7"/>
        <v>17060.71</v>
      </c>
      <c r="G89" s="5"/>
      <c r="H89" s="2"/>
      <c r="I89" s="5">
        <f t="shared" si="8"/>
        <v>17060.71</v>
      </c>
      <c r="J89" s="5">
        <f>+J68*0.0065</f>
        <v>4168.7016520602519</v>
      </c>
      <c r="K89" s="5">
        <f t="shared" si="9"/>
        <v>21229.411652060251</v>
      </c>
    </row>
    <row r="90" spans="1:11" x14ac:dyDescent="0.25">
      <c r="A90" s="2">
        <v>29</v>
      </c>
      <c r="B90" s="1" t="s">
        <v>40</v>
      </c>
      <c r="C90" s="8">
        <f t="shared" si="6"/>
        <v>866885</v>
      </c>
      <c r="D90" s="5">
        <f>+RESTATE!D38+RESTATE!E38</f>
        <v>959.29600000000028</v>
      </c>
      <c r="E90" s="112"/>
      <c r="F90" s="5">
        <f t="shared" si="7"/>
        <v>867844.29599999997</v>
      </c>
      <c r="G90" s="5">
        <f>+PROFORMA!C36+'PA-5 PROPERTY TAX INCREASE'!I85</f>
        <v>-2500.1130495700659</v>
      </c>
      <c r="H90" s="2" t="s">
        <v>181</v>
      </c>
      <c r="I90" s="5">
        <f t="shared" si="8"/>
        <v>865344.18295042985</v>
      </c>
      <c r="J90" s="5">
        <f>+J68*0.05029</f>
        <v>32252.92401263232</v>
      </c>
      <c r="K90" s="5">
        <f t="shared" si="9"/>
        <v>897597.10696306219</v>
      </c>
    </row>
    <row r="91" spans="1:11" x14ac:dyDescent="0.25">
      <c r="A91" s="2">
        <v>30</v>
      </c>
      <c r="C91" s="4"/>
      <c r="D91" s="5"/>
      <c r="E91" s="5"/>
      <c r="F91" s="5"/>
      <c r="G91" s="5"/>
      <c r="H91" s="2"/>
      <c r="I91" s="5"/>
      <c r="J91" s="5"/>
      <c r="K91" s="5"/>
    </row>
    <row r="92" spans="1:11" x14ac:dyDescent="0.25">
      <c r="A92" s="2">
        <v>31</v>
      </c>
      <c r="B92" s="1" t="s">
        <v>53</v>
      </c>
      <c r="C92" s="6">
        <v>0</v>
      </c>
      <c r="D92" s="6">
        <v>0</v>
      </c>
      <c r="E92" s="112"/>
      <c r="F92" s="6">
        <f>C92+D92</f>
        <v>0</v>
      </c>
      <c r="G92" s="6">
        <f>+'PA-6 RATE CASE COSTS PREVIOUS'!H16+'PA-5 RATE CASE COST 2019'!H16</f>
        <v>18235.740000000002</v>
      </c>
      <c r="H92" s="2" t="s">
        <v>558</v>
      </c>
      <c r="I92" s="6">
        <f>F92+G92</f>
        <v>18235.740000000002</v>
      </c>
      <c r="J92" s="6">
        <v>0</v>
      </c>
      <c r="K92" s="6">
        <f>I92+J92</f>
        <v>18235.740000000002</v>
      </c>
    </row>
    <row r="93" spans="1:11" x14ac:dyDescent="0.25">
      <c r="A93" s="2">
        <v>32</v>
      </c>
      <c r="B93" s="1" t="s">
        <v>41</v>
      </c>
      <c r="C93" s="4">
        <f>+C38</f>
        <v>6327498.25</v>
      </c>
      <c r="D93" s="4">
        <f>SUM(D71:D92)</f>
        <v>-15798.143999999998</v>
      </c>
      <c r="E93" s="4"/>
      <c r="F93" s="4">
        <f>SUM(F71:F92)</f>
        <v>6311700.1059999997</v>
      </c>
      <c r="G93" s="4">
        <f>SUM(G71:G92)</f>
        <v>9704.3928837632502</v>
      </c>
      <c r="H93" s="2"/>
      <c r="I93" s="4">
        <f>SUM(I71:I92)</f>
        <v>6321404.4988837624</v>
      </c>
      <c r="J93" s="4">
        <f>SUM(J71:J92)</f>
        <v>37704.303096095726</v>
      </c>
      <c r="K93" s="4">
        <f>I93+J93</f>
        <v>6359108.8019798584</v>
      </c>
    </row>
    <row r="94" spans="1:11" x14ac:dyDescent="0.25">
      <c r="A94" s="2">
        <v>33</v>
      </c>
      <c r="C94" s="4"/>
      <c r="H94" s="2"/>
      <c r="K94" s="5"/>
    </row>
    <row r="95" spans="1:11" x14ac:dyDescent="0.25">
      <c r="A95" s="2">
        <v>34</v>
      </c>
      <c r="B95" s="1" t="s">
        <v>42</v>
      </c>
      <c r="C95" s="4">
        <f>+C40</f>
        <v>722907.94999999925</v>
      </c>
      <c r="D95" s="4">
        <f>D68-D93</f>
        <v>84198.144</v>
      </c>
      <c r="E95" s="4"/>
      <c r="F95" s="4">
        <f>C95+D95</f>
        <v>807106.09399999923</v>
      </c>
      <c r="G95" s="4">
        <f>G68-G93</f>
        <v>-9704.3928837632502</v>
      </c>
      <c r="H95" s="2"/>
      <c r="I95" s="4">
        <f>F95+G95</f>
        <v>797401.70111623593</v>
      </c>
      <c r="J95" s="4">
        <f>J68-J93</f>
        <v>603634.41260548157</v>
      </c>
      <c r="K95" s="5">
        <f>I95+J95</f>
        <v>1401036.1137217176</v>
      </c>
    </row>
    <row r="96" spans="1:11" x14ac:dyDescent="0.25">
      <c r="A96" s="2">
        <v>35</v>
      </c>
      <c r="B96" s="1" t="s">
        <v>97</v>
      </c>
      <c r="C96" s="9">
        <f>+C41</f>
        <v>125390.16839999983</v>
      </c>
      <c r="D96" s="6">
        <f>+(D95-D99)*0.21</f>
        <v>17681.610239999998</v>
      </c>
      <c r="E96" s="6"/>
      <c r="F96" s="6">
        <f>+C96+D96</f>
        <v>143071.77863999983</v>
      </c>
      <c r="G96" s="6">
        <f>+(G95-G99)*0.21</f>
        <v>-2037.9225055902825</v>
      </c>
      <c r="H96" s="2"/>
      <c r="I96" s="9">
        <f>F96+G96</f>
        <v>141033.85613440955</v>
      </c>
      <c r="J96" s="6">
        <f>+(J95-J99)*0.21</f>
        <v>126763.22664715112</v>
      </c>
      <c r="K96" s="6">
        <f>+I96+J96</f>
        <v>267797.08278156066</v>
      </c>
    </row>
    <row r="97" spans="1:11" x14ac:dyDescent="0.25">
      <c r="A97" s="2">
        <v>36</v>
      </c>
      <c r="B97" s="1" t="s">
        <v>44</v>
      </c>
      <c r="C97" s="4">
        <f>+C95-C96</f>
        <v>597517.78159999941</v>
      </c>
      <c r="D97" s="4">
        <f>D95-D96</f>
        <v>66516.533760000006</v>
      </c>
      <c r="E97" s="4"/>
      <c r="F97" s="4">
        <f>F95-F96</f>
        <v>664034.31535999943</v>
      </c>
      <c r="G97" s="4">
        <f>G95-G96</f>
        <v>-7666.4703781729677</v>
      </c>
      <c r="H97" s="2"/>
      <c r="I97" s="4">
        <f>F97+G97</f>
        <v>656367.84498182649</v>
      </c>
      <c r="J97" s="4">
        <f>J95-J96</f>
        <v>476871.18595833046</v>
      </c>
      <c r="K97" s="4">
        <f>I97+J97</f>
        <v>1133239.0309401569</v>
      </c>
    </row>
    <row r="98" spans="1:11" x14ac:dyDescent="0.25">
      <c r="A98" s="2">
        <v>37</v>
      </c>
      <c r="B98" s="1"/>
      <c r="C98" s="4"/>
      <c r="D98" s="4">
        <f>+D43</f>
        <v>0</v>
      </c>
      <c r="E98" s="4"/>
      <c r="F98" s="4"/>
      <c r="G98" s="4"/>
      <c r="H98" s="2"/>
      <c r="I98" s="4"/>
      <c r="J98" s="4"/>
      <c r="K98" s="4"/>
    </row>
    <row r="99" spans="1:11" x14ac:dyDescent="0.25">
      <c r="A99" s="2">
        <v>38</v>
      </c>
      <c r="B99" s="27" t="s">
        <v>93</v>
      </c>
      <c r="C99" s="9">
        <f>+C44</f>
        <v>125811.91</v>
      </c>
      <c r="D99" s="6">
        <v>0</v>
      </c>
      <c r="E99" s="6"/>
      <c r="F99" s="6">
        <f>+C99+D99</f>
        <v>125811.91</v>
      </c>
      <c r="G99" s="6">
        <v>0</v>
      </c>
      <c r="H99" s="2"/>
      <c r="I99" s="6">
        <f>+F99+G99</f>
        <v>125811.91</v>
      </c>
      <c r="J99" s="6">
        <v>0</v>
      </c>
      <c r="K99" s="6">
        <f>+I99+J99</f>
        <v>125811.91</v>
      </c>
    </row>
    <row r="100" spans="1:11" x14ac:dyDescent="0.25">
      <c r="A100" s="2">
        <v>39</v>
      </c>
      <c r="B100" s="27" t="s">
        <v>92</v>
      </c>
      <c r="C100" s="4">
        <f>+C97-C99</f>
        <v>471705.87159999937</v>
      </c>
      <c r="D100" s="29">
        <f>+D97-D99</f>
        <v>66516.533760000006</v>
      </c>
      <c r="E100" s="29"/>
      <c r="F100" s="29">
        <f>+C100+D100</f>
        <v>538222.40535999939</v>
      </c>
      <c r="G100" s="29">
        <f>+G97-G99</f>
        <v>-7666.4703781729677</v>
      </c>
      <c r="H100" s="26"/>
      <c r="I100" s="5">
        <f>+F100+G100</f>
        <v>530555.93498182646</v>
      </c>
      <c r="J100" s="29">
        <f>+J97-J99</f>
        <v>476871.18595833046</v>
      </c>
      <c r="K100" s="29">
        <f>+I100+J100</f>
        <v>1007427.120940157</v>
      </c>
    </row>
    <row r="101" spans="1:11" x14ac:dyDescent="0.25">
      <c r="A101" s="2">
        <v>40</v>
      </c>
      <c r="C101" s="4"/>
      <c r="H101" s="2"/>
      <c r="K101" s="5"/>
    </row>
    <row r="102" spans="1:11" x14ac:dyDescent="0.25">
      <c r="A102" s="2">
        <v>41</v>
      </c>
      <c r="B102" s="1" t="s">
        <v>45</v>
      </c>
      <c r="C102" s="4"/>
      <c r="H102" s="2"/>
      <c r="K102" s="5"/>
    </row>
    <row r="103" spans="1:11" x14ac:dyDescent="0.25">
      <c r="A103" s="2">
        <v>42</v>
      </c>
      <c r="B103" s="1" t="s">
        <v>46</v>
      </c>
      <c r="C103" s="4">
        <f>+C48</f>
        <v>53166998.869999997</v>
      </c>
      <c r="D103" s="4">
        <f>+'13-PT AVERAGE'!C26+RESTATE!C47</f>
        <v>-1187626.8461538479</v>
      </c>
      <c r="E103" s="113" t="s">
        <v>467</v>
      </c>
      <c r="F103" s="4">
        <f>C103+D103</f>
        <v>51979372.023846149</v>
      </c>
      <c r="G103" s="4">
        <f>+PROFORMA!G46</f>
        <v>0</v>
      </c>
      <c r="H103" s="112"/>
      <c r="I103" s="4">
        <f>F103+G103</f>
        <v>51979372.023846149</v>
      </c>
      <c r="J103" s="4">
        <v>0</v>
      </c>
      <c r="K103" s="4">
        <f>I103+J103</f>
        <v>51979372.023846149</v>
      </c>
    </row>
    <row r="104" spans="1:11" x14ac:dyDescent="0.25">
      <c r="A104" s="2">
        <v>43</v>
      </c>
      <c r="B104" s="1" t="s">
        <v>47</v>
      </c>
      <c r="C104" s="8">
        <f>+C49</f>
        <v>-18687608.120000001</v>
      </c>
      <c r="D104" s="5">
        <f>+RESTATE!F52</f>
        <v>0</v>
      </c>
      <c r="E104" s="113"/>
      <c r="F104" s="5">
        <f>C104-D104</f>
        <v>-18687608.120000001</v>
      </c>
      <c r="G104" s="5"/>
      <c r="H104" s="2"/>
      <c r="I104" s="5">
        <f>F104+G104</f>
        <v>-18687608.120000001</v>
      </c>
      <c r="J104" s="5"/>
      <c r="K104" s="5">
        <f>I104+J104</f>
        <v>-18687608.120000001</v>
      </c>
    </row>
    <row r="105" spans="1:11" ht="18" x14ac:dyDescent="0.4">
      <c r="A105" s="2">
        <v>44</v>
      </c>
      <c r="B105" s="1" t="s">
        <v>48</v>
      </c>
      <c r="C105" s="33">
        <f>+C50</f>
        <v>-21342313</v>
      </c>
      <c r="D105" s="6">
        <f>+'13-PT AVERAGE'!E26</f>
        <v>44655.153846152127</v>
      </c>
      <c r="E105" s="113" t="s">
        <v>462</v>
      </c>
      <c r="F105" s="6">
        <f>C105+D105</f>
        <v>-21297657.846153848</v>
      </c>
      <c r="G105" s="6"/>
      <c r="H105" s="2"/>
      <c r="I105" s="6">
        <f>F105+G105</f>
        <v>-21297657.846153848</v>
      </c>
      <c r="J105" s="6">
        <v>0</v>
      </c>
      <c r="K105" s="6">
        <f>I105+J105</f>
        <v>-21297657.846153848</v>
      </c>
    </row>
    <row r="106" spans="1:11" ht="18" x14ac:dyDescent="0.4">
      <c r="A106" s="2">
        <v>45</v>
      </c>
      <c r="B106" s="1"/>
      <c r="C106" s="33"/>
      <c r="D106" s="6"/>
      <c r="E106" s="6"/>
      <c r="F106" s="6"/>
      <c r="G106" s="6"/>
      <c r="H106" s="2"/>
      <c r="I106" s="6"/>
      <c r="J106" s="6"/>
      <c r="K106" s="6"/>
    </row>
    <row r="107" spans="1:11" ht="18" x14ac:dyDescent="0.4">
      <c r="A107" s="2">
        <v>46</v>
      </c>
      <c r="B107" s="1" t="s">
        <v>100</v>
      </c>
      <c r="C107" s="33"/>
      <c r="D107" s="6"/>
      <c r="E107" s="6"/>
      <c r="F107" s="6"/>
      <c r="G107" s="6"/>
      <c r="H107" s="2"/>
      <c r="I107" s="6"/>
      <c r="J107" s="6"/>
      <c r="K107" s="6"/>
    </row>
    <row r="108" spans="1:11" x14ac:dyDescent="0.25">
      <c r="A108" s="2">
        <v>47</v>
      </c>
      <c r="B108" s="1" t="s">
        <v>49</v>
      </c>
      <c r="C108" s="4">
        <f>C103+C104+C105</f>
        <v>13137077.75</v>
      </c>
      <c r="D108" s="4" t="s">
        <v>186</v>
      </c>
      <c r="E108" s="4"/>
      <c r="F108" s="4">
        <f>F103+F104+F105</f>
        <v>11994106.057692301</v>
      </c>
      <c r="G108" s="4">
        <f>G103+G104+G105</f>
        <v>0</v>
      </c>
      <c r="H108" s="112"/>
      <c r="I108" s="30">
        <f>F108+G108</f>
        <v>11994106.057692301</v>
      </c>
      <c r="J108" s="4">
        <f>J103+J104+J105</f>
        <v>0</v>
      </c>
      <c r="K108" s="4">
        <f>I108+J108</f>
        <v>11994106.057692301</v>
      </c>
    </row>
    <row r="109" spans="1:11" x14ac:dyDescent="0.25">
      <c r="A109" s="2">
        <v>48</v>
      </c>
      <c r="H109" s="2"/>
      <c r="K109" s="5"/>
    </row>
    <row r="110" spans="1:11" x14ac:dyDescent="0.25">
      <c r="A110" s="2">
        <v>49</v>
      </c>
      <c r="B110" s="36" t="s">
        <v>50</v>
      </c>
      <c r="C110" s="37">
        <f>C97/C108</f>
        <v>4.5483310137218257E-2</v>
      </c>
      <c r="D110" s="37"/>
      <c r="E110" s="37"/>
      <c r="F110" s="37">
        <f>F97/F108</f>
        <v>5.5363385329924408E-2</v>
      </c>
      <c r="G110" s="35"/>
      <c r="H110" s="38"/>
      <c r="I110" s="37">
        <f>I97/I108</f>
        <v>5.4724198854392447E-2</v>
      </c>
      <c r="J110" s="37"/>
      <c r="K110" s="37">
        <f>K97/K108</f>
        <v>9.4482992353845774E-2</v>
      </c>
    </row>
    <row r="111" spans="1:11" x14ac:dyDescent="0.25">
      <c r="A111" s="1" t="s">
        <v>51</v>
      </c>
      <c r="H111" s="2"/>
    </row>
    <row r="112" spans="1:11" x14ac:dyDescent="0.25">
      <c r="B112" s="1"/>
      <c r="H112" s="2"/>
    </row>
    <row r="113" spans="1:10" x14ac:dyDescent="0.25">
      <c r="H113" s="2"/>
    </row>
    <row r="114" spans="1:10" x14ac:dyDescent="0.25">
      <c r="H114" s="2"/>
    </row>
    <row r="115" spans="1:10" x14ac:dyDescent="0.25">
      <c r="H115" s="2"/>
    </row>
    <row r="116" spans="1:10" x14ac:dyDescent="0.25">
      <c r="C116" s="1"/>
      <c r="D116" s="1"/>
      <c r="E116" s="1"/>
      <c r="F116" s="1"/>
      <c r="H116" s="2"/>
      <c r="J116" s="1"/>
    </row>
    <row r="117" spans="1:10" x14ac:dyDescent="0.25">
      <c r="D117" s="1"/>
      <c r="E117" s="1"/>
      <c r="F117" s="1"/>
      <c r="H117" s="2"/>
      <c r="J117" s="1"/>
    </row>
    <row r="118" spans="1:10" x14ac:dyDescent="0.25">
      <c r="C118" s="3"/>
      <c r="D118" s="3"/>
      <c r="E118" s="3"/>
      <c r="F118" s="3"/>
      <c r="H118" s="2"/>
      <c r="J118" s="3"/>
    </row>
    <row r="119" spans="1:10" x14ac:dyDescent="0.25">
      <c r="A119" s="2"/>
      <c r="B119" s="1"/>
      <c r="H119" s="2"/>
    </row>
    <row r="120" spans="1:10" x14ac:dyDescent="0.25">
      <c r="A120" s="2"/>
      <c r="B120" s="1"/>
      <c r="C120" s="5"/>
      <c r="D120" s="5"/>
      <c r="E120" s="5"/>
      <c r="F120" s="5"/>
      <c r="H120" s="2"/>
      <c r="J120" s="5"/>
    </row>
    <row r="121" spans="1:10" x14ac:dyDescent="0.25">
      <c r="A121" s="2"/>
      <c r="B121" s="1"/>
      <c r="C121" s="5"/>
      <c r="D121" s="5"/>
      <c r="E121" s="5"/>
      <c r="F121" s="5"/>
      <c r="H121" s="2"/>
      <c r="J121" s="5"/>
    </row>
    <row r="122" spans="1:10" x14ac:dyDescent="0.25">
      <c r="A122" s="2"/>
      <c r="B122" s="1"/>
      <c r="C122" s="5"/>
      <c r="D122" s="5"/>
      <c r="E122" s="5"/>
      <c r="F122" s="5"/>
      <c r="H122" s="2"/>
      <c r="J122" s="5"/>
    </row>
    <row r="123" spans="1:10" x14ac:dyDescent="0.25">
      <c r="A123" s="2"/>
      <c r="B123" s="1"/>
      <c r="C123" s="6"/>
      <c r="D123" s="6"/>
      <c r="E123" s="6"/>
      <c r="F123" s="6"/>
      <c r="H123" s="2"/>
      <c r="J123" s="5"/>
    </row>
    <row r="124" spans="1:10" x14ac:dyDescent="0.25">
      <c r="A124" s="2"/>
      <c r="B124" s="1"/>
      <c r="C124" s="5"/>
      <c r="D124" s="5"/>
      <c r="E124" s="5"/>
      <c r="F124" s="5"/>
      <c r="H124" s="2"/>
      <c r="J124" s="5"/>
    </row>
    <row r="125" spans="1:10" x14ac:dyDescent="0.25">
      <c r="A125" s="2"/>
      <c r="C125" s="5"/>
      <c r="D125" s="5"/>
      <c r="E125" s="5"/>
      <c r="F125" s="5"/>
      <c r="H125" s="2"/>
      <c r="J125" s="5"/>
    </row>
    <row r="126" spans="1:10" x14ac:dyDescent="0.25">
      <c r="A126" s="2"/>
      <c r="B126" s="1"/>
      <c r="C126" s="5"/>
      <c r="D126" s="5"/>
      <c r="E126" s="5"/>
      <c r="F126" s="5"/>
      <c r="H126" s="2"/>
      <c r="J126" s="5"/>
    </row>
    <row r="127" spans="1:10" x14ac:dyDescent="0.25">
      <c r="A127" s="2"/>
      <c r="B127" s="1"/>
      <c r="C127" s="5"/>
      <c r="D127" s="5"/>
      <c r="E127" s="5"/>
      <c r="F127" s="5"/>
      <c r="H127" s="2"/>
      <c r="J127" s="5"/>
    </row>
    <row r="128" spans="1:10" x14ac:dyDescent="0.25">
      <c r="A128" s="2"/>
      <c r="B128" s="1"/>
      <c r="C128" s="5"/>
      <c r="D128" s="5"/>
      <c r="E128" s="5"/>
      <c r="F128" s="5"/>
      <c r="H128" s="2"/>
      <c r="J128" s="5"/>
    </row>
    <row r="129" spans="1:10" x14ac:dyDescent="0.25">
      <c r="A129" s="2"/>
      <c r="B129" s="1"/>
      <c r="C129" s="5"/>
      <c r="D129" s="5"/>
      <c r="E129" s="5"/>
      <c r="F129" s="5"/>
      <c r="H129" s="2"/>
      <c r="J129" s="5"/>
    </row>
    <row r="130" spans="1:10" x14ac:dyDescent="0.25">
      <c r="A130" s="2"/>
      <c r="B130" s="1"/>
      <c r="C130" s="5"/>
      <c r="D130" s="5"/>
      <c r="E130" s="5"/>
      <c r="F130" s="5"/>
      <c r="H130" s="2"/>
      <c r="J130" s="5"/>
    </row>
    <row r="131" spans="1:10" x14ac:dyDescent="0.25">
      <c r="A131" s="2"/>
      <c r="B131" s="1"/>
      <c r="C131" s="5"/>
      <c r="D131" s="5"/>
      <c r="E131" s="5"/>
      <c r="F131" s="5"/>
      <c r="H131" s="2"/>
      <c r="J131" s="5"/>
    </row>
    <row r="132" spans="1:10" x14ac:dyDescent="0.25">
      <c r="A132" s="2"/>
      <c r="B132" s="1"/>
      <c r="C132" s="5"/>
      <c r="D132" s="5"/>
      <c r="E132" s="5"/>
      <c r="F132" s="5"/>
      <c r="H132" s="2"/>
      <c r="J132" s="5"/>
    </row>
    <row r="133" spans="1:10" x14ac:dyDescent="0.25">
      <c r="A133" s="2"/>
      <c r="B133" s="1"/>
      <c r="C133" s="5"/>
      <c r="D133" s="5"/>
      <c r="E133" s="5"/>
      <c r="F133" s="5"/>
      <c r="H133" s="2"/>
      <c r="J133" s="5"/>
    </row>
    <row r="134" spans="1:10" x14ac:dyDescent="0.25">
      <c r="A134" s="2"/>
      <c r="B134" s="1"/>
      <c r="C134" s="5"/>
      <c r="D134" s="5"/>
      <c r="E134" s="5"/>
      <c r="F134" s="5"/>
      <c r="H134" s="2"/>
      <c r="J134" s="5"/>
    </row>
    <row r="135" spans="1:10" x14ac:dyDescent="0.25">
      <c r="A135" s="2"/>
      <c r="B135" s="1"/>
      <c r="C135" s="5"/>
      <c r="D135" s="5"/>
      <c r="E135" s="5"/>
      <c r="F135" s="5"/>
      <c r="H135" s="2"/>
      <c r="J135" s="5"/>
    </row>
    <row r="136" spans="1:10" x14ac:dyDescent="0.25">
      <c r="A136" s="2"/>
      <c r="B136" s="1"/>
      <c r="C136" s="5"/>
      <c r="D136" s="5"/>
      <c r="E136" s="5"/>
      <c r="F136" s="5"/>
      <c r="H136" s="2"/>
      <c r="J136" s="5"/>
    </row>
    <row r="137" spans="1:10" x14ac:dyDescent="0.25">
      <c r="A137" s="2"/>
      <c r="B137" s="1"/>
      <c r="C137" s="5"/>
      <c r="D137" s="5"/>
      <c r="E137" s="5"/>
      <c r="F137" s="5"/>
      <c r="H137" s="2"/>
      <c r="J137" s="5"/>
    </row>
    <row r="138" spans="1:10" x14ac:dyDescent="0.25">
      <c r="A138" s="2"/>
      <c r="B138" s="1"/>
      <c r="C138" s="5"/>
      <c r="D138" s="5"/>
      <c r="E138" s="5"/>
      <c r="F138" s="5"/>
      <c r="H138" s="2"/>
      <c r="J138" s="5"/>
    </row>
    <row r="139" spans="1:10" x14ac:dyDescent="0.25">
      <c r="A139" s="2"/>
      <c r="B139" s="1"/>
      <c r="C139" s="5"/>
      <c r="D139" s="5"/>
      <c r="E139" s="5"/>
      <c r="F139" s="5"/>
      <c r="H139" s="2"/>
      <c r="J139" s="5"/>
    </row>
    <row r="140" spans="1:10" x14ac:dyDescent="0.25">
      <c r="A140" s="2"/>
      <c r="B140" s="1"/>
      <c r="C140" s="5"/>
      <c r="D140" s="5"/>
      <c r="E140" s="5"/>
      <c r="F140" s="5"/>
      <c r="H140" s="2"/>
      <c r="J140" s="5"/>
    </row>
    <row r="141" spans="1:10" x14ac:dyDescent="0.25">
      <c r="A141" s="2"/>
      <c r="B141" s="1"/>
      <c r="C141" s="5"/>
      <c r="D141" s="5"/>
      <c r="E141" s="5"/>
      <c r="F141" s="5"/>
      <c r="H141" s="2"/>
      <c r="J141" s="5"/>
    </row>
    <row r="142" spans="1:10" x14ac:dyDescent="0.25">
      <c r="A142" s="2"/>
      <c r="B142" s="1"/>
      <c r="C142" s="5"/>
      <c r="D142" s="5"/>
      <c r="E142" s="5"/>
      <c r="F142" s="5"/>
      <c r="H142" s="2"/>
      <c r="J142" s="5"/>
    </row>
    <row r="143" spans="1:10" x14ac:dyDescent="0.25">
      <c r="A143" s="2"/>
      <c r="B143" s="1"/>
      <c r="C143" s="5"/>
      <c r="D143" s="5"/>
      <c r="E143" s="5"/>
      <c r="F143" s="5"/>
      <c r="H143" s="2"/>
      <c r="J143" s="5"/>
    </row>
    <row r="144" spans="1:10" x14ac:dyDescent="0.25">
      <c r="A144" s="2"/>
      <c r="B144" s="1"/>
      <c r="C144" s="5"/>
      <c r="D144" s="5"/>
      <c r="E144" s="5"/>
      <c r="F144" s="5"/>
      <c r="H144" s="2"/>
      <c r="J144" s="5"/>
    </row>
    <row r="145" spans="1:10" x14ac:dyDescent="0.25">
      <c r="A145" s="2"/>
      <c r="B145" s="1"/>
      <c r="C145" s="5"/>
      <c r="D145" s="5"/>
      <c r="E145" s="5"/>
      <c r="F145" s="5"/>
      <c r="H145" s="2"/>
      <c r="J145" s="5"/>
    </row>
    <row r="146" spans="1:10" x14ac:dyDescent="0.25">
      <c r="A146" s="2"/>
      <c r="B146" s="1"/>
      <c r="C146" s="5"/>
      <c r="D146" s="5"/>
      <c r="E146" s="5"/>
      <c r="F146" s="5"/>
      <c r="H146" s="2"/>
      <c r="J146" s="5"/>
    </row>
    <row r="147" spans="1:10" x14ac:dyDescent="0.25">
      <c r="A147" s="2"/>
      <c r="B147" s="1"/>
      <c r="C147" s="5"/>
      <c r="D147" s="5"/>
      <c r="E147" s="5"/>
      <c r="F147" s="5"/>
      <c r="H147" s="2"/>
      <c r="J147" s="5"/>
    </row>
    <row r="148" spans="1:10" x14ac:dyDescent="0.25">
      <c r="A148" s="2"/>
      <c r="C148" s="5"/>
      <c r="D148" s="5"/>
      <c r="E148" s="5"/>
      <c r="F148" s="5"/>
      <c r="H148" s="2"/>
      <c r="J148" s="5"/>
    </row>
    <row r="149" spans="1:10" x14ac:dyDescent="0.25">
      <c r="A149" s="2"/>
      <c r="B149" s="1"/>
      <c r="C149" s="5"/>
      <c r="D149" s="5"/>
      <c r="E149" s="5"/>
      <c r="F149" s="5"/>
      <c r="H149" s="2"/>
      <c r="J149" s="5"/>
    </row>
    <row r="150" spans="1:10" x14ac:dyDescent="0.25">
      <c r="A150" s="2"/>
      <c r="C150" s="5"/>
      <c r="D150" s="5"/>
      <c r="E150" s="5"/>
      <c r="F150" s="5"/>
      <c r="H150" s="2"/>
      <c r="J150" s="5"/>
    </row>
    <row r="151" spans="1:10" x14ac:dyDescent="0.25">
      <c r="A151" s="2"/>
      <c r="B151" s="1"/>
      <c r="C151" s="5"/>
      <c r="D151" s="5"/>
      <c r="E151" s="5"/>
      <c r="F151" s="5"/>
      <c r="H151" s="2"/>
      <c r="J151" s="5"/>
    </row>
    <row r="152" spans="1:10" x14ac:dyDescent="0.25">
      <c r="A152" s="2"/>
      <c r="B152" s="1"/>
      <c r="C152" s="6"/>
      <c r="D152" s="6"/>
      <c r="E152" s="6"/>
      <c r="F152" s="6"/>
      <c r="H152" s="2"/>
      <c r="J152" s="5"/>
    </row>
    <row r="153" spans="1:10" x14ac:dyDescent="0.25">
      <c r="A153" s="2"/>
      <c r="B153" s="1"/>
      <c r="C153" s="5"/>
      <c r="D153" s="5"/>
      <c r="E153" s="5"/>
      <c r="F153" s="5"/>
      <c r="H153" s="2"/>
      <c r="J153" s="5"/>
    </row>
    <row r="154" spans="1:10" x14ac:dyDescent="0.25">
      <c r="A154" s="2"/>
      <c r="C154" s="5"/>
      <c r="D154" s="5"/>
      <c r="E154" s="5"/>
      <c r="F154" s="5"/>
      <c r="H154" s="2"/>
      <c r="I154" s="5"/>
      <c r="J154" s="5"/>
    </row>
    <row r="155" spans="1:10" x14ac:dyDescent="0.25">
      <c r="A155" s="2"/>
      <c r="B155" s="1"/>
      <c r="C155" s="5"/>
      <c r="D155" s="5"/>
      <c r="E155" s="5"/>
      <c r="F155" s="5"/>
      <c r="H155" s="2"/>
      <c r="I155" s="5"/>
      <c r="J155" s="5"/>
    </row>
    <row r="156" spans="1:10" x14ac:dyDescent="0.25">
      <c r="A156" s="2"/>
      <c r="B156" s="1"/>
      <c r="C156" s="5"/>
      <c r="D156" s="5"/>
      <c r="E156" s="5"/>
      <c r="F156" s="5"/>
      <c r="H156" s="2"/>
      <c r="I156" s="5"/>
      <c r="J156" s="5"/>
    </row>
    <row r="157" spans="1:10" x14ac:dyDescent="0.25">
      <c r="A157" s="2"/>
      <c r="B157" s="1"/>
      <c r="C157" s="5"/>
      <c r="D157" s="5"/>
      <c r="E157" s="5"/>
      <c r="F157" s="5"/>
      <c r="H157" s="2"/>
      <c r="I157" s="5"/>
      <c r="J157" s="5"/>
    </row>
    <row r="158" spans="1:10" x14ac:dyDescent="0.25">
      <c r="A158" s="2"/>
      <c r="B158" s="1"/>
      <c r="C158" s="5"/>
      <c r="D158" s="5"/>
      <c r="E158" s="5"/>
      <c r="F158" s="5"/>
      <c r="H158" s="2"/>
      <c r="I158" s="5"/>
      <c r="J158" s="5"/>
    </row>
    <row r="159" spans="1:10" x14ac:dyDescent="0.25">
      <c r="A159" s="2"/>
      <c r="B159" s="1"/>
      <c r="C159" s="5"/>
      <c r="D159" s="5"/>
      <c r="E159" s="5"/>
      <c r="F159" s="5"/>
      <c r="H159" s="2"/>
      <c r="I159" s="5"/>
      <c r="J159" s="5"/>
    </row>
    <row r="160" spans="1:10" x14ac:dyDescent="0.25">
      <c r="A160" s="2"/>
      <c r="H160" s="2"/>
      <c r="J160" s="5"/>
    </row>
    <row r="161" spans="1:10" x14ac:dyDescent="0.25">
      <c r="A161" s="2"/>
      <c r="B161" s="1"/>
      <c r="H161" s="2"/>
      <c r="J161" s="5"/>
    </row>
    <row r="162" spans="1:10" x14ac:dyDescent="0.25">
      <c r="A162" s="1"/>
      <c r="H162" s="2"/>
    </row>
    <row r="163" spans="1:10" x14ac:dyDescent="0.25">
      <c r="B163" s="1"/>
      <c r="H163" s="2"/>
    </row>
    <row r="164" spans="1:10" x14ac:dyDescent="0.25">
      <c r="H164" s="2"/>
    </row>
    <row r="165" spans="1:10" x14ac:dyDescent="0.25">
      <c r="H165" s="2"/>
    </row>
    <row r="166" spans="1:10" x14ac:dyDescent="0.25">
      <c r="H166" s="2"/>
    </row>
    <row r="167" spans="1:10" x14ac:dyDescent="0.25">
      <c r="C167" s="1"/>
      <c r="D167" s="1"/>
      <c r="E167" s="1"/>
      <c r="F167" s="1"/>
      <c r="H167" s="2"/>
      <c r="I167" s="1"/>
    </row>
    <row r="168" spans="1:10" x14ac:dyDescent="0.25">
      <c r="C168" s="1"/>
      <c r="D168" s="1"/>
      <c r="E168" s="1"/>
      <c r="F168" s="1"/>
      <c r="H168" s="2"/>
      <c r="I168" s="1"/>
    </row>
    <row r="169" spans="1:10" x14ac:dyDescent="0.25">
      <c r="C169" s="3"/>
      <c r="D169" s="3"/>
      <c r="E169" s="3"/>
      <c r="F169" s="3"/>
      <c r="H169" s="2"/>
      <c r="I169" s="3"/>
    </row>
    <row r="170" spans="1:10" x14ac:dyDescent="0.25">
      <c r="B170" s="1"/>
      <c r="H170" s="2"/>
    </row>
    <row r="171" spans="1:10" x14ac:dyDescent="0.25">
      <c r="B171" s="1"/>
      <c r="C171" s="4"/>
      <c r="D171" s="4"/>
      <c r="E171" s="4"/>
      <c r="F171" s="4"/>
      <c r="H171" s="2"/>
      <c r="I171" s="4"/>
    </row>
    <row r="172" spans="1:10" x14ac:dyDescent="0.25">
      <c r="B172" s="1"/>
      <c r="C172" s="5"/>
      <c r="H172" s="2"/>
      <c r="I172" s="5"/>
    </row>
    <row r="173" spans="1:10" x14ac:dyDescent="0.25">
      <c r="B173" s="1"/>
      <c r="C173" s="5"/>
      <c r="H173" s="2"/>
      <c r="I173" s="5"/>
    </row>
    <row r="174" spans="1:10" x14ac:dyDescent="0.25">
      <c r="B174" s="1"/>
      <c r="C174" s="6"/>
      <c r="D174" s="7"/>
      <c r="E174" s="7"/>
      <c r="F174" s="7"/>
      <c r="H174" s="2"/>
      <c r="I174" s="6"/>
    </row>
    <row r="175" spans="1:10" x14ac:dyDescent="0.25">
      <c r="B175" s="1"/>
      <c r="C175" s="4"/>
      <c r="D175" s="4"/>
      <c r="E175" s="4"/>
      <c r="F175" s="4"/>
      <c r="H175" s="2"/>
      <c r="I175" s="4"/>
    </row>
    <row r="176" spans="1:10" x14ac:dyDescent="0.25">
      <c r="C176" s="5"/>
      <c r="H176" s="2"/>
      <c r="I176" s="5"/>
    </row>
    <row r="177" spans="2:9" x14ac:dyDescent="0.25">
      <c r="B177" s="1"/>
      <c r="C177" s="5"/>
      <c r="H177" s="2"/>
      <c r="I177" s="5"/>
    </row>
    <row r="178" spans="2:9" x14ac:dyDescent="0.25">
      <c r="B178" s="1"/>
      <c r="C178" s="8"/>
      <c r="D178" s="8"/>
      <c r="E178" s="8"/>
      <c r="F178" s="8"/>
      <c r="G178" s="8"/>
      <c r="H178" s="2"/>
      <c r="I178" s="5"/>
    </row>
    <row r="179" spans="2:9" x14ac:dyDescent="0.25">
      <c r="B179" s="1"/>
      <c r="C179" s="8"/>
      <c r="D179" s="8"/>
      <c r="E179" s="8"/>
      <c r="F179" s="8"/>
      <c r="G179" s="8"/>
      <c r="H179" s="2"/>
      <c r="I179" s="5"/>
    </row>
    <row r="180" spans="2:9" x14ac:dyDescent="0.25">
      <c r="B180" s="1"/>
      <c r="C180" s="8"/>
      <c r="D180" s="8"/>
      <c r="E180" s="8"/>
      <c r="F180" s="8"/>
      <c r="G180" s="8"/>
      <c r="H180" s="2"/>
      <c r="I180" s="5"/>
    </row>
    <row r="181" spans="2:9" x14ac:dyDescent="0.25">
      <c r="B181" s="1"/>
      <c r="C181" s="8"/>
      <c r="D181" s="8"/>
      <c r="E181" s="8"/>
      <c r="F181" s="8"/>
      <c r="G181" s="8"/>
      <c r="H181" s="2"/>
      <c r="I181" s="5"/>
    </row>
    <row r="182" spans="2:9" x14ac:dyDescent="0.25">
      <c r="B182" s="1"/>
      <c r="C182" s="8"/>
      <c r="D182" s="8"/>
      <c r="E182" s="8"/>
      <c r="F182" s="8"/>
      <c r="G182" s="8"/>
      <c r="H182" s="2"/>
      <c r="I182" s="5"/>
    </row>
    <row r="183" spans="2:9" x14ac:dyDescent="0.25">
      <c r="B183" s="1"/>
      <c r="C183" s="8"/>
      <c r="D183" s="8"/>
      <c r="E183" s="8"/>
      <c r="F183" s="8"/>
      <c r="G183" s="8"/>
      <c r="H183" s="2"/>
      <c r="I183" s="5"/>
    </row>
    <row r="184" spans="2:9" x14ac:dyDescent="0.25">
      <c r="B184" s="1"/>
      <c r="C184" s="8"/>
      <c r="D184" s="8"/>
      <c r="E184" s="8"/>
      <c r="F184" s="8"/>
      <c r="G184" s="8"/>
      <c r="H184" s="2"/>
      <c r="I184" s="5"/>
    </row>
    <row r="185" spans="2:9" x14ac:dyDescent="0.25">
      <c r="B185" s="1"/>
      <c r="C185" s="8"/>
      <c r="D185" s="8"/>
      <c r="E185" s="8"/>
      <c r="F185" s="8"/>
      <c r="G185" s="8"/>
      <c r="H185" s="2"/>
      <c r="I185" s="5"/>
    </row>
    <row r="186" spans="2:9" x14ac:dyDescent="0.25">
      <c r="B186" s="1"/>
      <c r="C186" s="8"/>
      <c r="D186" s="8"/>
      <c r="E186" s="8"/>
      <c r="F186" s="8"/>
      <c r="G186" s="8"/>
      <c r="H186" s="2"/>
      <c r="I186" s="5"/>
    </row>
    <row r="187" spans="2:9" x14ac:dyDescent="0.25">
      <c r="B187" s="1"/>
      <c r="C187" s="8"/>
      <c r="D187" s="8"/>
      <c r="E187" s="8"/>
      <c r="F187" s="8"/>
      <c r="G187" s="8"/>
      <c r="H187" s="2"/>
      <c r="I187" s="5"/>
    </row>
    <row r="188" spans="2:9" x14ac:dyDescent="0.25">
      <c r="B188" s="1"/>
      <c r="C188" s="8"/>
      <c r="D188" s="8"/>
      <c r="E188" s="8"/>
      <c r="F188" s="8"/>
      <c r="G188" s="8"/>
      <c r="H188" s="2"/>
      <c r="I188" s="5"/>
    </row>
    <row r="189" spans="2:9" x14ac:dyDescent="0.25">
      <c r="B189" s="1"/>
      <c r="C189" s="8"/>
      <c r="D189" s="8"/>
      <c r="E189" s="8"/>
      <c r="F189" s="8"/>
      <c r="G189" s="8"/>
      <c r="H189" s="2"/>
      <c r="I189" s="5"/>
    </row>
    <row r="190" spans="2:9" x14ac:dyDescent="0.25">
      <c r="B190" s="1"/>
      <c r="C190" s="8"/>
      <c r="D190" s="8"/>
      <c r="E190" s="8"/>
      <c r="F190" s="8"/>
      <c r="G190" s="8"/>
      <c r="H190" s="2"/>
      <c r="I190" s="5"/>
    </row>
    <row r="191" spans="2:9" x14ac:dyDescent="0.25">
      <c r="B191" s="1"/>
      <c r="C191" s="8"/>
      <c r="D191" s="8"/>
      <c r="E191" s="8"/>
      <c r="F191" s="8"/>
      <c r="G191" s="8"/>
      <c r="H191" s="2"/>
      <c r="I191" s="5"/>
    </row>
    <row r="192" spans="2:9" x14ac:dyDescent="0.25">
      <c r="B192" s="1"/>
      <c r="C192" s="8"/>
      <c r="D192" s="8"/>
      <c r="E192" s="8"/>
      <c r="F192" s="8"/>
      <c r="G192" s="8"/>
      <c r="H192" s="2"/>
      <c r="I192" s="5"/>
    </row>
    <row r="193" spans="2:9" x14ac:dyDescent="0.25">
      <c r="B193" s="1"/>
      <c r="C193" s="8"/>
      <c r="D193" s="8"/>
      <c r="E193" s="8"/>
      <c r="F193" s="8"/>
      <c r="G193" s="8"/>
      <c r="H193" s="2"/>
      <c r="I193" s="5"/>
    </row>
    <row r="194" spans="2:9" x14ac:dyDescent="0.25">
      <c r="B194" s="1"/>
      <c r="C194" s="8"/>
      <c r="D194" s="8"/>
      <c r="E194" s="8"/>
      <c r="F194" s="8"/>
      <c r="G194" s="8"/>
      <c r="H194" s="2"/>
      <c r="I194" s="5"/>
    </row>
    <row r="195" spans="2:9" x14ac:dyDescent="0.25">
      <c r="B195" s="1"/>
      <c r="C195" s="8"/>
      <c r="D195" s="8"/>
      <c r="E195" s="8"/>
      <c r="F195" s="8"/>
      <c r="G195" s="8"/>
      <c r="H195" s="2"/>
      <c r="I195" s="5"/>
    </row>
    <row r="196" spans="2:9" x14ac:dyDescent="0.25">
      <c r="B196" s="1"/>
      <c r="C196" s="8"/>
      <c r="D196" s="8"/>
      <c r="E196" s="8"/>
      <c r="F196" s="8"/>
      <c r="G196" s="8"/>
      <c r="H196" s="2"/>
      <c r="I196" s="5"/>
    </row>
    <row r="197" spans="2:9" x14ac:dyDescent="0.25">
      <c r="B197" s="1"/>
      <c r="C197" s="8"/>
      <c r="D197" s="8"/>
      <c r="E197" s="8"/>
      <c r="F197" s="8"/>
      <c r="G197" s="8"/>
      <c r="H197" s="2"/>
      <c r="I197" s="5"/>
    </row>
    <row r="198" spans="2:9" x14ac:dyDescent="0.25">
      <c r="B198" s="1"/>
      <c r="C198" s="8"/>
      <c r="D198" s="8"/>
      <c r="E198" s="8"/>
      <c r="F198" s="8"/>
      <c r="G198" s="8"/>
      <c r="H198" s="2"/>
      <c r="I198" s="5"/>
    </row>
    <row r="199" spans="2:9" x14ac:dyDescent="0.25">
      <c r="C199" s="8"/>
      <c r="D199" s="8"/>
      <c r="E199" s="8"/>
      <c r="F199" s="8"/>
      <c r="G199" s="8"/>
      <c r="H199" s="2"/>
      <c r="I199" s="5"/>
    </row>
    <row r="200" spans="2:9" x14ac:dyDescent="0.25">
      <c r="B200" s="1"/>
      <c r="C200" s="8"/>
      <c r="D200" s="8"/>
      <c r="E200" s="8"/>
      <c r="F200" s="8"/>
      <c r="G200" s="8"/>
      <c r="H200" s="2"/>
      <c r="I200" s="5"/>
    </row>
    <row r="201" spans="2:9" x14ac:dyDescent="0.25">
      <c r="C201" s="8"/>
      <c r="D201" s="8"/>
      <c r="E201" s="8"/>
      <c r="F201" s="8"/>
      <c r="G201" s="8"/>
      <c r="H201" s="2"/>
      <c r="I201" s="5"/>
    </row>
    <row r="202" spans="2:9" x14ac:dyDescent="0.25">
      <c r="B202" s="1"/>
      <c r="C202" s="4"/>
      <c r="D202" s="4"/>
      <c r="E202" s="4"/>
      <c r="F202" s="4"/>
      <c r="H202" s="2"/>
      <c r="I202" s="4"/>
    </row>
    <row r="203" spans="2:9" x14ac:dyDescent="0.25">
      <c r="B203" s="1"/>
      <c r="C203" s="6"/>
      <c r="D203" s="6"/>
      <c r="E203" s="6"/>
      <c r="F203" s="6"/>
      <c r="H203" s="2"/>
      <c r="I203" s="6"/>
    </row>
    <row r="204" spans="2:9" x14ac:dyDescent="0.25">
      <c r="B204" s="1"/>
      <c r="C204" s="4"/>
      <c r="D204" s="4"/>
      <c r="E204" s="4"/>
      <c r="F204" s="4"/>
      <c r="H204" s="2"/>
      <c r="I204" s="4"/>
    </row>
    <row r="205" spans="2:9" x14ac:dyDescent="0.25">
      <c r="C205" s="5"/>
      <c r="D205" s="5"/>
      <c r="E205" s="5"/>
      <c r="H205" s="2"/>
      <c r="I205" s="5"/>
    </row>
    <row r="206" spans="2:9" x14ac:dyDescent="0.25">
      <c r="B206" s="1"/>
      <c r="C206" s="13"/>
      <c r="D206" s="11"/>
      <c r="E206" s="11"/>
      <c r="F206" s="12"/>
      <c r="H206" s="2"/>
      <c r="I206" s="5"/>
    </row>
    <row r="207" spans="2:9" x14ac:dyDescent="0.25">
      <c r="B207" s="1"/>
      <c r="C207" s="5"/>
      <c r="D207" s="5"/>
      <c r="E207" s="5"/>
      <c r="F207" s="4"/>
      <c r="G207" s="10"/>
      <c r="H207" s="2"/>
      <c r="I207" s="4"/>
    </row>
    <row r="208" spans="2:9" x14ac:dyDescent="0.25">
      <c r="B208" s="1"/>
      <c r="C208" s="5"/>
      <c r="D208" s="5"/>
      <c r="E208" s="5"/>
      <c r="F208" s="4"/>
      <c r="G208" s="10"/>
      <c r="H208" s="2"/>
      <c r="I208" s="4"/>
    </row>
    <row r="209" spans="2:9" x14ac:dyDescent="0.25">
      <c r="B209" s="1"/>
      <c r="C209" s="6"/>
      <c r="D209" s="6"/>
      <c r="E209" s="6"/>
      <c r="F209" s="4"/>
      <c r="G209" s="10"/>
      <c r="H209" s="2"/>
      <c r="I209" s="4"/>
    </row>
    <row r="210" spans="2:9" x14ac:dyDescent="0.25">
      <c r="B210" s="1"/>
      <c r="C210" s="5"/>
      <c r="D210" s="5"/>
      <c r="E210" s="5"/>
      <c r="F210" s="4"/>
      <c r="G210" s="2"/>
      <c r="H210" s="2"/>
      <c r="I210" s="4"/>
    </row>
    <row r="211" spans="2:9" x14ac:dyDescent="0.25">
      <c r="H211" s="2"/>
    </row>
    <row r="212" spans="2:9" x14ac:dyDescent="0.25">
      <c r="B212" s="1"/>
      <c r="H212" s="2"/>
    </row>
    <row r="213" spans="2:9" x14ac:dyDescent="0.25">
      <c r="H213" s="2"/>
    </row>
    <row r="214" spans="2:9" x14ac:dyDescent="0.25">
      <c r="H214" s="2"/>
    </row>
    <row r="215" spans="2:9" x14ac:dyDescent="0.25">
      <c r="H215" s="2"/>
    </row>
    <row r="216" spans="2:9" x14ac:dyDescent="0.25">
      <c r="H216" s="2"/>
    </row>
    <row r="217" spans="2:9" x14ac:dyDescent="0.25">
      <c r="H217" s="2"/>
    </row>
    <row r="218" spans="2:9" x14ac:dyDescent="0.25">
      <c r="H218" s="2"/>
    </row>
    <row r="219" spans="2:9" x14ac:dyDescent="0.25">
      <c r="H219" s="2"/>
    </row>
    <row r="220" spans="2:9" x14ac:dyDescent="0.25">
      <c r="H220" s="2"/>
    </row>
    <row r="221" spans="2:9" x14ac:dyDescent="0.25">
      <c r="H221" s="2"/>
    </row>
    <row r="222" spans="2:9" x14ac:dyDescent="0.25">
      <c r="H222" s="2"/>
    </row>
    <row r="223" spans="2:9" x14ac:dyDescent="0.25">
      <c r="H223" s="2"/>
    </row>
    <row r="224" spans="2:9" x14ac:dyDescent="0.25">
      <c r="H224" s="2"/>
    </row>
    <row r="225" spans="8:8" x14ac:dyDescent="0.25">
      <c r="H225" s="2"/>
    </row>
    <row r="226" spans="8:8" x14ac:dyDescent="0.25">
      <c r="H226" s="2"/>
    </row>
    <row r="227" spans="8:8" x14ac:dyDescent="0.25">
      <c r="H227" s="2"/>
    </row>
    <row r="228" spans="8:8" x14ac:dyDescent="0.25">
      <c r="H228" s="2"/>
    </row>
    <row r="229" spans="8:8" x14ac:dyDescent="0.25">
      <c r="H229" s="2"/>
    </row>
    <row r="230" spans="8:8" x14ac:dyDescent="0.25">
      <c r="H230" s="2"/>
    </row>
    <row r="231" spans="8:8" x14ac:dyDescent="0.25">
      <c r="H231" s="2"/>
    </row>
    <row r="232" spans="8:8" x14ac:dyDescent="0.25">
      <c r="H232" s="2"/>
    </row>
    <row r="233" spans="8:8" x14ac:dyDescent="0.25">
      <c r="H233" s="2"/>
    </row>
    <row r="234" spans="8:8" x14ac:dyDescent="0.25">
      <c r="H234" s="2"/>
    </row>
    <row r="235" spans="8:8" x14ac:dyDescent="0.25">
      <c r="H235" s="2"/>
    </row>
    <row r="236" spans="8:8" x14ac:dyDescent="0.25">
      <c r="H236" s="2"/>
    </row>
    <row r="237" spans="8:8" x14ac:dyDescent="0.25">
      <c r="H237" s="2"/>
    </row>
    <row r="238" spans="8:8" x14ac:dyDescent="0.25">
      <c r="H238" s="2"/>
    </row>
    <row r="239" spans="8:8" x14ac:dyDescent="0.25">
      <c r="H239" s="2"/>
    </row>
    <row r="240" spans="8:8" x14ac:dyDescent="0.25">
      <c r="H240" s="2"/>
    </row>
    <row r="241" spans="8:8" x14ac:dyDescent="0.25">
      <c r="H241" s="2"/>
    </row>
    <row r="242" spans="8:8" x14ac:dyDescent="0.25">
      <c r="H242" s="2"/>
    </row>
    <row r="243" spans="8:8" x14ac:dyDescent="0.25">
      <c r="H243" s="2"/>
    </row>
    <row r="244" spans="8:8" x14ac:dyDescent="0.25">
      <c r="H244" s="2"/>
    </row>
    <row r="245" spans="8:8" x14ac:dyDescent="0.25">
      <c r="H245" s="2"/>
    </row>
    <row r="246" spans="8:8" x14ac:dyDescent="0.25">
      <c r="H246" s="2"/>
    </row>
    <row r="247" spans="8:8" x14ac:dyDescent="0.25">
      <c r="H247" s="2"/>
    </row>
    <row r="248" spans="8:8" x14ac:dyDescent="0.25">
      <c r="H248" s="2"/>
    </row>
    <row r="249" spans="8:8" x14ac:dyDescent="0.25">
      <c r="H249" s="2"/>
    </row>
    <row r="250" spans="8:8" x14ac:dyDescent="0.25">
      <c r="H250" s="2"/>
    </row>
    <row r="251" spans="8:8" x14ac:dyDescent="0.25">
      <c r="H251" s="2"/>
    </row>
    <row r="252" spans="8:8" x14ac:dyDescent="0.25">
      <c r="H252" s="2"/>
    </row>
    <row r="253" spans="8:8" x14ac:dyDescent="0.25">
      <c r="H253" s="2"/>
    </row>
    <row r="254" spans="8:8" x14ac:dyDescent="0.25">
      <c r="H254" s="2"/>
    </row>
    <row r="255" spans="8:8" x14ac:dyDescent="0.25">
      <c r="H255" s="2"/>
    </row>
    <row r="256" spans="8:8" x14ac:dyDescent="0.25">
      <c r="H256" s="2"/>
    </row>
    <row r="257" spans="8:8" x14ac:dyDescent="0.25">
      <c r="H257" s="2"/>
    </row>
    <row r="258" spans="8:8" x14ac:dyDescent="0.25">
      <c r="H258" s="2"/>
    </row>
    <row r="259" spans="8:8" x14ac:dyDescent="0.25">
      <c r="H259" s="2"/>
    </row>
    <row r="260" spans="8:8" x14ac:dyDescent="0.25">
      <c r="H260" s="2"/>
    </row>
    <row r="261" spans="8:8" x14ac:dyDescent="0.25">
      <c r="H261" s="2"/>
    </row>
    <row r="262" spans="8:8" x14ac:dyDescent="0.25">
      <c r="H262" s="2"/>
    </row>
    <row r="263" spans="8:8" x14ac:dyDescent="0.25">
      <c r="H263" s="2"/>
    </row>
    <row r="264" spans="8:8" x14ac:dyDescent="0.25">
      <c r="H264" s="2"/>
    </row>
    <row r="265" spans="8:8" x14ac:dyDescent="0.25">
      <c r="H265" s="2"/>
    </row>
    <row r="266" spans="8:8" x14ac:dyDescent="0.25">
      <c r="H266" s="2"/>
    </row>
    <row r="267" spans="8:8" x14ac:dyDescent="0.25">
      <c r="H267" s="2"/>
    </row>
    <row r="268" spans="8:8" x14ac:dyDescent="0.25">
      <c r="H268" s="2"/>
    </row>
    <row r="269" spans="8:8" x14ac:dyDescent="0.25">
      <c r="H269" s="2"/>
    </row>
    <row r="270" spans="8:8" x14ac:dyDescent="0.25">
      <c r="H270" s="2"/>
    </row>
    <row r="271" spans="8:8" x14ac:dyDescent="0.25">
      <c r="H271" s="2"/>
    </row>
    <row r="272" spans="8:8" x14ac:dyDescent="0.25">
      <c r="H272" s="2"/>
    </row>
    <row r="273" spans="8:8" x14ac:dyDescent="0.25">
      <c r="H273" s="2"/>
    </row>
    <row r="274" spans="8:8" x14ac:dyDescent="0.25">
      <c r="H274" s="2"/>
    </row>
    <row r="275" spans="8:8" x14ac:dyDescent="0.25">
      <c r="H275" s="2"/>
    </row>
    <row r="276" spans="8:8" x14ac:dyDescent="0.25">
      <c r="H276" s="2"/>
    </row>
    <row r="277" spans="8:8" x14ac:dyDescent="0.25">
      <c r="H277" s="2"/>
    </row>
    <row r="278" spans="8:8" x14ac:dyDescent="0.25">
      <c r="H278" s="2"/>
    </row>
    <row r="279" spans="8:8" x14ac:dyDescent="0.25">
      <c r="H279" s="2"/>
    </row>
    <row r="280" spans="8:8" x14ac:dyDescent="0.25">
      <c r="H280" s="2"/>
    </row>
    <row r="281" spans="8:8" x14ac:dyDescent="0.25">
      <c r="H281" s="2"/>
    </row>
    <row r="282" spans="8:8" x14ac:dyDescent="0.25">
      <c r="H282" s="2"/>
    </row>
    <row r="283" spans="8:8" x14ac:dyDescent="0.25">
      <c r="H283" s="2"/>
    </row>
    <row r="284" spans="8:8" x14ac:dyDescent="0.25">
      <c r="H284" s="2"/>
    </row>
    <row r="285" spans="8:8" x14ac:dyDescent="0.25">
      <c r="H285" s="2"/>
    </row>
    <row r="286" spans="8:8" x14ac:dyDescent="0.25">
      <c r="H286" s="2"/>
    </row>
    <row r="287" spans="8:8" x14ac:dyDescent="0.25">
      <c r="H287" s="2"/>
    </row>
    <row r="288" spans="8:8" x14ac:dyDescent="0.25">
      <c r="H288" s="2"/>
    </row>
    <row r="289" spans="8:8" x14ac:dyDescent="0.25">
      <c r="H289" s="2"/>
    </row>
    <row r="290" spans="8:8" x14ac:dyDescent="0.25">
      <c r="H290" s="2"/>
    </row>
  </sheetData>
  <phoneticPr fontId="0" type="noConversion"/>
  <pageMargins left="0.5" right="0.5" top="0.5" bottom="0.55000000000000004" header="0.5" footer="0.5"/>
  <pageSetup scale="64" fitToHeight="0" orientation="landscape" r:id="rId1"/>
  <headerFooter alignWithMargins="0"/>
  <ignoredErrors>
    <ignoredError sqref="K96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workbookViewId="0">
      <selection activeCell="C14" sqref="C14"/>
    </sheetView>
  </sheetViews>
  <sheetFormatPr defaultRowHeight="15.75" x14ac:dyDescent="0.25"/>
  <cols>
    <col min="4" max="4" width="12" bestFit="1" customWidth="1"/>
    <col min="5" max="5" width="11.5546875" style="45" bestFit="1" customWidth="1"/>
    <col min="6" max="6" width="8.88671875" style="45"/>
  </cols>
  <sheetData>
    <row r="1" spans="1:7" ht="20.25" x14ac:dyDescent="0.3">
      <c r="B1" s="40" t="s">
        <v>547</v>
      </c>
      <c r="E1"/>
      <c r="F1"/>
      <c r="G1" s="45"/>
    </row>
    <row r="2" spans="1:7" x14ac:dyDescent="0.25">
      <c r="E2"/>
      <c r="F2"/>
      <c r="G2" s="45"/>
    </row>
    <row r="3" spans="1:7" x14ac:dyDescent="0.25">
      <c r="E3"/>
      <c r="F3"/>
      <c r="G3" s="45"/>
    </row>
    <row r="4" spans="1:7" x14ac:dyDescent="0.25">
      <c r="E4"/>
      <c r="F4"/>
      <c r="G4" s="45"/>
    </row>
    <row r="5" spans="1:7" x14ac:dyDescent="0.25">
      <c r="A5" t="s">
        <v>102</v>
      </c>
      <c r="E5"/>
      <c r="F5"/>
      <c r="G5" s="45"/>
    </row>
    <row r="6" spans="1:7" x14ac:dyDescent="0.25">
      <c r="A6" t="s">
        <v>548</v>
      </c>
      <c r="E6"/>
      <c r="F6"/>
      <c r="G6" s="45"/>
    </row>
    <row r="7" spans="1:7" x14ac:dyDescent="0.25">
      <c r="A7" t="s">
        <v>550</v>
      </c>
      <c r="E7"/>
      <c r="F7"/>
      <c r="G7" s="45"/>
    </row>
    <row r="9" spans="1:7" x14ac:dyDescent="0.25">
      <c r="B9" t="s">
        <v>549</v>
      </c>
      <c r="D9" s="194">
        <v>248961.7</v>
      </c>
    </row>
    <row r="11" spans="1:7" x14ac:dyDescent="0.25">
      <c r="B11" t="s">
        <v>551</v>
      </c>
      <c r="E11" s="195">
        <f>+D9/3</f>
        <v>82987.233333333337</v>
      </c>
    </row>
    <row r="13" spans="1:7" x14ac:dyDescent="0.25">
      <c r="C13" t="s">
        <v>552</v>
      </c>
      <c r="E13" s="45">
        <f>+E11-D9</f>
        <v>-165974.46666666667</v>
      </c>
    </row>
  </sheetData>
  <pageMargins left="0.7" right="0.7" top="0.75" bottom="0.75" header="0.3" footer="0.3"/>
  <pageSetup scale="9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86"/>
  <sheetViews>
    <sheetView topLeftCell="A4" workbookViewId="0">
      <pane xSplit="2" ySplit="2" topLeftCell="H6" activePane="bottomRight" state="frozen"/>
      <selection activeCell="A4" sqref="A4"/>
      <selection pane="topRight" activeCell="C4" sqref="C4"/>
      <selection pane="bottomLeft" activeCell="A6" sqref="A6"/>
      <selection pane="bottomRight" activeCell="N90" sqref="N90"/>
    </sheetView>
  </sheetViews>
  <sheetFormatPr defaultRowHeight="15.75" x14ac:dyDescent="0.25"/>
  <cols>
    <col min="1" max="1" width="4.88671875" bestFit="1" customWidth="1"/>
    <col min="2" max="2" width="16" bestFit="1" customWidth="1"/>
    <col min="5" max="5" width="28" bestFit="1" customWidth="1"/>
    <col min="7" max="7" width="33.33203125" bestFit="1" customWidth="1"/>
    <col min="8" max="8" width="9.44140625" bestFit="1" customWidth="1"/>
    <col min="9" max="9" width="11.21875" bestFit="1" customWidth="1"/>
  </cols>
  <sheetData>
    <row r="1" spans="2:10" x14ac:dyDescent="0.25">
      <c r="B1" s="19" t="s">
        <v>173</v>
      </c>
    </row>
    <row r="2" spans="2:10" x14ac:dyDescent="0.25">
      <c r="B2" t="s">
        <v>102</v>
      </c>
      <c r="E2" s="45"/>
      <c r="F2" s="45"/>
      <c r="G2" s="45"/>
    </row>
    <row r="3" spans="2:10" x14ac:dyDescent="0.25">
      <c r="B3" t="s">
        <v>431</v>
      </c>
    </row>
    <row r="5" spans="2:10" ht="23.25" x14ac:dyDescent="0.25">
      <c r="B5" s="155" t="s">
        <v>237</v>
      </c>
      <c r="C5" s="155" t="s">
        <v>238</v>
      </c>
      <c r="D5" s="155" t="s">
        <v>239</v>
      </c>
      <c r="E5" s="155" t="s">
        <v>240</v>
      </c>
      <c r="F5" s="156" t="s">
        <v>241</v>
      </c>
      <c r="G5" s="155" t="s">
        <v>242</v>
      </c>
      <c r="H5" s="157" t="s">
        <v>478</v>
      </c>
      <c r="I5" s="158" t="s">
        <v>546</v>
      </c>
      <c r="J5" s="158" t="s">
        <v>535</v>
      </c>
    </row>
    <row r="6" spans="2:10" x14ac:dyDescent="0.25">
      <c r="B6" s="159" t="s">
        <v>243</v>
      </c>
      <c r="C6" s="159" t="s">
        <v>244</v>
      </c>
      <c r="D6" s="159" t="s">
        <v>245</v>
      </c>
      <c r="E6" s="159" t="s">
        <v>246</v>
      </c>
      <c r="F6" s="160">
        <v>575</v>
      </c>
      <c r="G6" s="159" t="s">
        <v>247</v>
      </c>
      <c r="H6" s="161">
        <v>1465355</v>
      </c>
      <c r="I6" s="162">
        <v>21897.17</v>
      </c>
      <c r="J6" s="162">
        <v>21897.17</v>
      </c>
    </row>
    <row r="7" spans="2:10" x14ac:dyDescent="0.25">
      <c r="B7" s="159" t="s">
        <v>248</v>
      </c>
      <c r="C7" s="159" t="s">
        <v>244</v>
      </c>
      <c r="D7" s="159" t="s">
        <v>245</v>
      </c>
      <c r="E7" s="159" t="s">
        <v>249</v>
      </c>
      <c r="F7" s="160">
        <v>575</v>
      </c>
      <c r="G7" s="159" t="s">
        <v>247</v>
      </c>
      <c r="H7" s="161">
        <v>6934758</v>
      </c>
      <c r="I7" s="162">
        <v>105205.19</v>
      </c>
      <c r="J7" s="162">
        <v>105205.19</v>
      </c>
    </row>
    <row r="8" spans="2:10" x14ac:dyDescent="0.25">
      <c r="B8" s="159" t="s">
        <v>250</v>
      </c>
      <c r="C8" s="159" t="s">
        <v>244</v>
      </c>
      <c r="D8" s="159" t="s">
        <v>245</v>
      </c>
      <c r="E8" s="159" t="s">
        <v>251</v>
      </c>
      <c r="F8" s="160">
        <v>575</v>
      </c>
      <c r="G8" s="159" t="s">
        <v>247</v>
      </c>
      <c r="H8" s="161">
        <v>396209</v>
      </c>
      <c r="I8" s="162">
        <v>6010.78</v>
      </c>
      <c r="J8" s="162">
        <v>6010.78</v>
      </c>
    </row>
    <row r="9" spans="2:10" x14ac:dyDescent="0.25">
      <c r="B9" s="159" t="s">
        <v>252</v>
      </c>
      <c r="C9" s="159" t="s">
        <v>244</v>
      </c>
      <c r="D9" s="159" t="s">
        <v>245</v>
      </c>
      <c r="E9" s="159" t="s">
        <v>253</v>
      </c>
      <c r="F9" s="160">
        <v>480</v>
      </c>
      <c r="G9" s="159" t="s">
        <v>247</v>
      </c>
      <c r="H9" s="161">
        <v>695482</v>
      </c>
      <c r="I9" s="162">
        <v>7484.75</v>
      </c>
      <c r="J9" s="162">
        <v>7484.75</v>
      </c>
    </row>
    <row r="10" spans="2:10" x14ac:dyDescent="0.25">
      <c r="B10" s="159" t="s">
        <v>254</v>
      </c>
      <c r="C10" s="159" t="s">
        <v>244</v>
      </c>
      <c r="D10" s="159" t="s">
        <v>245</v>
      </c>
      <c r="E10" s="159" t="s">
        <v>255</v>
      </c>
      <c r="F10" s="160">
        <v>590</v>
      </c>
      <c r="G10" s="159" t="s">
        <v>247</v>
      </c>
      <c r="H10" s="161">
        <v>3133077</v>
      </c>
      <c r="I10" s="162">
        <v>43546.46</v>
      </c>
      <c r="J10" s="162">
        <v>43546.46</v>
      </c>
    </row>
    <row r="11" spans="2:10" s="191" customFormat="1" x14ac:dyDescent="0.25">
      <c r="B11" s="187" t="s">
        <v>488</v>
      </c>
      <c r="C11" s="187" t="s">
        <v>244</v>
      </c>
      <c r="D11" s="187" t="s">
        <v>245</v>
      </c>
      <c r="E11" s="187" t="s">
        <v>487</v>
      </c>
      <c r="F11" s="188">
        <v>575</v>
      </c>
      <c r="G11" s="159" t="s">
        <v>247</v>
      </c>
      <c r="H11" s="189">
        <v>11918</v>
      </c>
      <c r="I11" s="190">
        <v>178.09</v>
      </c>
      <c r="J11" s="190">
        <v>178.09</v>
      </c>
    </row>
    <row r="12" spans="2:10" s="191" customFormat="1" x14ac:dyDescent="0.25">
      <c r="B12" s="163" t="s">
        <v>536</v>
      </c>
      <c r="C12" s="187"/>
      <c r="D12" s="187"/>
      <c r="E12" s="187"/>
      <c r="F12" s="188"/>
      <c r="G12" s="159"/>
      <c r="H12" s="165">
        <v>18400</v>
      </c>
      <c r="I12" s="166">
        <v>243.4</v>
      </c>
      <c r="J12" s="166">
        <v>243.4</v>
      </c>
    </row>
    <row r="13" spans="2:10" s="191" customFormat="1" x14ac:dyDescent="0.25">
      <c r="B13" s="163" t="s">
        <v>537</v>
      </c>
      <c r="C13" s="187"/>
      <c r="D13" s="187"/>
      <c r="E13" s="187"/>
      <c r="F13" s="188"/>
      <c r="G13" s="159"/>
      <c r="H13" s="165">
        <v>114000</v>
      </c>
      <c r="I13" s="166">
        <v>1343.93</v>
      </c>
      <c r="J13" s="166">
        <v>1343.93</v>
      </c>
    </row>
    <row r="14" spans="2:10" x14ac:dyDescent="0.25">
      <c r="B14" s="163" t="s">
        <v>256</v>
      </c>
      <c r="C14" s="163" t="s">
        <v>244</v>
      </c>
      <c r="D14" s="163" t="s">
        <v>245</v>
      </c>
      <c r="E14" s="163" t="s">
        <v>257</v>
      </c>
      <c r="F14" s="164">
        <v>472</v>
      </c>
      <c r="G14" s="163" t="s">
        <v>258</v>
      </c>
      <c r="H14" s="165">
        <v>63700</v>
      </c>
      <c r="I14" s="166">
        <v>764.89</v>
      </c>
      <c r="J14" s="166">
        <v>764.89</v>
      </c>
    </row>
    <row r="15" spans="2:10" x14ac:dyDescent="0.25">
      <c r="B15" s="163" t="s">
        <v>259</v>
      </c>
      <c r="C15" s="163" t="s">
        <v>244</v>
      </c>
      <c r="D15" s="163" t="s">
        <v>245</v>
      </c>
      <c r="E15" s="163" t="s">
        <v>260</v>
      </c>
      <c r="F15" s="164">
        <v>472</v>
      </c>
      <c r="G15" s="163" t="s">
        <v>261</v>
      </c>
      <c r="H15" s="165">
        <v>18900</v>
      </c>
      <c r="I15" s="167">
        <v>352.96</v>
      </c>
      <c r="J15" s="167">
        <v>352.96</v>
      </c>
    </row>
    <row r="16" spans="2:10" x14ac:dyDescent="0.25">
      <c r="B16" s="163" t="s">
        <v>262</v>
      </c>
      <c r="C16" s="163" t="s">
        <v>244</v>
      </c>
      <c r="D16" s="163" t="s">
        <v>245</v>
      </c>
      <c r="E16" s="168" t="s">
        <v>263</v>
      </c>
      <c r="F16" s="164">
        <v>472</v>
      </c>
      <c r="G16" s="163" t="s">
        <v>264</v>
      </c>
      <c r="H16" s="165">
        <v>87800</v>
      </c>
      <c r="I16" s="167">
        <v>1042.33</v>
      </c>
      <c r="J16" s="167">
        <v>1042.33</v>
      </c>
    </row>
    <row r="17" spans="2:10" x14ac:dyDescent="0.25">
      <c r="B17" s="163" t="s">
        <v>265</v>
      </c>
      <c r="C17" s="163" t="s">
        <v>244</v>
      </c>
      <c r="D17" s="163" t="s">
        <v>245</v>
      </c>
      <c r="E17" s="168" t="s">
        <v>266</v>
      </c>
      <c r="F17" s="164">
        <v>472</v>
      </c>
      <c r="G17" s="163" t="s">
        <v>267</v>
      </c>
      <c r="H17" s="165">
        <v>17400</v>
      </c>
      <c r="I17" s="167">
        <v>232.08</v>
      </c>
      <c r="J17" s="167">
        <v>232.08</v>
      </c>
    </row>
    <row r="18" spans="2:10" x14ac:dyDescent="0.25">
      <c r="B18" s="163" t="s">
        <v>268</v>
      </c>
      <c r="C18" s="163" t="s">
        <v>244</v>
      </c>
      <c r="D18" s="163" t="s">
        <v>245</v>
      </c>
      <c r="E18" s="168" t="s">
        <v>269</v>
      </c>
      <c r="F18" s="164">
        <v>472</v>
      </c>
      <c r="G18" s="163" t="s">
        <v>270</v>
      </c>
      <c r="H18" s="165">
        <v>11400</v>
      </c>
      <c r="I18" s="167">
        <v>139.94</v>
      </c>
      <c r="J18" s="167">
        <v>139.94</v>
      </c>
    </row>
    <row r="19" spans="2:10" x14ac:dyDescent="0.25">
      <c r="B19" s="163" t="s">
        <v>271</v>
      </c>
      <c r="C19" s="163" t="s">
        <v>244</v>
      </c>
      <c r="D19" s="163" t="s">
        <v>245</v>
      </c>
      <c r="E19" s="163" t="s">
        <v>272</v>
      </c>
      <c r="F19" s="164">
        <v>472</v>
      </c>
      <c r="G19" s="163" t="s">
        <v>273</v>
      </c>
      <c r="H19" s="165">
        <v>11200</v>
      </c>
      <c r="I19" s="167">
        <v>160.5</v>
      </c>
      <c r="J19" s="167">
        <v>160.5</v>
      </c>
    </row>
    <row r="20" spans="2:10" x14ac:dyDescent="0.25">
      <c r="B20" s="163" t="s">
        <v>274</v>
      </c>
      <c r="C20" s="163" t="s">
        <v>244</v>
      </c>
      <c r="D20" s="163" t="s">
        <v>245</v>
      </c>
      <c r="E20" s="163" t="s">
        <v>275</v>
      </c>
      <c r="F20" s="164">
        <v>472</v>
      </c>
      <c r="G20" s="163" t="s">
        <v>276</v>
      </c>
      <c r="H20" s="165">
        <v>64200</v>
      </c>
      <c r="I20" s="167">
        <v>770.64</v>
      </c>
      <c r="J20" s="167">
        <v>770.64</v>
      </c>
    </row>
    <row r="21" spans="2:10" x14ac:dyDescent="0.25">
      <c r="B21" s="163" t="s">
        <v>538</v>
      </c>
      <c r="C21" s="163"/>
      <c r="D21" s="163"/>
      <c r="E21" s="163"/>
      <c r="F21" s="164"/>
      <c r="G21" s="163"/>
      <c r="H21" s="165">
        <v>16200</v>
      </c>
      <c r="I21" s="167">
        <v>218.07</v>
      </c>
      <c r="J21" s="167">
        <v>218.07</v>
      </c>
    </row>
    <row r="22" spans="2:10" x14ac:dyDescent="0.25">
      <c r="B22" s="163" t="s">
        <v>277</v>
      </c>
      <c r="C22" s="163" t="s">
        <v>244</v>
      </c>
      <c r="D22" s="163" t="s">
        <v>245</v>
      </c>
      <c r="E22" s="163" t="s">
        <v>278</v>
      </c>
      <c r="F22" s="164">
        <v>472</v>
      </c>
      <c r="G22" s="163" t="s">
        <v>279</v>
      </c>
      <c r="H22" s="165">
        <v>6500</v>
      </c>
      <c r="I22" s="167">
        <v>82.88</v>
      </c>
      <c r="J22" s="167">
        <v>82.88</v>
      </c>
    </row>
    <row r="23" spans="2:10" x14ac:dyDescent="0.25">
      <c r="B23" s="163" t="s">
        <v>280</v>
      </c>
      <c r="C23" s="163" t="s">
        <v>244</v>
      </c>
      <c r="D23" s="163" t="s">
        <v>245</v>
      </c>
      <c r="E23" s="163" t="s">
        <v>281</v>
      </c>
      <c r="F23" s="169" t="s">
        <v>282</v>
      </c>
      <c r="G23" s="163" t="s">
        <v>283</v>
      </c>
      <c r="H23" s="165">
        <v>251600</v>
      </c>
      <c r="I23" s="167">
        <v>2595.1</v>
      </c>
      <c r="J23" s="167">
        <v>2595.1</v>
      </c>
    </row>
    <row r="24" spans="2:10" x14ac:dyDescent="0.25">
      <c r="B24" s="163" t="s">
        <v>284</v>
      </c>
      <c r="C24" s="163" t="s">
        <v>244</v>
      </c>
      <c r="D24" s="163" t="s">
        <v>245</v>
      </c>
      <c r="E24" s="168" t="s">
        <v>285</v>
      </c>
      <c r="F24" s="164">
        <v>472</v>
      </c>
      <c r="G24" s="163" t="s">
        <v>286</v>
      </c>
      <c r="H24" s="165">
        <v>133400</v>
      </c>
      <c r="I24" s="167">
        <v>1567.43</v>
      </c>
      <c r="J24" s="167">
        <v>1567.43</v>
      </c>
    </row>
    <row r="25" spans="2:10" x14ac:dyDescent="0.25">
      <c r="B25" s="163" t="s">
        <v>287</v>
      </c>
      <c r="C25" s="163" t="s">
        <v>244</v>
      </c>
      <c r="D25" s="163" t="s">
        <v>245</v>
      </c>
      <c r="E25" s="168" t="s">
        <v>288</v>
      </c>
      <c r="F25" s="164">
        <v>605</v>
      </c>
      <c r="G25" s="163" t="s">
        <v>289</v>
      </c>
      <c r="H25" s="165">
        <v>6900</v>
      </c>
      <c r="I25" s="167">
        <v>129.96</v>
      </c>
      <c r="J25" s="167">
        <v>129.96</v>
      </c>
    </row>
    <row r="26" spans="2:10" x14ac:dyDescent="0.25">
      <c r="B26" s="163" t="s">
        <v>290</v>
      </c>
      <c r="C26" s="163" t="s">
        <v>244</v>
      </c>
      <c r="D26" s="163" t="s">
        <v>245</v>
      </c>
      <c r="E26" s="168" t="s">
        <v>291</v>
      </c>
      <c r="F26" s="164">
        <v>590</v>
      </c>
      <c r="G26" s="163" t="s">
        <v>292</v>
      </c>
      <c r="H26" s="165">
        <v>626800</v>
      </c>
      <c r="I26" s="167">
        <v>8990.44</v>
      </c>
      <c r="J26" s="167">
        <v>8990.44</v>
      </c>
    </row>
    <row r="27" spans="2:10" x14ac:dyDescent="0.25">
      <c r="B27" s="163" t="s">
        <v>539</v>
      </c>
      <c r="C27" s="163"/>
      <c r="D27" s="163"/>
      <c r="E27" s="168"/>
      <c r="F27" s="164"/>
      <c r="G27" s="163"/>
      <c r="H27" s="165">
        <v>4300</v>
      </c>
      <c r="I27" s="167">
        <v>67.819999999999993</v>
      </c>
      <c r="J27" s="167">
        <v>67.819999999999993</v>
      </c>
    </row>
    <row r="28" spans="2:10" x14ac:dyDescent="0.25">
      <c r="B28" s="163" t="s">
        <v>540</v>
      </c>
      <c r="C28" s="163"/>
      <c r="D28" s="163"/>
      <c r="E28" s="168"/>
      <c r="F28" s="164"/>
      <c r="G28" s="163"/>
      <c r="H28" s="165">
        <v>5600</v>
      </c>
      <c r="I28" s="167">
        <v>93.01</v>
      </c>
      <c r="J28" s="167">
        <v>93.01</v>
      </c>
    </row>
    <row r="29" spans="2:10" x14ac:dyDescent="0.25">
      <c r="B29" s="163" t="s">
        <v>293</v>
      </c>
      <c r="C29" s="163" t="s">
        <v>244</v>
      </c>
      <c r="D29" s="163" t="s">
        <v>245</v>
      </c>
      <c r="E29" s="163" t="s">
        <v>294</v>
      </c>
      <c r="F29" s="164">
        <v>575</v>
      </c>
      <c r="G29" s="163" t="s">
        <v>295</v>
      </c>
      <c r="H29" s="165">
        <v>7200</v>
      </c>
      <c r="I29" s="167">
        <v>139.16</v>
      </c>
      <c r="J29" s="167">
        <v>139.16</v>
      </c>
    </row>
    <row r="30" spans="2:10" x14ac:dyDescent="0.25">
      <c r="B30" s="163" t="s">
        <v>296</v>
      </c>
      <c r="C30" s="163" t="s">
        <v>244</v>
      </c>
      <c r="D30" s="163" t="s">
        <v>245</v>
      </c>
      <c r="E30" s="163" t="s">
        <v>297</v>
      </c>
      <c r="F30" s="164">
        <v>605</v>
      </c>
      <c r="G30" s="163" t="s">
        <v>298</v>
      </c>
      <c r="H30" s="165">
        <v>5300</v>
      </c>
      <c r="I30" s="167">
        <v>210.96</v>
      </c>
      <c r="J30" s="167">
        <v>210.96</v>
      </c>
    </row>
    <row r="31" spans="2:10" x14ac:dyDescent="0.25">
      <c r="B31" s="163" t="s">
        <v>299</v>
      </c>
      <c r="C31" s="163" t="s">
        <v>244</v>
      </c>
      <c r="D31" s="163" t="s">
        <v>245</v>
      </c>
      <c r="E31" s="163" t="s">
        <v>300</v>
      </c>
      <c r="F31" s="164">
        <v>575</v>
      </c>
      <c r="G31" s="163" t="s">
        <v>301</v>
      </c>
      <c r="H31" s="165">
        <v>6600</v>
      </c>
      <c r="I31" s="167">
        <v>234.01</v>
      </c>
      <c r="J31" s="167">
        <v>234.01</v>
      </c>
    </row>
    <row r="32" spans="2:10" x14ac:dyDescent="0.25">
      <c r="B32" s="163" t="s">
        <v>302</v>
      </c>
      <c r="C32" s="163" t="s">
        <v>244</v>
      </c>
      <c r="D32" s="163" t="s">
        <v>245</v>
      </c>
      <c r="E32" s="163" t="s">
        <v>303</v>
      </c>
      <c r="F32" s="164">
        <v>575</v>
      </c>
      <c r="G32" s="163" t="s">
        <v>304</v>
      </c>
      <c r="H32" s="165">
        <v>7700</v>
      </c>
      <c r="I32" s="167">
        <v>146.63999999999999</v>
      </c>
      <c r="J32" s="167">
        <v>146.63999999999999</v>
      </c>
    </row>
    <row r="33" spans="2:10" x14ac:dyDescent="0.25">
      <c r="B33" s="163" t="s">
        <v>305</v>
      </c>
      <c r="C33" s="163" t="s">
        <v>244</v>
      </c>
      <c r="D33" s="163" t="s">
        <v>245</v>
      </c>
      <c r="E33" s="168" t="s">
        <v>306</v>
      </c>
      <c r="F33" s="164">
        <v>590</v>
      </c>
      <c r="G33" s="163" t="s">
        <v>307</v>
      </c>
      <c r="H33" s="165">
        <v>7400</v>
      </c>
      <c r="I33" s="167">
        <v>239.91</v>
      </c>
      <c r="J33" s="167">
        <v>239.91</v>
      </c>
    </row>
    <row r="34" spans="2:10" x14ac:dyDescent="0.25">
      <c r="B34" s="168" t="s">
        <v>308</v>
      </c>
      <c r="C34" s="168" t="s">
        <v>244</v>
      </c>
      <c r="D34" s="168" t="s">
        <v>245</v>
      </c>
      <c r="E34" s="168" t="s">
        <v>309</v>
      </c>
      <c r="F34" s="164">
        <v>590</v>
      </c>
      <c r="G34" s="168" t="s">
        <v>430</v>
      </c>
      <c r="H34" s="170">
        <v>3383500</v>
      </c>
      <c r="I34" s="167">
        <v>51856.91</v>
      </c>
      <c r="J34" s="167">
        <v>51856.91</v>
      </c>
    </row>
    <row r="35" spans="2:10" x14ac:dyDescent="0.25">
      <c r="B35" s="163" t="s">
        <v>541</v>
      </c>
      <c r="C35" s="168"/>
      <c r="D35" s="168"/>
      <c r="E35" s="168"/>
      <c r="F35" s="164"/>
      <c r="G35" s="168"/>
      <c r="H35" s="165">
        <v>8100</v>
      </c>
      <c r="I35" s="167">
        <v>154.44</v>
      </c>
      <c r="J35" s="167">
        <v>154.44</v>
      </c>
    </row>
    <row r="36" spans="2:10" x14ac:dyDescent="0.25">
      <c r="B36" s="163" t="s">
        <v>310</v>
      </c>
      <c r="C36" s="163" t="s">
        <v>244</v>
      </c>
      <c r="D36" s="163" t="s">
        <v>245</v>
      </c>
      <c r="E36" s="163" t="s">
        <v>311</v>
      </c>
      <c r="F36" s="164">
        <v>575</v>
      </c>
      <c r="G36" s="163" t="s">
        <v>312</v>
      </c>
      <c r="H36" s="165">
        <v>822800</v>
      </c>
      <c r="I36" s="167">
        <v>12771.05</v>
      </c>
      <c r="J36" s="167">
        <v>12771.05</v>
      </c>
    </row>
    <row r="37" spans="2:10" x14ac:dyDescent="0.25">
      <c r="B37" s="163" t="s">
        <v>313</v>
      </c>
      <c r="C37" s="163" t="s">
        <v>244</v>
      </c>
      <c r="D37" s="163" t="s">
        <v>245</v>
      </c>
      <c r="E37" s="163" t="s">
        <v>314</v>
      </c>
      <c r="F37" s="164">
        <v>575</v>
      </c>
      <c r="G37" s="163" t="s">
        <v>315</v>
      </c>
      <c r="H37" s="165">
        <v>241400</v>
      </c>
      <c r="I37" s="167">
        <v>3775.96</v>
      </c>
      <c r="J37" s="167">
        <v>3775.96</v>
      </c>
    </row>
    <row r="38" spans="2:10" x14ac:dyDescent="0.25">
      <c r="B38" s="163" t="s">
        <v>316</v>
      </c>
      <c r="C38" s="163" t="s">
        <v>244</v>
      </c>
      <c r="D38" s="163" t="s">
        <v>245</v>
      </c>
      <c r="E38" s="163" t="s">
        <v>317</v>
      </c>
      <c r="F38" s="164">
        <v>575</v>
      </c>
      <c r="G38" s="163" t="s">
        <v>318</v>
      </c>
      <c r="H38" s="165">
        <v>50100</v>
      </c>
      <c r="I38" s="167">
        <v>756.71</v>
      </c>
      <c r="J38" s="167">
        <v>756.71</v>
      </c>
    </row>
    <row r="39" spans="2:10" x14ac:dyDescent="0.25">
      <c r="B39" s="163" t="s">
        <v>319</v>
      </c>
      <c r="C39" s="163" t="s">
        <v>244</v>
      </c>
      <c r="D39" s="163" t="s">
        <v>245</v>
      </c>
      <c r="E39" s="163" t="s">
        <v>320</v>
      </c>
      <c r="F39" s="164">
        <v>575</v>
      </c>
      <c r="G39" s="163" t="s">
        <v>321</v>
      </c>
      <c r="H39" s="165">
        <v>4600</v>
      </c>
      <c r="I39" s="167">
        <v>76.8</v>
      </c>
      <c r="J39" s="167">
        <v>76.8</v>
      </c>
    </row>
    <row r="40" spans="2:10" x14ac:dyDescent="0.25">
      <c r="B40" s="163" t="s">
        <v>322</v>
      </c>
      <c r="C40" s="163" t="s">
        <v>244</v>
      </c>
      <c r="D40" s="163" t="s">
        <v>245</v>
      </c>
      <c r="E40" s="163" t="s">
        <v>323</v>
      </c>
      <c r="F40" s="164">
        <v>575</v>
      </c>
      <c r="G40" s="163" t="s">
        <v>324</v>
      </c>
      <c r="H40" s="165">
        <v>6700</v>
      </c>
      <c r="I40" s="167">
        <v>235.5</v>
      </c>
      <c r="J40" s="167">
        <v>235.5</v>
      </c>
    </row>
    <row r="41" spans="2:10" x14ac:dyDescent="0.25">
      <c r="B41" s="163" t="s">
        <v>325</v>
      </c>
      <c r="C41" s="163" t="s">
        <v>244</v>
      </c>
      <c r="D41" s="163" t="s">
        <v>245</v>
      </c>
      <c r="E41" s="168" t="s">
        <v>326</v>
      </c>
      <c r="F41" s="164">
        <v>575</v>
      </c>
      <c r="G41" s="163" t="s">
        <v>327</v>
      </c>
      <c r="H41" s="165">
        <v>4500</v>
      </c>
      <c r="I41" s="167">
        <v>75.31</v>
      </c>
      <c r="J41" s="167">
        <v>75.31</v>
      </c>
    </row>
    <row r="42" spans="2:10" x14ac:dyDescent="0.25">
      <c r="B42" s="168" t="s">
        <v>328</v>
      </c>
      <c r="C42" s="168" t="s">
        <v>244</v>
      </c>
      <c r="D42" s="168" t="s">
        <v>245</v>
      </c>
      <c r="E42" s="168" t="s">
        <v>309</v>
      </c>
      <c r="F42" s="164">
        <v>575</v>
      </c>
      <c r="G42" s="168" t="s">
        <v>430</v>
      </c>
      <c r="H42" s="170">
        <v>1004100</v>
      </c>
      <c r="I42" s="167">
        <v>19010.02</v>
      </c>
      <c r="J42" s="167">
        <v>19010.02</v>
      </c>
    </row>
    <row r="43" spans="2:10" x14ac:dyDescent="0.25">
      <c r="B43" s="168" t="s">
        <v>329</v>
      </c>
      <c r="C43" s="168" t="s">
        <v>244</v>
      </c>
      <c r="D43" s="168" t="s">
        <v>245</v>
      </c>
      <c r="E43" s="168" t="s">
        <v>330</v>
      </c>
      <c r="F43" s="164">
        <v>220</v>
      </c>
      <c r="G43" s="168" t="s">
        <v>331</v>
      </c>
      <c r="H43" s="170">
        <v>376400</v>
      </c>
      <c r="I43" s="167">
        <v>6118.87</v>
      </c>
      <c r="J43" s="167">
        <v>6118.87</v>
      </c>
    </row>
    <row r="44" spans="2:10" x14ac:dyDescent="0.25">
      <c r="B44" s="163" t="s">
        <v>332</v>
      </c>
      <c r="C44" s="163" t="s">
        <v>244</v>
      </c>
      <c r="D44" s="163" t="s">
        <v>245</v>
      </c>
      <c r="E44" s="163" t="s">
        <v>333</v>
      </c>
      <c r="F44" s="164">
        <v>590</v>
      </c>
      <c r="G44" s="163" t="s">
        <v>334</v>
      </c>
      <c r="H44" s="165">
        <v>7300</v>
      </c>
      <c r="I44" s="167">
        <v>134.69</v>
      </c>
      <c r="J44" s="167">
        <v>134.69</v>
      </c>
    </row>
    <row r="45" spans="2:10" x14ac:dyDescent="0.25">
      <c r="B45" s="163" t="s">
        <v>335</v>
      </c>
      <c r="C45" s="163" t="s">
        <v>244</v>
      </c>
      <c r="D45" s="163" t="s">
        <v>245</v>
      </c>
      <c r="E45" s="163" t="s">
        <v>336</v>
      </c>
      <c r="F45" s="164">
        <v>590</v>
      </c>
      <c r="G45" s="163" t="s">
        <v>337</v>
      </c>
      <c r="H45" s="165">
        <v>10400</v>
      </c>
      <c r="I45" s="167">
        <v>239.63</v>
      </c>
      <c r="J45" s="167">
        <v>239.63</v>
      </c>
    </row>
    <row r="46" spans="2:10" x14ac:dyDescent="0.25">
      <c r="B46" s="163" t="s">
        <v>338</v>
      </c>
      <c r="C46" s="163" t="s">
        <v>244</v>
      </c>
      <c r="D46" s="163" t="s">
        <v>245</v>
      </c>
      <c r="E46" s="168" t="s">
        <v>339</v>
      </c>
      <c r="F46" s="164">
        <v>472</v>
      </c>
      <c r="G46" s="163" t="s">
        <v>340</v>
      </c>
      <c r="H46" s="165">
        <v>4200</v>
      </c>
      <c r="I46" s="167">
        <v>79.92</v>
      </c>
      <c r="J46" s="167">
        <v>79.92</v>
      </c>
    </row>
    <row r="47" spans="2:10" x14ac:dyDescent="0.25">
      <c r="B47" s="171" t="s">
        <v>479</v>
      </c>
      <c r="C47" s="163" t="s">
        <v>244</v>
      </c>
      <c r="D47" s="163" t="s">
        <v>245</v>
      </c>
      <c r="E47" s="168" t="s">
        <v>480</v>
      </c>
      <c r="F47" s="164">
        <v>575</v>
      </c>
      <c r="G47" s="163" t="s">
        <v>481</v>
      </c>
      <c r="H47" s="165">
        <v>28700</v>
      </c>
      <c r="I47" s="167">
        <v>460.45</v>
      </c>
      <c r="J47" s="167">
        <v>460.45</v>
      </c>
    </row>
    <row r="48" spans="2:10" x14ac:dyDescent="0.25">
      <c r="B48" s="163" t="s">
        <v>341</v>
      </c>
      <c r="C48" s="163" t="s">
        <v>244</v>
      </c>
      <c r="D48" s="163" t="s">
        <v>245</v>
      </c>
      <c r="E48" s="163" t="s">
        <v>342</v>
      </c>
      <c r="F48" s="164">
        <v>575</v>
      </c>
      <c r="G48" s="163" t="s">
        <v>343</v>
      </c>
      <c r="H48" s="165">
        <v>8000</v>
      </c>
      <c r="I48" s="167">
        <v>256.74</v>
      </c>
      <c r="J48" s="167">
        <v>256.74</v>
      </c>
    </row>
    <row r="49" spans="2:10" x14ac:dyDescent="0.25">
      <c r="B49" s="192" t="s">
        <v>344</v>
      </c>
      <c r="C49" s="163" t="s">
        <v>244</v>
      </c>
      <c r="D49" s="163"/>
      <c r="E49" s="168" t="s">
        <v>345</v>
      </c>
      <c r="F49" s="169" t="s">
        <v>282</v>
      </c>
      <c r="G49" s="163" t="s">
        <v>346</v>
      </c>
      <c r="H49" s="165">
        <v>45300</v>
      </c>
      <c r="I49" s="167">
        <v>473.7</v>
      </c>
      <c r="J49" s="167">
        <v>473.7</v>
      </c>
    </row>
    <row r="50" spans="2:10" x14ac:dyDescent="0.25">
      <c r="B50" s="163" t="s">
        <v>347</v>
      </c>
      <c r="C50" s="163" t="s">
        <v>244</v>
      </c>
      <c r="D50" s="163" t="s">
        <v>245</v>
      </c>
      <c r="E50" s="168" t="s">
        <v>348</v>
      </c>
      <c r="F50" s="164">
        <v>575</v>
      </c>
      <c r="G50" s="163" t="s">
        <v>349</v>
      </c>
      <c r="H50" s="165">
        <v>8600</v>
      </c>
      <c r="I50" s="167">
        <v>162.04</v>
      </c>
      <c r="J50" s="167">
        <v>162.04</v>
      </c>
    </row>
    <row r="51" spans="2:10" x14ac:dyDescent="0.25">
      <c r="B51" s="163" t="s">
        <v>542</v>
      </c>
      <c r="C51" s="163"/>
      <c r="D51" s="163"/>
      <c r="E51" s="168"/>
      <c r="F51" s="164"/>
      <c r="G51" s="163"/>
      <c r="H51" s="165">
        <v>3200</v>
      </c>
      <c r="I51" s="167">
        <v>44.9</v>
      </c>
      <c r="J51" s="167">
        <v>44.9</v>
      </c>
    </row>
    <row r="52" spans="2:10" x14ac:dyDescent="0.25">
      <c r="B52" s="163" t="s">
        <v>350</v>
      </c>
      <c r="C52" s="163" t="s">
        <v>244</v>
      </c>
      <c r="D52" s="163" t="s">
        <v>245</v>
      </c>
      <c r="E52" s="163" t="s">
        <v>351</v>
      </c>
      <c r="F52" s="164">
        <v>575</v>
      </c>
      <c r="G52" s="163" t="s">
        <v>352</v>
      </c>
      <c r="H52" s="165">
        <v>8100</v>
      </c>
      <c r="I52" s="167">
        <v>256.41000000000003</v>
      </c>
      <c r="J52" s="167">
        <v>256.41000000000003</v>
      </c>
    </row>
    <row r="53" spans="2:10" x14ac:dyDescent="0.25">
      <c r="B53" s="163" t="s">
        <v>353</v>
      </c>
      <c r="C53" s="163" t="s">
        <v>244</v>
      </c>
      <c r="D53" s="163" t="s">
        <v>245</v>
      </c>
      <c r="E53" s="163" t="s">
        <v>354</v>
      </c>
      <c r="F53" s="164">
        <v>575</v>
      </c>
      <c r="G53" s="163" t="s">
        <v>355</v>
      </c>
      <c r="H53" s="165">
        <v>5800</v>
      </c>
      <c r="I53" s="167">
        <v>96.05</v>
      </c>
      <c r="J53" s="167">
        <v>96.05</v>
      </c>
    </row>
    <row r="54" spans="2:10" x14ac:dyDescent="0.25">
      <c r="B54" s="163" t="s">
        <v>356</v>
      </c>
      <c r="C54" s="163" t="s">
        <v>244</v>
      </c>
      <c r="D54" s="163" t="s">
        <v>245</v>
      </c>
      <c r="E54" s="163" t="s">
        <v>357</v>
      </c>
      <c r="F54" s="164">
        <v>575</v>
      </c>
      <c r="G54" s="163" t="s">
        <v>358</v>
      </c>
      <c r="H54" s="165">
        <v>26500</v>
      </c>
      <c r="I54" s="167">
        <v>531.66999999999996</v>
      </c>
      <c r="J54" s="167">
        <v>531.66999999999996</v>
      </c>
    </row>
    <row r="55" spans="2:10" x14ac:dyDescent="0.25">
      <c r="B55" s="163" t="s">
        <v>359</v>
      </c>
      <c r="C55" s="163" t="s">
        <v>244</v>
      </c>
      <c r="D55" s="163" t="s">
        <v>245</v>
      </c>
      <c r="E55" s="163" t="s">
        <v>360</v>
      </c>
      <c r="F55" s="164">
        <v>575</v>
      </c>
      <c r="G55" s="163" t="s">
        <v>361</v>
      </c>
      <c r="H55" s="165">
        <v>3500</v>
      </c>
      <c r="I55" s="167">
        <v>187.68</v>
      </c>
      <c r="J55" s="167">
        <v>187.68</v>
      </c>
    </row>
    <row r="56" spans="2:10" x14ac:dyDescent="0.25">
      <c r="B56" s="163" t="s">
        <v>362</v>
      </c>
      <c r="C56" s="163" t="s">
        <v>244</v>
      </c>
      <c r="D56" s="163" t="s">
        <v>245</v>
      </c>
      <c r="E56" s="163" t="s">
        <v>363</v>
      </c>
      <c r="F56" s="164">
        <v>575</v>
      </c>
      <c r="G56" s="163" t="s">
        <v>364</v>
      </c>
      <c r="H56" s="165">
        <v>5500</v>
      </c>
      <c r="I56" s="167">
        <v>91.5</v>
      </c>
      <c r="J56" s="167">
        <v>91.5</v>
      </c>
    </row>
    <row r="57" spans="2:10" x14ac:dyDescent="0.25">
      <c r="B57" s="163" t="s">
        <v>365</v>
      </c>
      <c r="C57" s="163" t="s">
        <v>244</v>
      </c>
      <c r="D57" s="163" t="s">
        <v>245</v>
      </c>
      <c r="E57" s="163" t="s">
        <v>366</v>
      </c>
      <c r="F57" s="164">
        <v>575</v>
      </c>
      <c r="G57" s="163" t="s">
        <v>367</v>
      </c>
      <c r="H57" s="165">
        <v>4900</v>
      </c>
      <c r="I57" s="167">
        <v>81.28</v>
      </c>
      <c r="J57" s="167">
        <v>81.28</v>
      </c>
    </row>
    <row r="58" spans="2:10" x14ac:dyDescent="0.25">
      <c r="B58" s="163" t="s">
        <v>368</v>
      </c>
      <c r="C58" s="163" t="s">
        <v>244</v>
      </c>
      <c r="D58" s="163" t="s">
        <v>245</v>
      </c>
      <c r="E58" s="163" t="s">
        <v>369</v>
      </c>
      <c r="F58" s="164">
        <v>590</v>
      </c>
      <c r="G58" s="163" t="s">
        <v>370</v>
      </c>
      <c r="H58" s="165">
        <v>24000</v>
      </c>
      <c r="I58" s="167">
        <v>613.55999999999995</v>
      </c>
      <c r="J58" s="167">
        <v>613.55999999999995</v>
      </c>
    </row>
    <row r="59" spans="2:10" x14ac:dyDescent="0.25">
      <c r="B59" s="163" t="s">
        <v>371</v>
      </c>
      <c r="C59" s="163" t="s">
        <v>244</v>
      </c>
      <c r="D59" s="163" t="s">
        <v>245</v>
      </c>
      <c r="E59" s="168" t="s">
        <v>306</v>
      </c>
      <c r="F59" s="164">
        <v>590</v>
      </c>
      <c r="G59" s="163" t="s">
        <v>372</v>
      </c>
      <c r="H59" s="165">
        <v>7900</v>
      </c>
      <c r="I59" s="167">
        <v>119.66</v>
      </c>
      <c r="J59" s="167">
        <v>119.66</v>
      </c>
    </row>
    <row r="60" spans="2:10" x14ac:dyDescent="0.25">
      <c r="B60" s="163" t="s">
        <v>373</v>
      </c>
      <c r="C60" s="163" t="s">
        <v>244</v>
      </c>
      <c r="D60" s="163" t="s">
        <v>245</v>
      </c>
      <c r="E60" s="168" t="s">
        <v>374</v>
      </c>
      <c r="F60" s="164">
        <v>575</v>
      </c>
      <c r="G60" s="163" t="s">
        <v>327</v>
      </c>
      <c r="H60" s="165">
        <v>2000</v>
      </c>
      <c r="I60" s="167">
        <v>37.94</v>
      </c>
      <c r="J60" s="167">
        <v>37.94</v>
      </c>
    </row>
    <row r="61" spans="2:10" x14ac:dyDescent="0.25">
      <c r="B61" s="163" t="s">
        <v>543</v>
      </c>
      <c r="C61" s="163"/>
      <c r="D61" s="163"/>
      <c r="E61" s="168"/>
      <c r="F61" s="164"/>
      <c r="G61" s="163"/>
      <c r="H61" s="165">
        <v>14400</v>
      </c>
      <c r="I61" s="167">
        <v>197.34</v>
      </c>
      <c r="J61" s="167">
        <v>197.34</v>
      </c>
    </row>
    <row r="62" spans="2:10" x14ac:dyDescent="0.25">
      <c r="B62" s="163" t="s">
        <v>375</v>
      </c>
      <c r="C62" s="163" t="s">
        <v>244</v>
      </c>
      <c r="D62" s="163" t="s">
        <v>245</v>
      </c>
      <c r="E62" s="163" t="s">
        <v>376</v>
      </c>
      <c r="F62" s="164">
        <v>472</v>
      </c>
      <c r="G62" s="163" t="s">
        <v>377</v>
      </c>
      <c r="H62" s="165">
        <v>14900</v>
      </c>
      <c r="I62" s="167">
        <v>306.91000000000003</v>
      </c>
      <c r="J62" s="167">
        <v>306.91000000000003</v>
      </c>
    </row>
    <row r="63" spans="2:10" x14ac:dyDescent="0.25">
      <c r="B63" s="163" t="s">
        <v>378</v>
      </c>
      <c r="C63" s="163" t="s">
        <v>244</v>
      </c>
      <c r="D63" s="163" t="s">
        <v>245</v>
      </c>
      <c r="E63" s="163" t="s">
        <v>379</v>
      </c>
      <c r="F63" s="164">
        <v>590</v>
      </c>
      <c r="G63" s="163" t="s">
        <v>380</v>
      </c>
      <c r="H63" s="165">
        <v>9700</v>
      </c>
      <c r="I63" s="167">
        <v>168.75</v>
      </c>
      <c r="J63" s="167">
        <v>168.75</v>
      </c>
    </row>
    <row r="64" spans="2:10" x14ac:dyDescent="0.25">
      <c r="B64" s="163" t="s">
        <v>381</v>
      </c>
      <c r="C64" s="163" t="s">
        <v>244</v>
      </c>
      <c r="D64" s="163" t="s">
        <v>245</v>
      </c>
      <c r="E64" s="163" t="s">
        <v>382</v>
      </c>
      <c r="F64" s="164">
        <v>590</v>
      </c>
      <c r="G64" s="163" t="s">
        <v>383</v>
      </c>
      <c r="H64" s="165">
        <v>10500</v>
      </c>
      <c r="I64" s="167">
        <v>283.72000000000003</v>
      </c>
      <c r="J64" s="167">
        <v>283.72000000000003</v>
      </c>
    </row>
    <row r="65" spans="2:10" x14ac:dyDescent="0.25">
      <c r="B65" s="163" t="s">
        <v>384</v>
      </c>
      <c r="C65" s="163" t="s">
        <v>244</v>
      </c>
      <c r="D65" s="163" t="s">
        <v>245</v>
      </c>
      <c r="E65" s="163" t="s">
        <v>385</v>
      </c>
      <c r="F65" s="164">
        <v>590</v>
      </c>
      <c r="G65" s="163" t="s">
        <v>386</v>
      </c>
      <c r="H65" s="165">
        <v>2100</v>
      </c>
      <c r="I65" s="167">
        <v>37.72</v>
      </c>
      <c r="J65" s="167">
        <v>37.72</v>
      </c>
    </row>
    <row r="66" spans="2:10" x14ac:dyDescent="0.25">
      <c r="B66" s="163" t="s">
        <v>387</v>
      </c>
      <c r="C66" s="163" t="s">
        <v>244</v>
      </c>
      <c r="D66" s="163" t="s">
        <v>245</v>
      </c>
      <c r="E66" s="163" t="s">
        <v>388</v>
      </c>
      <c r="F66" s="164">
        <v>155</v>
      </c>
      <c r="G66" s="163" t="s">
        <v>389</v>
      </c>
      <c r="H66" s="165">
        <v>2400</v>
      </c>
      <c r="I66" s="167">
        <v>40.549999999999997</v>
      </c>
      <c r="J66" s="167">
        <v>40.549999999999997</v>
      </c>
    </row>
    <row r="67" spans="2:10" x14ac:dyDescent="0.25">
      <c r="B67" s="163" t="s">
        <v>390</v>
      </c>
      <c r="C67" s="163" t="s">
        <v>244</v>
      </c>
      <c r="D67" s="163" t="s">
        <v>245</v>
      </c>
      <c r="E67" s="163" t="s">
        <v>391</v>
      </c>
      <c r="F67" s="164">
        <v>575</v>
      </c>
      <c r="G67" s="163" t="s">
        <v>392</v>
      </c>
      <c r="H67" s="165">
        <v>5100</v>
      </c>
      <c r="I67" s="167">
        <v>211.59</v>
      </c>
      <c r="J67" s="167">
        <v>211.59</v>
      </c>
    </row>
    <row r="68" spans="2:10" x14ac:dyDescent="0.25">
      <c r="B68" s="163" t="s">
        <v>393</v>
      </c>
      <c r="C68" s="163" t="s">
        <v>244</v>
      </c>
      <c r="D68" s="163" t="s">
        <v>245</v>
      </c>
      <c r="E68" s="168" t="s">
        <v>394</v>
      </c>
      <c r="F68" s="164">
        <v>472</v>
      </c>
      <c r="G68" s="163" t="s">
        <v>395</v>
      </c>
      <c r="H68" s="165">
        <v>28900</v>
      </c>
      <c r="I68" s="167">
        <v>468.08</v>
      </c>
      <c r="J68" s="167">
        <v>468.08</v>
      </c>
    </row>
    <row r="69" spans="2:10" x14ac:dyDescent="0.25">
      <c r="B69" s="163" t="s">
        <v>544</v>
      </c>
      <c r="C69" s="163"/>
      <c r="D69" s="163"/>
      <c r="E69" s="168"/>
      <c r="F69" s="164"/>
      <c r="G69" s="163"/>
      <c r="H69" s="165">
        <v>95500</v>
      </c>
      <c r="I69" s="167">
        <v>1131.24</v>
      </c>
      <c r="J69" s="167">
        <v>1131.24</v>
      </c>
    </row>
    <row r="70" spans="2:10" x14ac:dyDescent="0.25">
      <c r="B70" s="163" t="s">
        <v>545</v>
      </c>
      <c r="C70" s="163"/>
      <c r="D70" s="163"/>
      <c r="E70" s="168"/>
      <c r="F70" s="164"/>
      <c r="G70" s="163"/>
      <c r="H70" s="165">
        <v>22000</v>
      </c>
      <c r="I70" s="167">
        <v>284.83999999999997</v>
      </c>
      <c r="J70" s="167">
        <v>284.83999999999997</v>
      </c>
    </row>
    <row r="71" spans="2:10" x14ac:dyDescent="0.25">
      <c r="B71" s="163" t="s">
        <v>396</v>
      </c>
      <c r="C71" s="163" t="s">
        <v>244</v>
      </c>
      <c r="D71" s="163" t="s">
        <v>245</v>
      </c>
      <c r="E71" s="163" t="s">
        <v>397</v>
      </c>
      <c r="F71" s="164">
        <v>590</v>
      </c>
      <c r="G71" s="163" t="s">
        <v>398</v>
      </c>
      <c r="H71" s="165">
        <v>13400</v>
      </c>
      <c r="I71" s="167">
        <v>220.87</v>
      </c>
      <c r="J71" s="167">
        <v>220.87</v>
      </c>
    </row>
    <row r="72" spans="2:10" x14ac:dyDescent="0.25">
      <c r="B72" s="163" t="s">
        <v>399</v>
      </c>
      <c r="C72" s="163" t="s">
        <v>244</v>
      </c>
      <c r="D72" s="163" t="s">
        <v>245</v>
      </c>
      <c r="E72" s="163" t="s">
        <v>400</v>
      </c>
      <c r="F72" s="164">
        <v>575</v>
      </c>
      <c r="G72" s="163" t="s">
        <v>401</v>
      </c>
      <c r="H72" s="165">
        <v>9600</v>
      </c>
      <c r="I72" s="167">
        <v>175.02</v>
      </c>
      <c r="J72" s="167">
        <v>175.02</v>
      </c>
    </row>
    <row r="73" spans="2:10" x14ac:dyDescent="0.25">
      <c r="B73" s="163" t="s">
        <v>402</v>
      </c>
      <c r="C73" s="163" t="s">
        <v>244</v>
      </c>
      <c r="D73" s="163" t="s">
        <v>245</v>
      </c>
      <c r="E73" s="163" t="s">
        <v>403</v>
      </c>
      <c r="F73" s="164">
        <v>575</v>
      </c>
      <c r="G73" s="163" t="s">
        <v>404</v>
      </c>
      <c r="H73" s="165">
        <v>8000</v>
      </c>
      <c r="I73" s="167">
        <v>151.11000000000001</v>
      </c>
      <c r="J73" s="167">
        <v>151.11000000000001</v>
      </c>
    </row>
    <row r="74" spans="2:10" x14ac:dyDescent="0.25">
      <c r="B74" s="163" t="s">
        <v>405</v>
      </c>
      <c r="C74" s="163" t="s">
        <v>244</v>
      </c>
      <c r="D74" s="163" t="s">
        <v>245</v>
      </c>
      <c r="E74" s="168" t="s">
        <v>406</v>
      </c>
      <c r="F74" s="164">
        <v>590</v>
      </c>
      <c r="G74" s="163" t="s">
        <v>407</v>
      </c>
      <c r="H74" s="165">
        <v>6800</v>
      </c>
      <c r="I74" s="167">
        <v>104.12</v>
      </c>
      <c r="J74" s="167">
        <v>104.12</v>
      </c>
    </row>
    <row r="75" spans="2:10" x14ac:dyDescent="0.25">
      <c r="B75" s="163" t="s">
        <v>408</v>
      </c>
      <c r="C75" s="163" t="s">
        <v>244</v>
      </c>
      <c r="D75" s="163" t="s">
        <v>245</v>
      </c>
      <c r="E75" s="163" t="s">
        <v>409</v>
      </c>
      <c r="F75" s="164">
        <v>590</v>
      </c>
      <c r="G75" s="163" t="s">
        <v>410</v>
      </c>
      <c r="H75" s="165">
        <v>8300</v>
      </c>
      <c r="I75" s="167">
        <v>148.82</v>
      </c>
      <c r="J75" s="167">
        <v>148.82</v>
      </c>
    </row>
    <row r="76" spans="2:10" x14ac:dyDescent="0.25">
      <c r="B76" s="163" t="s">
        <v>411</v>
      </c>
      <c r="C76" s="163" t="s">
        <v>244</v>
      </c>
      <c r="D76" s="163" t="s">
        <v>245</v>
      </c>
      <c r="E76" s="163" t="s">
        <v>412</v>
      </c>
      <c r="F76" s="164">
        <v>590</v>
      </c>
      <c r="G76" s="163" t="s">
        <v>413</v>
      </c>
      <c r="H76" s="165">
        <v>98400</v>
      </c>
      <c r="I76" s="167">
        <v>1525.42</v>
      </c>
      <c r="J76" s="167">
        <v>1525.42</v>
      </c>
    </row>
    <row r="77" spans="2:10" x14ac:dyDescent="0.25">
      <c r="B77" s="163" t="s">
        <v>414</v>
      </c>
      <c r="C77" s="163" t="s">
        <v>244</v>
      </c>
      <c r="D77" s="163" t="s">
        <v>245</v>
      </c>
      <c r="E77" s="163" t="s">
        <v>415</v>
      </c>
      <c r="F77" s="164">
        <v>590</v>
      </c>
      <c r="G77" s="163" t="s">
        <v>416</v>
      </c>
      <c r="H77" s="165">
        <v>8200</v>
      </c>
      <c r="I77" s="167">
        <v>147.41</v>
      </c>
      <c r="J77" s="167">
        <v>147.41</v>
      </c>
    </row>
    <row r="78" spans="2:10" x14ac:dyDescent="0.25">
      <c r="B78" s="163" t="s">
        <v>417</v>
      </c>
      <c r="C78" s="163" t="s">
        <v>244</v>
      </c>
      <c r="D78" s="163" t="s">
        <v>245</v>
      </c>
      <c r="E78" s="163" t="s">
        <v>418</v>
      </c>
      <c r="F78" s="164">
        <v>590</v>
      </c>
      <c r="G78" s="163" t="s">
        <v>419</v>
      </c>
      <c r="H78" s="165">
        <v>8800</v>
      </c>
      <c r="I78" s="167">
        <v>155.88999999999999</v>
      </c>
      <c r="J78" s="167">
        <v>155.88999999999999</v>
      </c>
    </row>
    <row r="79" spans="2:10" x14ac:dyDescent="0.25">
      <c r="B79" s="163" t="s">
        <v>420</v>
      </c>
      <c r="C79" s="163" t="s">
        <v>244</v>
      </c>
      <c r="D79" s="163" t="s">
        <v>245</v>
      </c>
      <c r="E79" s="168" t="s">
        <v>421</v>
      </c>
      <c r="F79" s="164">
        <v>472</v>
      </c>
      <c r="G79" s="163" t="s">
        <v>422</v>
      </c>
      <c r="H79" s="165">
        <v>8500</v>
      </c>
      <c r="I79" s="167">
        <v>105.91</v>
      </c>
      <c r="J79" s="167">
        <v>105.91</v>
      </c>
    </row>
    <row r="80" spans="2:10" x14ac:dyDescent="0.25">
      <c r="B80" s="163" t="s">
        <v>423</v>
      </c>
      <c r="C80" s="163" t="s">
        <v>244</v>
      </c>
      <c r="D80" s="163" t="s">
        <v>245</v>
      </c>
      <c r="E80" s="168" t="s">
        <v>424</v>
      </c>
      <c r="F80" s="164">
        <v>575</v>
      </c>
      <c r="G80" s="163" t="s">
        <v>425</v>
      </c>
      <c r="H80" s="165">
        <v>13400</v>
      </c>
      <c r="I80" s="167">
        <v>338.66</v>
      </c>
      <c r="J80" s="167">
        <v>338.66</v>
      </c>
    </row>
    <row r="81" spans="2:10" x14ac:dyDescent="0.25">
      <c r="B81" s="171" t="s">
        <v>426</v>
      </c>
      <c r="C81" s="163" t="s">
        <v>244</v>
      </c>
      <c r="D81" s="163" t="s">
        <v>245</v>
      </c>
      <c r="E81" s="168" t="s">
        <v>427</v>
      </c>
      <c r="F81" s="164">
        <v>472</v>
      </c>
      <c r="G81" s="163" t="s">
        <v>428</v>
      </c>
      <c r="H81" s="165">
        <v>16200</v>
      </c>
      <c r="I81" s="167">
        <v>321.88</v>
      </c>
      <c r="J81" s="167">
        <v>321.88</v>
      </c>
    </row>
    <row r="82" spans="2:10" x14ac:dyDescent="0.25">
      <c r="B82" s="163"/>
      <c r="C82" s="163"/>
      <c r="D82" s="163"/>
      <c r="E82" s="163"/>
      <c r="F82" s="172"/>
      <c r="G82" s="163"/>
      <c r="H82" s="173">
        <f>SUM(H6:H81)</f>
        <v>20640499</v>
      </c>
      <c r="I82" s="174">
        <f>SUM(I6:I81)</f>
        <v>309313.73999999993</v>
      </c>
      <c r="J82" s="174">
        <f>SUM(J6:J81)</f>
        <v>309313.73999999993</v>
      </c>
    </row>
    <row r="83" spans="2:10" x14ac:dyDescent="0.25">
      <c r="B83" s="163"/>
      <c r="C83" s="163"/>
      <c r="D83" s="163"/>
      <c r="E83" s="163"/>
      <c r="F83" s="172"/>
      <c r="G83" s="163"/>
      <c r="H83" s="173" t="s">
        <v>429</v>
      </c>
      <c r="I83" s="175">
        <f>+SUM(I82-J82)/J82</f>
        <v>0</v>
      </c>
      <c r="J83" s="175"/>
    </row>
    <row r="85" spans="2:10" ht="16.5" thickBot="1" x14ac:dyDescent="0.3">
      <c r="H85" s="176" t="s">
        <v>91</v>
      </c>
      <c r="I85" s="177">
        <f>+I82-J82</f>
        <v>0</v>
      </c>
    </row>
    <row r="86" spans="2:10" ht="16.5" thickTop="1" x14ac:dyDescent="0.25"/>
  </sheetData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workbookViewId="0">
      <selection activeCell="G8" sqref="G8"/>
    </sheetView>
  </sheetViews>
  <sheetFormatPr defaultRowHeight="15.75" x14ac:dyDescent="0.25"/>
  <cols>
    <col min="7" max="7" width="10" style="45" bestFit="1" customWidth="1"/>
    <col min="8" max="8" width="11.44140625" style="45" bestFit="1" customWidth="1"/>
  </cols>
  <sheetData>
    <row r="1" spans="2:8" x14ac:dyDescent="0.25">
      <c r="B1" s="19" t="s">
        <v>432</v>
      </c>
    </row>
    <row r="2" spans="2:8" x14ac:dyDescent="0.25">
      <c r="B2" t="s">
        <v>102</v>
      </c>
    </row>
    <row r="3" spans="2:8" x14ac:dyDescent="0.25">
      <c r="B3" t="s">
        <v>555</v>
      </c>
    </row>
    <row r="4" spans="2:8" x14ac:dyDescent="0.25">
      <c r="B4" s="1"/>
    </row>
    <row r="5" spans="2:8" x14ac:dyDescent="0.25">
      <c r="B5" s="1">
        <v>2019</v>
      </c>
      <c r="C5" t="s">
        <v>493</v>
      </c>
      <c r="G5" s="45">
        <v>15000</v>
      </c>
    </row>
    <row r="6" spans="2:8" x14ac:dyDescent="0.25">
      <c r="C6" t="s">
        <v>495</v>
      </c>
      <c r="G6" s="45">
        <v>9043.8700000000008</v>
      </c>
    </row>
    <row r="7" spans="2:8" x14ac:dyDescent="0.25">
      <c r="C7" t="s">
        <v>494</v>
      </c>
      <c r="G7" s="45">
        <v>3725.93</v>
      </c>
    </row>
    <row r="8" spans="2:8" x14ac:dyDescent="0.25">
      <c r="C8" t="s">
        <v>492</v>
      </c>
    </row>
    <row r="12" spans="2:8" x14ac:dyDescent="0.25">
      <c r="G12" s="178">
        <f>SUM(G5:G11)</f>
        <v>27769.800000000003</v>
      </c>
    </row>
    <row r="14" spans="2:8" x14ac:dyDescent="0.25">
      <c r="E14" t="s">
        <v>496</v>
      </c>
      <c r="H14" s="45">
        <f>+G12/3</f>
        <v>9256.6</v>
      </c>
    </row>
    <row r="16" spans="2:8" ht="16.5" thickBot="1" x14ac:dyDescent="0.3">
      <c r="E16" s="19" t="s">
        <v>236</v>
      </c>
      <c r="F16" s="19"/>
      <c r="G16" s="180"/>
      <c r="H16" s="154">
        <f>SUM(H7:H14)</f>
        <v>9256.6</v>
      </c>
    </row>
    <row r="17" ht="16.5" thickTop="1" x14ac:dyDescent="0.25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workbookViewId="0">
      <selection sqref="A1:XFD1048576"/>
    </sheetView>
  </sheetViews>
  <sheetFormatPr defaultRowHeight="15.75" x14ac:dyDescent="0.25"/>
  <cols>
    <col min="7" max="7" width="10" style="45" bestFit="1" customWidth="1"/>
    <col min="8" max="8" width="11.44140625" style="45" bestFit="1" customWidth="1"/>
  </cols>
  <sheetData>
    <row r="1" spans="2:8" x14ac:dyDescent="0.25">
      <c r="B1" s="19" t="s">
        <v>432</v>
      </c>
    </row>
    <row r="2" spans="2:8" x14ac:dyDescent="0.25">
      <c r="B2" t="s">
        <v>102</v>
      </c>
    </row>
    <row r="3" spans="2:8" x14ac:dyDescent="0.25">
      <c r="B3" t="s">
        <v>491</v>
      </c>
    </row>
    <row r="4" spans="2:8" x14ac:dyDescent="0.25">
      <c r="B4" s="1"/>
    </row>
    <row r="5" spans="2:8" x14ac:dyDescent="0.25">
      <c r="B5" s="1">
        <v>2017</v>
      </c>
      <c r="C5" t="s">
        <v>493</v>
      </c>
      <c r="G5" s="45">
        <v>15000</v>
      </c>
    </row>
    <row r="6" spans="2:8" x14ac:dyDescent="0.25">
      <c r="C6" t="s">
        <v>495</v>
      </c>
      <c r="G6" s="45">
        <f>18087*0.46</f>
        <v>8320.02</v>
      </c>
    </row>
    <row r="7" spans="2:8" x14ac:dyDescent="0.25">
      <c r="C7" t="s">
        <v>494</v>
      </c>
      <c r="G7" s="45">
        <f>18087*0.2</f>
        <v>3617.4</v>
      </c>
    </row>
    <row r="8" spans="2:8" x14ac:dyDescent="0.25">
      <c r="C8" t="s">
        <v>492</v>
      </c>
    </row>
    <row r="12" spans="2:8" x14ac:dyDescent="0.25">
      <c r="G12" s="178">
        <f>SUM(G5:G11)</f>
        <v>26937.420000000002</v>
      </c>
    </row>
    <row r="14" spans="2:8" x14ac:dyDescent="0.25">
      <c r="E14" t="s">
        <v>496</v>
      </c>
      <c r="H14" s="45">
        <f>+G12/3</f>
        <v>8979.1400000000012</v>
      </c>
    </row>
    <row r="16" spans="2:8" ht="16.5" thickBot="1" x14ac:dyDescent="0.3">
      <c r="E16" s="19" t="s">
        <v>236</v>
      </c>
      <c r="F16" s="19"/>
      <c r="G16" s="180"/>
      <c r="H16" s="154">
        <f>SUM(H7:H14)</f>
        <v>8979.1400000000012</v>
      </c>
    </row>
    <row r="17" ht="16.5" thickTop="1" x14ac:dyDescent="0.25"/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workbookViewId="0">
      <selection activeCell="E6" sqref="E6:E7"/>
    </sheetView>
  </sheetViews>
  <sheetFormatPr defaultRowHeight="15.75" x14ac:dyDescent="0.25"/>
  <cols>
    <col min="5" max="5" width="10" style="45" bestFit="1" customWidth="1"/>
  </cols>
  <sheetData>
    <row r="1" spans="2:5" x14ac:dyDescent="0.25">
      <c r="B1" s="19" t="s">
        <v>434</v>
      </c>
    </row>
    <row r="2" spans="2:5" x14ac:dyDescent="0.25">
      <c r="B2" t="s">
        <v>102</v>
      </c>
    </row>
    <row r="4" spans="2:5" x14ac:dyDescent="0.25">
      <c r="B4" t="s">
        <v>437</v>
      </c>
    </row>
    <row r="6" spans="2:5" x14ac:dyDescent="0.25">
      <c r="C6" t="s">
        <v>438</v>
      </c>
    </row>
    <row r="7" spans="2:5" x14ac:dyDescent="0.25">
      <c r="C7" t="s">
        <v>439</v>
      </c>
    </row>
    <row r="9" spans="2:5" ht="16.5" thickBot="1" x14ac:dyDescent="0.3">
      <c r="C9" t="s">
        <v>91</v>
      </c>
      <c r="E9" s="179">
        <f>+E7-E6</f>
        <v>0</v>
      </c>
    </row>
    <row r="10" spans="2:5" ht="16.5" thickTop="1" x14ac:dyDescent="0.25"/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"/>
  <sheetViews>
    <sheetView workbookViewId="0">
      <selection activeCell="F7" sqref="F7"/>
    </sheetView>
  </sheetViews>
  <sheetFormatPr defaultRowHeight="15.75" x14ac:dyDescent="0.25"/>
  <cols>
    <col min="6" max="6" width="10.33203125" style="45" bestFit="1" customWidth="1"/>
  </cols>
  <sheetData>
    <row r="1" spans="2:6" x14ac:dyDescent="0.25">
      <c r="B1" t="s">
        <v>440</v>
      </c>
    </row>
    <row r="2" spans="2:6" x14ac:dyDescent="0.25">
      <c r="B2" t="s">
        <v>102</v>
      </c>
    </row>
    <row r="4" spans="2:6" x14ac:dyDescent="0.25">
      <c r="B4" t="s">
        <v>441</v>
      </c>
    </row>
    <row r="7" spans="2:6" x14ac:dyDescent="0.25">
      <c r="C7" t="s">
        <v>461</v>
      </c>
    </row>
    <row r="8" spans="2:6" ht="16.5" thickBot="1" x14ac:dyDescent="0.3">
      <c r="C8" s="19" t="s">
        <v>433</v>
      </c>
      <c r="D8" s="19"/>
      <c r="E8" s="19"/>
      <c r="F8" s="154">
        <f>+F7/2</f>
        <v>0</v>
      </c>
    </row>
    <row r="9" spans="2:6" ht="16.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12" sqref="D12"/>
    </sheetView>
  </sheetViews>
  <sheetFormatPr defaultRowHeight="15.75" x14ac:dyDescent="0.25"/>
  <cols>
    <col min="1" max="1" width="4.21875" customWidth="1"/>
    <col min="2" max="2" width="39.6640625" customWidth="1"/>
    <col min="4" max="4" width="11.6640625" style="8" bestFit="1" customWidth="1"/>
  </cols>
  <sheetData>
    <row r="1" spans="1:4" x14ac:dyDescent="0.25">
      <c r="A1" s="1" t="s">
        <v>0</v>
      </c>
    </row>
    <row r="5" spans="1:4" x14ac:dyDescent="0.25">
      <c r="A5" s="2"/>
      <c r="B5" s="7" t="s">
        <v>168</v>
      </c>
    </row>
    <row r="6" spans="1:4" x14ac:dyDescent="0.25">
      <c r="A6" s="2">
        <v>51</v>
      </c>
      <c r="B6" s="1" t="s">
        <v>42</v>
      </c>
      <c r="D6" s="8">
        <f>+RATES!C40</f>
        <v>722907.94999999925</v>
      </c>
    </row>
    <row r="7" spans="1:4" x14ac:dyDescent="0.25">
      <c r="A7" s="2">
        <v>52</v>
      </c>
      <c r="B7" s="1" t="s">
        <v>167</v>
      </c>
    </row>
    <row r="8" spans="1:4" x14ac:dyDescent="0.25">
      <c r="A8" s="2">
        <v>53</v>
      </c>
      <c r="B8" s="27" t="s">
        <v>169</v>
      </c>
    </row>
    <row r="9" spans="1:4" x14ac:dyDescent="0.25">
      <c r="A9" s="2">
        <v>54</v>
      </c>
      <c r="B9" s="27" t="s">
        <v>170</v>
      </c>
      <c r="D9" s="8">
        <f>-RATES!K99</f>
        <v>-125811.91</v>
      </c>
    </row>
    <row r="10" spans="1:4" x14ac:dyDescent="0.25">
      <c r="A10" s="2">
        <v>55</v>
      </c>
      <c r="B10" t="s">
        <v>171</v>
      </c>
      <c r="D10" s="8">
        <f>+D6+D9</f>
        <v>597096.03999999922</v>
      </c>
    </row>
    <row r="11" spans="1:4" ht="16.5" thickBot="1" x14ac:dyDescent="0.3">
      <c r="A11" s="2">
        <v>56</v>
      </c>
      <c r="B11" s="92"/>
      <c r="C11" s="92"/>
      <c r="D11" s="93"/>
    </row>
    <row r="12" spans="1:4" ht="25.15" customHeight="1" thickTop="1" thickBot="1" x14ac:dyDescent="0.3">
      <c r="A12" s="2">
        <v>57</v>
      </c>
      <c r="B12" t="s">
        <v>172</v>
      </c>
      <c r="D12" s="8">
        <f>+RATES!C96</f>
        <v>125390.16839999983</v>
      </c>
    </row>
    <row r="13" spans="1:4" ht="16.5" thickTop="1" x14ac:dyDescent="0.25">
      <c r="B13" s="94"/>
      <c r="C13" s="94"/>
      <c r="D13" s="95"/>
    </row>
  </sheetData>
  <phoneticPr fontId="0" type="noConversion"/>
  <pageMargins left="0.75" right="0.75" top="1" bottom="1" header="0.5" footer="0.5"/>
  <pageSetup orientation="landscape" horizontalDpi="409" verticalDpi="409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6"/>
  <sheetViews>
    <sheetView view="pageBreakPreview" topLeftCell="A4" zoomScale="70" zoomScaleNormal="75" zoomScaleSheetLayoutView="70" workbookViewId="0">
      <selection activeCell="C48" sqref="C48"/>
    </sheetView>
  </sheetViews>
  <sheetFormatPr defaultColWidth="8.77734375" defaultRowHeight="15.75" x14ac:dyDescent="0.25"/>
  <cols>
    <col min="1" max="1" width="3.6640625" style="68" customWidth="1"/>
    <col min="2" max="2" width="36.109375" style="67" customWidth="1"/>
    <col min="3" max="4" width="15.6640625" style="96" customWidth="1"/>
    <col min="5" max="5" width="20.5546875" style="96" bestFit="1" customWidth="1"/>
    <col min="6" max="6" width="15.6640625" style="96" customWidth="1"/>
    <col min="7" max="8" width="15.6640625" style="88" customWidth="1"/>
    <col min="9" max="9" width="15.6640625" style="96" customWidth="1"/>
    <col min="10" max="16384" width="8.77734375" style="67"/>
  </cols>
  <sheetData>
    <row r="1" spans="1:9" customFormat="1" x14ac:dyDescent="0.25">
      <c r="A1" s="2"/>
      <c r="B1" s="1" t="s">
        <v>0</v>
      </c>
      <c r="C1" s="97"/>
      <c r="D1" s="97"/>
      <c r="E1" s="102"/>
      <c r="F1" s="97"/>
      <c r="G1" s="80"/>
      <c r="H1" s="81"/>
      <c r="I1" s="97"/>
    </row>
    <row r="2" spans="1:9" customFormat="1" x14ac:dyDescent="0.25">
      <c r="A2" s="2"/>
      <c r="B2" t="s">
        <v>177</v>
      </c>
      <c r="C2" s="97"/>
      <c r="D2" s="97"/>
      <c r="E2" s="102"/>
      <c r="F2" s="97"/>
      <c r="G2" s="80"/>
      <c r="H2" s="81"/>
      <c r="I2" s="97"/>
    </row>
    <row r="3" spans="1:9" customFormat="1" x14ac:dyDescent="0.25">
      <c r="A3" s="2"/>
      <c r="C3" s="97"/>
      <c r="D3" s="97"/>
      <c r="E3" s="102"/>
      <c r="F3" s="97"/>
      <c r="G3" s="80"/>
      <c r="H3" s="81"/>
      <c r="I3" s="97"/>
    </row>
    <row r="4" spans="1:9" customFormat="1" x14ac:dyDescent="0.25">
      <c r="A4" s="2"/>
      <c r="C4" s="97"/>
      <c r="D4" s="97"/>
      <c r="E4" s="102"/>
      <c r="F4" s="97"/>
      <c r="G4" s="80"/>
      <c r="H4" s="81"/>
      <c r="I4" s="97"/>
    </row>
    <row r="5" spans="1:9" customFormat="1" x14ac:dyDescent="0.25">
      <c r="A5" s="2"/>
      <c r="C5" s="77" t="s">
        <v>436</v>
      </c>
      <c r="D5" s="193" t="s">
        <v>497</v>
      </c>
      <c r="E5" s="142" t="s">
        <v>490</v>
      </c>
      <c r="F5" s="101"/>
      <c r="G5" s="82"/>
      <c r="H5" s="83"/>
      <c r="I5" s="106" t="s">
        <v>55</v>
      </c>
    </row>
    <row r="6" spans="1:9" customFormat="1" x14ac:dyDescent="0.25">
      <c r="A6" s="2"/>
      <c r="C6" s="181" t="s">
        <v>445</v>
      </c>
      <c r="D6" s="193" t="s">
        <v>489</v>
      </c>
      <c r="E6" s="134" t="s">
        <v>157</v>
      </c>
      <c r="F6" s="144"/>
      <c r="G6" s="84"/>
      <c r="H6" s="85"/>
      <c r="I6" s="107" t="s">
        <v>60</v>
      </c>
    </row>
    <row r="7" spans="1:9" customFormat="1" x14ac:dyDescent="0.25">
      <c r="A7" s="2"/>
      <c r="C7" s="131" t="s">
        <v>61</v>
      </c>
      <c r="D7" s="131" t="s">
        <v>96</v>
      </c>
      <c r="E7" s="131" t="s">
        <v>101</v>
      </c>
      <c r="F7" s="131" t="s">
        <v>176</v>
      </c>
      <c r="G7" s="86"/>
      <c r="H7" s="87"/>
      <c r="I7" s="108" t="s">
        <v>52</v>
      </c>
    </row>
    <row r="8" spans="1:9" s="64" customFormat="1" x14ac:dyDescent="0.25">
      <c r="A8" s="65">
        <v>1</v>
      </c>
      <c r="B8" s="63" t="s">
        <v>14</v>
      </c>
      <c r="C8" s="98"/>
      <c r="D8" s="98"/>
      <c r="E8" s="103"/>
      <c r="F8" s="98"/>
      <c r="G8" s="86"/>
      <c r="H8" s="87"/>
      <c r="I8" s="98"/>
    </row>
    <row r="9" spans="1:9" x14ac:dyDescent="0.25">
      <c r="A9" s="68">
        <v>2</v>
      </c>
      <c r="B9" s="69" t="s">
        <v>15</v>
      </c>
      <c r="E9" s="104"/>
      <c r="H9" s="89"/>
      <c r="I9" s="96">
        <f t="shared" ref="I9:I13" si="0">SUM(C9:H9)</f>
        <v>0</v>
      </c>
    </row>
    <row r="10" spans="1:9" x14ac:dyDescent="0.25">
      <c r="A10" s="68">
        <v>3</v>
      </c>
      <c r="B10" s="69" t="s">
        <v>16</v>
      </c>
      <c r="E10" s="104"/>
      <c r="H10" s="89"/>
      <c r="I10" s="96">
        <f t="shared" si="0"/>
        <v>0</v>
      </c>
    </row>
    <row r="11" spans="1:9" x14ac:dyDescent="0.25">
      <c r="A11" s="65">
        <v>4</v>
      </c>
      <c r="B11" s="69" t="s">
        <v>94</v>
      </c>
      <c r="E11" s="104"/>
      <c r="H11" s="89"/>
      <c r="I11" s="96">
        <f t="shared" si="0"/>
        <v>0</v>
      </c>
    </row>
    <row r="12" spans="1:9" x14ac:dyDescent="0.25">
      <c r="A12" s="68">
        <v>5</v>
      </c>
      <c r="B12" s="69" t="s">
        <v>17</v>
      </c>
      <c r="E12" s="104"/>
      <c r="H12" s="89"/>
      <c r="I12" s="96">
        <f t="shared" si="0"/>
        <v>0</v>
      </c>
    </row>
    <row r="13" spans="1:9" x14ac:dyDescent="0.25">
      <c r="A13" s="68">
        <v>6</v>
      </c>
      <c r="B13" s="69" t="s">
        <v>18</v>
      </c>
      <c r="C13" s="104"/>
      <c r="D13" s="104"/>
      <c r="E13" s="104"/>
      <c r="F13" s="104"/>
      <c r="G13" s="145"/>
      <c r="H13" s="89"/>
      <c r="I13" s="104">
        <f t="shared" si="0"/>
        <v>0</v>
      </c>
    </row>
    <row r="14" spans="1:9" x14ac:dyDescent="0.25">
      <c r="A14" s="65">
        <v>7</v>
      </c>
      <c r="B14" s="1" t="s">
        <v>225</v>
      </c>
      <c r="C14" s="104"/>
      <c r="D14" s="99">
        <v>68400</v>
      </c>
      <c r="E14" s="104"/>
      <c r="F14" s="99"/>
      <c r="G14" s="145"/>
      <c r="H14" s="89"/>
      <c r="I14" s="104"/>
    </row>
    <row r="15" spans="1:9" x14ac:dyDescent="0.25">
      <c r="A15" s="68">
        <v>8</v>
      </c>
      <c r="B15" s="69" t="s">
        <v>19</v>
      </c>
      <c r="C15" s="96">
        <f>SUM(C9:C14)</f>
        <v>0</v>
      </c>
      <c r="D15" s="96">
        <f t="shared" ref="D15:F15" si="1">SUM(D9:D14)</f>
        <v>68400</v>
      </c>
      <c r="E15" s="96">
        <f t="shared" si="1"/>
        <v>0</v>
      </c>
      <c r="F15" s="96">
        <f t="shared" si="1"/>
        <v>0</v>
      </c>
      <c r="H15" s="89"/>
      <c r="I15" s="96">
        <f>SUM(C15:H15)</f>
        <v>68400</v>
      </c>
    </row>
    <row r="16" spans="1:9" x14ac:dyDescent="0.25">
      <c r="A16" s="68">
        <v>9</v>
      </c>
      <c r="E16" s="104"/>
      <c r="H16" s="89"/>
    </row>
    <row r="17" spans="1:9" x14ac:dyDescent="0.25">
      <c r="A17" s="65">
        <v>10</v>
      </c>
      <c r="B17" s="69" t="s">
        <v>178</v>
      </c>
      <c r="E17" s="104"/>
      <c r="H17" s="89"/>
    </row>
    <row r="18" spans="1:9" x14ac:dyDescent="0.25">
      <c r="A18" s="68">
        <v>11</v>
      </c>
      <c r="B18" s="69" t="s">
        <v>21</v>
      </c>
      <c r="E18" s="104"/>
      <c r="H18" s="89"/>
      <c r="I18" s="96">
        <f t="shared" ref="I18:I39" si="2">SUM(C18:F18)</f>
        <v>0</v>
      </c>
    </row>
    <row r="19" spans="1:9" x14ac:dyDescent="0.25">
      <c r="A19" s="68">
        <v>12</v>
      </c>
      <c r="B19" s="69" t="s">
        <v>22</v>
      </c>
      <c r="E19" s="104">
        <f>-'PA-1 SALARY2018'!B60</f>
        <v>-16990</v>
      </c>
      <c r="H19" s="89"/>
      <c r="I19" s="96">
        <f t="shared" si="2"/>
        <v>-16990</v>
      </c>
    </row>
    <row r="20" spans="1:9" x14ac:dyDescent="0.25">
      <c r="A20" s="65">
        <v>13</v>
      </c>
      <c r="B20" s="69" t="s">
        <v>23</v>
      </c>
      <c r="E20" s="104"/>
      <c r="H20" s="89"/>
      <c r="I20" s="96">
        <f t="shared" si="2"/>
        <v>0</v>
      </c>
    </row>
    <row r="21" spans="1:9" x14ac:dyDescent="0.25">
      <c r="A21" s="68">
        <v>14</v>
      </c>
      <c r="B21" s="69" t="s">
        <v>24</v>
      </c>
      <c r="E21" s="104"/>
      <c r="H21" s="89"/>
      <c r="I21" s="96">
        <f t="shared" si="2"/>
        <v>0</v>
      </c>
    </row>
    <row r="22" spans="1:9" x14ac:dyDescent="0.25">
      <c r="A22" s="68">
        <v>15</v>
      </c>
      <c r="B22" s="69" t="s">
        <v>25</v>
      </c>
      <c r="E22" s="104"/>
      <c r="H22" s="89"/>
      <c r="I22" s="96">
        <f t="shared" si="2"/>
        <v>0</v>
      </c>
    </row>
    <row r="23" spans="1:9" x14ac:dyDescent="0.25">
      <c r="A23" s="65">
        <v>16</v>
      </c>
      <c r="B23" s="69" t="s">
        <v>26</v>
      </c>
      <c r="E23" s="104"/>
      <c r="H23" s="89"/>
      <c r="I23" s="96">
        <f t="shared" si="2"/>
        <v>0</v>
      </c>
    </row>
    <row r="24" spans="1:9" x14ac:dyDescent="0.25">
      <c r="A24" s="68">
        <v>17</v>
      </c>
      <c r="B24" s="69" t="s">
        <v>27</v>
      </c>
      <c r="E24" s="104"/>
      <c r="H24" s="89"/>
      <c r="I24" s="96">
        <f t="shared" si="2"/>
        <v>0</v>
      </c>
    </row>
    <row r="25" spans="1:9" x14ac:dyDescent="0.25">
      <c r="A25" s="68">
        <v>18</v>
      </c>
      <c r="B25" s="69" t="s">
        <v>28</v>
      </c>
      <c r="C25" s="96" t="s">
        <v>165</v>
      </c>
      <c r="E25" s="104"/>
      <c r="H25" s="89"/>
      <c r="I25" s="96">
        <f t="shared" si="2"/>
        <v>0</v>
      </c>
    </row>
    <row r="26" spans="1:9" x14ac:dyDescent="0.25">
      <c r="A26" s="65">
        <v>19</v>
      </c>
      <c r="B26" s="69" t="s">
        <v>29</v>
      </c>
      <c r="E26" s="104"/>
      <c r="H26" s="89"/>
      <c r="I26" s="96">
        <f t="shared" si="2"/>
        <v>0</v>
      </c>
    </row>
    <row r="27" spans="1:9" x14ac:dyDescent="0.25">
      <c r="A27" s="68">
        <v>20</v>
      </c>
      <c r="B27" s="69" t="s">
        <v>30</v>
      </c>
      <c r="E27" s="104"/>
      <c r="H27" s="89"/>
      <c r="I27" s="96">
        <f t="shared" si="2"/>
        <v>0</v>
      </c>
    </row>
    <row r="28" spans="1:9" x14ac:dyDescent="0.25">
      <c r="A28" s="68">
        <v>21</v>
      </c>
      <c r="B28" s="69" t="s">
        <v>31</v>
      </c>
      <c r="E28" s="104"/>
      <c r="H28" s="89"/>
      <c r="I28" s="96">
        <f t="shared" si="2"/>
        <v>0</v>
      </c>
    </row>
    <row r="29" spans="1:9" x14ac:dyDescent="0.25">
      <c r="A29" s="65">
        <v>22</v>
      </c>
      <c r="B29" s="69" t="s">
        <v>32</v>
      </c>
      <c r="E29" s="104"/>
      <c r="H29" s="89"/>
      <c r="I29" s="96">
        <f t="shared" si="2"/>
        <v>0</v>
      </c>
    </row>
    <row r="30" spans="1:9" x14ac:dyDescent="0.25">
      <c r="A30" s="68">
        <v>23</v>
      </c>
      <c r="B30" s="69" t="s">
        <v>33</v>
      </c>
      <c r="E30" s="104"/>
      <c r="H30" s="89"/>
      <c r="I30" s="96">
        <f t="shared" si="2"/>
        <v>0</v>
      </c>
    </row>
    <row r="31" spans="1:9" x14ac:dyDescent="0.25">
      <c r="A31" s="68">
        <v>24</v>
      </c>
      <c r="B31" s="69" t="s">
        <v>34</v>
      </c>
      <c r="E31" s="104"/>
      <c r="H31" s="89"/>
      <c r="I31" s="96">
        <f t="shared" si="2"/>
        <v>0</v>
      </c>
    </row>
    <row r="32" spans="1:9" x14ac:dyDescent="0.25">
      <c r="A32" s="65">
        <v>25</v>
      </c>
      <c r="B32" s="69" t="s">
        <v>35</v>
      </c>
      <c r="E32" s="104"/>
      <c r="H32" s="89"/>
      <c r="I32" s="96">
        <f t="shared" si="2"/>
        <v>0</v>
      </c>
    </row>
    <row r="33" spans="1:9" x14ac:dyDescent="0.25">
      <c r="A33" s="68">
        <v>26</v>
      </c>
      <c r="B33" s="69" t="s">
        <v>36</v>
      </c>
      <c r="C33" s="96">
        <f>+C15*0.002</f>
        <v>0</v>
      </c>
      <c r="D33" s="96">
        <f>+D15*0.0034</f>
        <v>232.55999999999997</v>
      </c>
      <c r="E33" s="104"/>
      <c r="H33" s="89"/>
      <c r="I33" s="96">
        <f t="shared" si="2"/>
        <v>232.55999999999997</v>
      </c>
    </row>
    <row r="34" spans="1:9" x14ac:dyDescent="0.25">
      <c r="A34" s="68">
        <v>27</v>
      </c>
      <c r="B34" s="69" t="s">
        <v>37</v>
      </c>
      <c r="E34" s="104"/>
      <c r="H34" s="89"/>
      <c r="I34" s="96">
        <f t="shared" si="2"/>
        <v>0</v>
      </c>
    </row>
    <row r="35" spans="1:9" x14ac:dyDescent="0.25">
      <c r="A35" s="65">
        <v>28</v>
      </c>
      <c r="B35" s="69" t="s">
        <v>38</v>
      </c>
      <c r="E35" s="104"/>
      <c r="H35" s="89"/>
      <c r="I35" s="96">
        <f t="shared" si="2"/>
        <v>0</v>
      </c>
    </row>
    <row r="36" spans="1:9" x14ac:dyDescent="0.25">
      <c r="A36" s="68">
        <v>29</v>
      </c>
      <c r="B36" s="69" t="s">
        <v>39</v>
      </c>
      <c r="C36" s="96">
        <f>+C15*0.0065</f>
        <v>0</v>
      </c>
      <c r="E36" s="104"/>
      <c r="H36" s="89"/>
      <c r="I36" s="96">
        <f t="shared" si="2"/>
        <v>0</v>
      </c>
    </row>
    <row r="37" spans="1:9" x14ac:dyDescent="0.25">
      <c r="A37" s="68">
        <v>30</v>
      </c>
      <c r="B37" s="69" t="s">
        <v>99</v>
      </c>
      <c r="E37" s="104"/>
      <c r="H37" s="89"/>
      <c r="I37" s="96">
        <f>SUM(C37:F37)</f>
        <v>0</v>
      </c>
    </row>
    <row r="38" spans="1:9" x14ac:dyDescent="0.25">
      <c r="A38" s="65">
        <v>31</v>
      </c>
      <c r="B38" s="69" t="s">
        <v>40</v>
      </c>
      <c r="C38" s="96">
        <f>C15*0.05029</f>
        <v>0</v>
      </c>
      <c r="D38" s="96">
        <f>+D15*0.05029</f>
        <v>3439.8360000000002</v>
      </c>
      <c r="E38" s="96">
        <f>+E19*0.146</f>
        <v>-2480.54</v>
      </c>
      <c r="F38" s="96">
        <f>+F15*0.05029</f>
        <v>0</v>
      </c>
      <c r="H38" s="89"/>
      <c r="I38" s="96">
        <f t="shared" si="2"/>
        <v>959.29600000000028</v>
      </c>
    </row>
    <row r="39" spans="1:9" x14ac:dyDescent="0.25">
      <c r="A39" s="68">
        <v>32</v>
      </c>
      <c r="B39" s="69" t="s">
        <v>53</v>
      </c>
      <c r="E39" s="104"/>
      <c r="H39" s="89"/>
      <c r="I39" s="96">
        <f t="shared" si="2"/>
        <v>0</v>
      </c>
    </row>
    <row r="40" spans="1:9" x14ac:dyDescent="0.25">
      <c r="A40" s="68">
        <v>33</v>
      </c>
      <c r="E40" s="104"/>
      <c r="H40" s="89"/>
    </row>
    <row r="41" spans="1:9" x14ac:dyDescent="0.25">
      <c r="A41" s="65">
        <v>34</v>
      </c>
      <c r="B41" s="69" t="s">
        <v>41</v>
      </c>
      <c r="C41" s="96">
        <f>SUM(C18:C40)</f>
        <v>0</v>
      </c>
      <c r="D41" s="96">
        <f>SUM(D18:D40)</f>
        <v>3672.3960000000002</v>
      </c>
      <c r="E41" s="96">
        <f>SUM(E18:E40)</f>
        <v>-19470.54</v>
      </c>
      <c r="F41" s="96">
        <f>SUM(F18:F40)</f>
        <v>0</v>
      </c>
      <c r="H41" s="89"/>
      <c r="I41" s="96">
        <f>SUM(I18:I40)</f>
        <v>-15798.143999999998</v>
      </c>
    </row>
    <row r="42" spans="1:9" x14ac:dyDescent="0.25">
      <c r="A42" s="68">
        <v>35</v>
      </c>
      <c r="E42" s="104"/>
      <c r="H42" s="89"/>
    </row>
    <row r="43" spans="1:9" x14ac:dyDescent="0.25">
      <c r="A43" s="68">
        <v>36</v>
      </c>
      <c r="B43" s="69" t="s">
        <v>42</v>
      </c>
      <c r="C43" s="96">
        <f>C15-C41</f>
        <v>0</v>
      </c>
      <c r="D43" s="96">
        <f>D15-D41</f>
        <v>64727.603999999999</v>
      </c>
      <c r="E43" s="96">
        <f>E15+E41</f>
        <v>-19470.54</v>
      </c>
      <c r="F43" s="96">
        <f>F15-F41</f>
        <v>0</v>
      </c>
      <c r="H43" s="89"/>
      <c r="I43" s="96">
        <f>I15-I41</f>
        <v>84198.144</v>
      </c>
    </row>
    <row r="44" spans="1:9" x14ac:dyDescent="0.25">
      <c r="A44" s="65">
        <v>37</v>
      </c>
      <c r="B44" s="69" t="s">
        <v>43</v>
      </c>
      <c r="C44" s="99">
        <f>C43*0.34</f>
        <v>0</v>
      </c>
      <c r="D44" s="99">
        <f>D43*0.34</f>
        <v>22007.38536</v>
      </c>
      <c r="E44" s="99">
        <f>E43*0.34</f>
        <v>-6619.9836000000005</v>
      </c>
      <c r="F44" s="99">
        <f>F43*0.34</f>
        <v>0</v>
      </c>
      <c r="H44" s="89"/>
      <c r="I44" s="99">
        <f>I43*0.34</f>
        <v>28627.368960000003</v>
      </c>
    </row>
    <row r="45" spans="1:9" x14ac:dyDescent="0.25">
      <c r="A45" s="68">
        <v>38</v>
      </c>
      <c r="B45" s="69" t="s">
        <v>44</v>
      </c>
      <c r="C45" s="96">
        <f>C43-C44</f>
        <v>0</v>
      </c>
      <c r="D45" s="96">
        <f>D43-D44</f>
        <v>42720.218639999999</v>
      </c>
      <c r="E45" s="96">
        <f>E43-E44</f>
        <v>-12850.556400000001</v>
      </c>
      <c r="F45" s="96">
        <f>F43-F44</f>
        <v>0</v>
      </c>
      <c r="H45" s="89"/>
      <c r="I45" s="96">
        <f>I43-I44</f>
        <v>55570.775039999993</v>
      </c>
    </row>
    <row r="46" spans="1:9" x14ac:dyDescent="0.25">
      <c r="A46" s="65">
        <v>39</v>
      </c>
      <c r="B46" s="69"/>
      <c r="H46" s="89"/>
    </row>
    <row r="47" spans="1:9" x14ac:dyDescent="0.25">
      <c r="A47" s="68">
        <v>40</v>
      </c>
      <c r="B47" s="69" t="s">
        <v>175</v>
      </c>
      <c r="C47" s="96">
        <v>-987900</v>
      </c>
      <c r="F47" s="96">
        <v>0</v>
      </c>
      <c r="H47" s="89"/>
    </row>
    <row r="48" spans="1:9" x14ac:dyDescent="0.25">
      <c r="A48" s="68">
        <v>41</v>
      </c>
      <c r="B48" s="69" t="s">
        <v>48</v>
      </c>
      <c r="E48" s="74"/>
      <c r="F48" s="67"/>
      <c r="H48" s="89"/>
    </row>
    <row r="49" spans="1:8" x14ac:dyDescent="0.25">
      <c r="A49" s="65">
        <v>42</v>
      </c>
      <c r="E49" s="105"/>
      <c r="H49" s="89"/>
    </row>
    <row r="50" spans="1:8" x14ac:dyDescent="0.25">
      <c r="A50" s="68">
        <v>43</v>
      </c>
      <c r="B50" s="69"/>
      <c r="C50" s="100"/>
      <c r="D50" s="100"/>
      <c r="E50" s="100"/>
      <c r="F50" s="100"/>
    </row>
    <row r="51" spans="1:8" x14ac:dyDescent="0.25">
      <c r="A51" s="68">
        <v>44</v>
      </c>
      <c r="B51" s="69"/>
      <c r="C51" s="4"/>
      <c r="D51" s="4"/>
      <c r="G51" s="90"/>
    </row>
    <row r="52" spans="1:8" x14ac:dyDescent="0.25">
      <c r="A52" s="65">
        <v>45</v>
      </c>
      <c r="B52" s="69"/>
      <c r="C52" s="5"/>
      <c r="D52" s="5"/>
      <c r="G52" s="90"/>
    </row>
    <row r="53" spans="1:8" x14ac:dyDescent="0.25">
      <c r="A53" s="68">
        <v>46</v>
      </c>
      <c r="B53" s="69"/>
      <c r="C53" s="6"/>
      <c r="D53" s="6"/>
      <c r="E53" s="99"/>
      <c r="G53" s="90"/>
    </row>
    <row r="54" spans="1:8" x14ac:dyDescent="0.25">
      <c r="A54" s="68">
        <v>47</v>
      </c>
      <c r="B54" s="69"/>
      <c r="G54" s="89"/>
    </row>
    <row r="55" spans="1:8" x14ac:dyDescent="0.25">
      <c r="A55" s="65">
        <v>48</v>
      </c>
      <c r="E55" s="105"/>
      <c r="H55" s="89"/>
    </row>
    <row r="56" spans="1:8" x14ac:dyDescent="0.25">
      <c r="A56" s="68">
        <v>49</v>
      </c>
      <c r="B56" s="75" t="s">
        <v>50</v>
      </c>
      <c r="E56" s="105"/>
      <c r="H56" s="89"/>
    </row>
  </sheetData>
  <phoneticPr fontId="0" type="noConversion"/>
  <pageMargins left="0.75" right="0.75" top="1" bottom="1" header="0.5" footer="0.5"/>
  <pageSetup scale="55" orientation="landscape" horizontalDpi="409" verticalDpi="409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B1" workbookViewId="0">
      <selection activeCell="B25" sqref="B25"/>
    </sheetView>
  </sheetViews>
  <sheetFormatPr defaultRowHeight="15.75" x14ac:dyDescent="0.25"/>
  <cols>
    <col min="1" max="1" width="7.44140625" bestFit="1" customWidth="1"/>
    <col min="2" max="2" width="19.109375" customWidth="1"/>
    <col min="3" max="3" width="15.33203125" customWidth="1"/>
    <col min="4" max="4" width="16.109375" bestFit="1" customWidth="1"/>
    <col min="5" max="5" width="18.5546875" customWidth="1"/>
    <col min="6" max="6" width="12.6640625" bestFit="1" customWidth="1"/>
  </cols>
  <sheetData>
    <row r="1" spans="1:6" x14ac:dyDescent="0.25">
      <c r="B1" t="s">
        <v>462</v>
      </c>
    </row>
    <row r="2" spans="1:6" x14ac:dyDescent="0.25">
      <c r="B2" t="s">
        <v>64</v>
      </c>
    </row>
    <row r="3" spans="1:6" x14ac:dyDescent="0.25">
      <c r="B3" t="s">
        <v>518</v>
      </c>
    </row>
    <row r="4" spans="1:6" x14ac:dyDescent="0.25">
      <c r="B4" t="s">
        <v>446</v>
      </c>
    </row>
    <row r="6" spans="1:6" x14ac:dyDescent="0.25">
      <c r="B6" t="s">
        <v>447</v>
      </c>
      <c r="C6" t="s">
        <v>448</v>
      </c>
      <c r="D6" t="s">
        <v>449</v>
      </c>
      <c r="E6" t="s">
        <v>450</v>
      </c>
      <c r="F6" t="s">
        <v>451</v>
      </c>
    </row>
    <row r="7" spans="1:6" ht="31.5" customHeight="1" x14ac:dyDescent="0.25">
      <c r="A7" t="s">
        <v>452</v>
      </c>
      <c r="B7" t="s">
        <v>453</v>
      </c>
      <c r="C7" s="184" t="s">
        <v>454</v>
      </c>
      <c r="D7" t="s">
        <v>455</v>
      </c>
      <c r="E7" s="184" t="s">
        <v>456</v>
      </c>
      <c r="F7" t="s">
        <v>457</v>
      </c>
    </row>
    <row r="9" spans="1:6" x14ac:dyDescent="0.25">
      <c r="A9">
        <v>1</v>
      </c>
      <c r="B9" s="183">
        <v>43078</v>
      </c>
      <c r="C9" s="182">
        <v>33833134</v>
      </c>
      <c r="D9" t="s">
        <v>460</v>
      </c>
      <c r="E9" s="182">
        <v>-21267606</v>
      </c>
      <c r="F9" s="182">
        <f t="shared" ref="F9" si="0">+C9+E9</f>
        <v>12565528</v>
      </c>
    </row>
    <row r="10" spans="1:6" x14ac:dyDescent="0.25">
      <c r="A10">
        <v>2</v>
      </c>
      <c r="B10" s="183">
        <v>43110</v>
      </c>
      <c r="C10" s="182">
        <f>50806094-17529464</f>
        <v>33276630</v>
      </c>
      <c r="D10" t="s">
        <v>460</v>
      </c>
      <c r="E10" s="182">
        <f>-31459679+10243753</f>
        <v>-21215926</v>
      </c>
      <c r="F10" s="182">
        <f>+C10+E10</f>
        <v>12060704</v>
      </c>
    </row>
    <row r="11" spans="1:6" x14ac:dyDescent="0.25">
      <c r="A11">
        <v>3</v>
      </c>
      <c r="B11" s="183">
        <v>43141</v>
      </c>
      <c r="C11" s="182">
        <f>50992703-17656337</f>
        <v>33336366</v>
      </c>
      <c r="D11" t="s">
        <v>460</v>
      </c>
      <c r="E11" s="182">
        <f>-31474703+10315953</f>
        <v>-21158750</v>
      </c>
      <c r="F11" s="182">
        <f t="shared" ref="F11:F24" si="1">+C11+E11</f>
        <v>12177616</v>
      </c>
    </row>
    <row r="12" spans="1:6" x14ac:dyDescent="0.25">
      <c r="A12">
        <v>4</v>
      </c>
      <c r="B12" s="183">
        <v>43169</v>
      </c>
      <c r="C12" s="182">
        <f>51336849-17783210</f>
        <v>33553639</v>
      </c>
      <c r="D12" t="s">
        <v>460</v>
      </c>
      <c r="E12" s="182">
        <f>-31597604+10388153</f>
        <v>-21209451</v>
      </c>
      <c r="F12" s="182">
        <f t="shared" si="1"/>
        <v>12344188</v>
      </c>
    </row>
    <row r="13" spans="1:6" x14ac:dyDescent="0.25">
      <c r="A13">
        <v>5</v>
      </c>
      <c r="B13" s="183">
        <v>43200</v>
      </c>
      <c r="C13" s="182">
        <f>51576388-17910083</f>
        <v>33666305</v>
      </c>
      <c r="D13" t="s">
        <v>460</v>
      </c>
      <c r="E13" s="182">
        <f>-31746968+10460353</f>
        <v>-21286615</v>
      </c>
      <c r="F13" s="182">
        <f t="shared" si="1"/>
        <v>12379690</v>
      </c>
    </row>
    <row r="14" spans="1:6" x14ac:dyDescent="0.25">
      <c r="A14">
        <v>6</v>
      </c>
      <c r="B14" s="183">
        <v>43230</v>
      </c>
      <c r="C14" s="182">
        <f>51678849-18036956</f>
        <v>33641893</v>
      </c>
      <c r="D14" t="s">
        <v>460</v>
      </c>
      <c r="E14" s="182">
        <f>-31822289+10532553</f>
        <v>-21289736</v>
      </c>
      <c r="F14" s="182">
        <f t="shared" si="1"/>
        <v>12352157</v>
      </c>
    </row>
    <row r="15" spans="1:6" x14ac:dyDescent="0.25">
      <c r="A15">
        <v>7</v>
      </c>
      <c r="B15" s="183">
        <v>43261</v>
      </c>
      <c r="C15" s="182">
        <f>51794045-18163829</f>
        <v>33630216</v>
      </c>
      <c r="D15" t="s">
        <v>460</v>
      </c>
      <c r="E15" s="182">
        <f>-31871461+10604753</f>
        <v>-21266708</v>
      </c>
      <c r="F15" s="182">
        <f t="shared" si="1"/>
        <v>12363508</v>
      </c>
    </row>
    <row r="16" spans="1:6" x14ac:dyDescent="0.25">
      <c r="A16">
        <v>8</v>
      </c>
      <c r="B16" s="183">
        <v>43291</v>
      </c>
      <c r="C16" s="182">
        <f>51933040-18290702</f>
        <v>33642338</v>
      </c>
      <c r="D16" t="s">
        <v>460</v>
      </c>
      <c r="E16" s="182">
        <f>-31952085+10676953</f>
        <v>-21275132</v>
      </c>
      <c r="F16" s="182">
        <f t="shared" si="1"/>
        <v>12367206</v>
      </c>
    </row>
    <row r="17" spans="1:8" x14ac:dyDescent="0.25">
      <c r="A17">
        <v>9</v>
      </c>
      <c r="B17" s="183">
        <v>43322</v>
      </c>
      <c r="C17" s="182">
        <f>52072567-18417575</f>
        <v>33654992</v>
      </c>
      <c r="D17" t="s">
        <v>460</v>
      </c>
      <c r="E17" s="182">
        <f>-31968765+10749153</f>
        <v>-21219612</v>
      </c>
      <c r="F17" s="182">
        <f t="shared" si="1"/>
        <v>12435380</v>
      </c>
    </row>
    <row r="18" spans="1:8" x14ac:dyDescent="0.25">
      <c r="A18">
        <v>10</v>
      </c>
      <c r="B18" s="183">
        <v>43353</v>
      </c>
      <c r="C18" s="182">
        <f>52128720-18544448</f>
        <v>33584272</v>
      </c>
      <c r="D18" t="s">
        <v>460</v>
      </c>
      <c r="E18" s="182">
        <f>-31989704+10821353</f>
        <v>-21168351</v>
      </c>
      <c r="F18" s="182">
        <f t="shared" si="1"/>
        <v>12415921</v>
      </c>
    </row>
    <row r="19" spans="1:8" x14ac:dyDescent="0.25">
      <c r="A19">
        <v>11</v>
      </c>
      <c r="B19" s="183">
        <v>43383</v>
      </c>
      <c r="C19" s="182">
        <f>52175655-18671321</f>
        <v>33504334</v>
      </c>
      <c r="D19" t="s">
        <v>460</v>
      </c>
      <c r="E19" s="182">
        <f>-32012079+10893553</f>
        <v>-21118526</v>
      </c>
      <c r="F19" s="182">
        <f t="shared" si="1"/>
        <v>12385808</v>
      </c>
    </row>
    <row r="20" spans="1:8" x14ac:dyDescent="0.25">
      <c r="A20">
        <v>12</v>
      </c>
      <c r="B20" s="183">
        <v>43414</v>
      </c>
      <c r="C20" s="182">
        <f>52228977-18798194</f>
        <v>33430783</v>
      </c>
      <c r="D20" t="s">
        <v>460</v>
      </c>
      <c r="E20" s="182">
        <f>-32045388+10965753</f>
        <v>-21079635</v>
      </c>
      <c r="F20" s="182">
        <f t="shared" si="1"/>
        <v>12351148</v>
      </c>
    </row>
    <row r="21" spans="1:8" x14ac:dyDescent="0.25">
      <c r="A21">
        <v>13</v>
      </c>
      <c r="B21" s="183">
        <v>43444</v>
      </c>
      <c r="C21" s="182">
        <v>34479391</v>
      </c>
      <c r="D21" t="s">
        <v>460</v>
      </c>
      <c r="E21" s="182">
        <v>-21342313</v>
      </c>
      <c r="F21" s="182">
        <f t="shared" si="1"/>
        <v>13137078</v>
      </c>
    </row>
    <row r="22" spans="1:8" x14ac:dyDescent="0.25">
      <c r="A22">
        <v>14</v>
      </c>
      <c r="B22" t="s">
        <v>458</v>
      </c>
      <c r="C22" s="182">
        <f>SUM(C9:C21)/13</f>
        <v>33633407.153846152</v>
      </c>
      <c r="D22" t="s">
        <v>460</v>
      </c>
      <c r="E22" s="182">
        <f>SUM(E9:E21)/13</f>
        <v>-21222950.846153848</v>
      </c>
      <c r="F22" s="182">
        <f t="shared" si="1"/>
        <v>12410456.307692304</v>
      </c>
      <c r="H22" s="182"/>
    </row>
    <row r="23" spans="1:8" x14ac:dyDescent="0.25">
      <c r="A23">
        <v>15</v>
      </c>
    </row>
    <row r="24" spans="1:8" x14ac:dyDescent="0.25">
      <c r="A24">
        <v>16</v>
      </c>
      <c r="B24" s="183">
        <v>43079</v>
      </c>
      <c r="C24" s="182">
        <v>33833134</v>
      </c>
      <c r="D24" t="s">
        <v>460</v>
      </c>
      <c r="E24" s="182">
        <v>-21267606</v>
      </c>
      <c r="F24" s="182">
        <f t="shared" si="1"/>
        <v>12565528</v>
      </c>
    </row>
    <row r="25" spans="1:8" x14ac:dyDescent="0.25">
      <c r="A25">
        <v>17</v>
      </c>
    </row>
    <row r="26" spans="1:8" x14ac:dyDescent="0.25">
      <c r="A26">
        <v>18</v>
      </c>
      <c r="B26" t="s">
        <v>459</v>
      </c>
      <c r="C26" s="182">
        <f>+C22-C24</f>
        <v>-199726.84615384787</v>
      </c>
      <c r="D26" t="s">
        <v>460</v>
      </c>
      <c r="E26" s="182">
        <f>+E22-E24</f>
        <v>44655.153846152127</v>
      </c>
      <c r="F26" s="182">
        <f>+F22-F24</f>
        <v>-155071.69230769575</v>
      </c>
      <c r="H26" s="18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51"/>
  <sheetViews>
    <sheetView topLeftCell="A4" zoomScale="75" workbookViewId="0">
      <selection activeCell="G38" sqref="G38"/>
    </sheetView>
  </sheetViews>
  <sheetFormatPr defaultColWidth="8.77734375" defaultRowHeight="15.75" x14ac:dyDescent="0.25"/>
  <cols>
    <col min="1" max="1" width="3.33203125" style="66" customWidth="1"/>
    <col min="2" max="2" width="30.88671875" style="67" customWidth="1"/>
    <col min="3" max="4" width="14.33203125" style="67" customWidth="1"/>
    <col min="5" max="6" width="12.77734375" style="127" customWidth="1"/>
    <col min="7" max="7" width="12.77734375" style="67" customWidth="1"/>
    <col min="8" max="8" width="16.88671875" style="67" bestFit="1" customWidth="1"/>
    <col min="9" max="10" width="16.44140625" style="67" bestFit="1" customWidth="1"/>
    <col min="11" max="11" width="11.6640625" style="67" bestFit="1" customWidth="1"/>
    <col min="12" max="16384" width="8.77734375" style="67"/>
  </cols>
  <sheetData>
    <row r="1" spans="1:11" customFormat="1" x14ac:dyDescent="0.25">
      <c r="B1" s="1" t="s">
        <v>0</v>
      </c>
      <c r="E1" s="123"/>
      <c r="F1" s="123"/>
      <c r="G1" s="2"/>
      <c r="H1" s="2"/>
      <c r="I1" s="2"/>
      <c r="J1" s="2"/>
    </row>
    <row r="2" spans="1:11" customFormat="1" x14ac:dyDescent="0.25">
      <c r="B2" t="s">
        <v>98</v>
      </c>
      <c r="E2" s="123"/>
      <c r="F2" s="123"/>
      <c r="G2" s="2"/>
      <c r="H2" s="2"/>
      <c r="I2" s="2"/>
      <c r="J2" s="2"/>
    </row>
    <row r="3" spans="1:11" customFormat="1" x14ac:dyDescent="0.25">
      <c r="E3" s="123"/>
      <c r="F3" s="123"/>
      <c r="G3" s="2"/>
      <c r="H3" s="2"/>
      <c r="I3" s="2"/>
      <c r="J3" s="2"/>
    </row>
    <row r="4" spans="1:11" customFormat="1" x14ac:dyDescent="0.25">
      <c r="E4" s="123"/>
      <c r="F4" s="123"/>
      <c r="G4" s="2"/>
      <c r="H4" s="2"/>
      <c r="I4" s="2"/>
      <c r="J4" s="2"/>
    </row>
    <row r="5" spans="1:11" customFormat="1" x14ac:dyDescent="0.25">
      <c r="C5" s="77" t="s">
        <v>54</v>
      </c>
      <c r="D5" s="77" t="s">
        <v>234</v>
      </c>
      <c r="E5" s="124" t="s">
        <v>235</v>
      </c>
      <c r="F5" s="124" t="s">
        <v>553</v>
      </c>
      <c r="G5" s="143" t="s">
        <v>435</v>
      </c>
      <c r="H5" s="143" t="s">
        <v>435</v>
      </c>
      <c r="I5" s="143"/>
      <c r="J5" s="143"/>
      <c r="K5" s="77" t="s">
        <v>55</v>
      </c>
    </row>
    <row r="6" spans="1:11" customFormat="1" x14ac:dyDescent="0.25">
      <c r="C6" s="130">
        <v>2018</v>
      </c>
      <c r="D6" s="79" t="s">
        <v>91</v>
      </c>
      <c r="E6" s="133" t="s">
        <v>91</v>
      </c>
      <c r="F6" s="133" t="s">
        <v>554</v>
      </c>
      <c r="G6" t="s">
        <v>557</v>
      </c>
      <c r="H6" t="s">
        <v>556</v>
      </c>
      <c r="K6" s="79" t="s">
        <v>3</v>
      </c>
    </row>
    <row r="7" spans="1:11" customFormat="1" x14ac:dyDescent="0.25">
      <c r="C7" s="78" t="s">
        <v>181</v>
      </c>
      <c r="D7" s="78" t="s">
        <v>57</v>
      </c>
      <c r="E7" s="125" t="s">
        <v>58</v>
      </c>
      <c r="F7" s="125" t="s">
        <v>547</v>
      </c>
      <c r="G7" s="78" t="s">
        <v>173</v>
      </c>
      <c r="H7" s="78" t="s">
        <v>432</v>
      </c>
      <c r="I7" s="78" t="s">
        <v>434</v>
      </c>
      <c r="J7" s="78" t="s">
        <v>434</v>
      </c>
      <c r="K7" s="78" t="s">
        <v>59</v>
      </c>
    </row>
    <row r="8" spans="1:11" s="64" customFormat="1" x14ac:dyDescent="0.25">
      <c r="A8" s="76">
        <v>1</v>
      </c>
      <c r="B8" s="63" t="s">
        <v>14</v>
      </c>
      <c r="E8" s="126"/>
      <c r="F8" s="126"/>
      <c r="G8" s="65"/>
      <c r="H8" s="65"/>
      <c r="I8" s="65"/>
      <c r="J8" s="65"/>
    </row>
    <row r="9" spans="1:11" x14ac:dyDescent="0.25">
      <c r="A9" s="71">
        <v>2</v>
      </c>
      <c r="B9" s="69" t="s">
        <v>15</v>
      </c>
      <c r="C9" s="72"/>
      <c r="D9" s="72"/>
      <c r="E9" s="109"/>
      <c r="F9" s="109"/>
      <c r="G9" s="109"/>
      <c r="H9" s="109"/>
      <c r="I9" s="109"/>
      <c r="J9" s="109"/>
      <c r="K9" s="72">
        <f t="shared" ref="K9:K14" si="0">SUM(C9:E9)</f>
        <v>0</v>
      </c>
    </row>
    <row r="10" spans="1:11" x14ac:dyDescent="0.25">
      <c r="A10" s="71">
        <v>3</v>
      </c>
      <c r="B10" s="69" t="s">
        <v>16</v>
      </c>
      <c r="C10" s="72"/>
      <c r="D10" s="72"/>
      <c r="E10" s="109"/>
      <c r="F10" s="109"/>
      <c r="G10" s="109"/>
      <c r="H10" s="109"/>
      <c r="I10" s="74"/>
      <c r="J10" s="109"/>
      <c r="K10" s="72">
        <f t="shared" si="0"/>
        <v>0</v>
      </c>
    </row>
    <row r="11" spans="1:11" x14ac:dyDescent="0.25">
      <c r="A11" s="71">
        <v>4</v>
      </c>
      <c r="B11" s="69" t="s">
        <v>17</v>
      </c>
      <c r="C11" s="72"/>
      <c r="D11" s="72"/>
      <c r="E11" s="109"/>
      <c r="F11" s="109"/>
      <c r="G11" s="109"/>
      <c r="H11" s="109"/>
      <c r="I11" s="109"/>
      <c r="J11" s="109"/>
      <c r="K11" s="72">
        <f t="shared" si="0"/>
        <v>0</v>
      </c>
    </row>
    <row r="12" spans="1:11" x14ac:dyDescent="0.25">
      <c r="A12" s="71">
        <v>5</v>
      </c>
      <c r="B12" s="69" t="s">
        <v>18</v>
      </c>
      <c r="C12" s="73"/>
      <c r="D12" s="73"/>
      <c r="E12" s="109"/>
      <c r="F12" s="109"/>
      <c r="G12" s="109"/>
      <c r="H12" s="109"/>
      <c r="I12" s="109"/>
      <c r="J12" s="109"/>
      <c r="K12" s="72">
        <f t="shared" si="0"/>
        <v>0</v>
      </c>
    </row>
    <row r="13" spans="1:11" x14ac:dyDescent="0.25">
      <c r="A13" s="71"/>
      <c r="B13" s="69" t="s">
        <v>95</v>
      </c>
      <c r="C13" s="73"/>
      <c r="D13" s="73"/>
      <c r="E13" s="109"/>
      <c r="F13" s="109"/>
      <c r="G13" s="109"/>
      <c r="H13" s="109"/>
      <c r="I13" s="109"/>
      <c r="J13" s="109"/>
      <c r="K13" s="72">
        <f t="shared" si="0"/>
        <v>0</v>
      </c>
    </row>
    <row r="14" spans="1:11" x14ac:dyDescent="0.25">
      <c r="A14" s="71">
        <v>6</v>
      </c>
      <c r="B14" s="69" t="s">
        <v>19</v>
      </c>
      <c r="C14" s="72">
        <f t="shared" ref="C14:J14" si="1">SUM(C9:C13)</f>
        <v>0</v>
      </c>
      <c r="D14" s="72">
        <f t="shared" si="1"/>
        <v>0</v>
      </c>
      <c r="E14" s="72">
        <f t="shared" si="1"/>
        <v>0</v>
      </c>
      <c r="F14" s="72"/>
      <c r="G14" s="110">
        <f t="shared" si="1"/>
        <v>0</v>
      </c>
      <c r="H14" s="110">
        <f t="shared" si="1"/>
        <v>0</v>
      </c>
      <c r="I14" s="110">
        <f t="shared" si="1"/>
        <v>0</v>
      </c>
      <c r="J14" s="110">
        <f t="shared" si="1"/>
        <v>0</v>
      </c>
      <c r="K14" s="72">
        <f t="shared" si="0"/>
        <v>0</v>
      </c>
    </row>
    <row r="15" spans="1:11" x14ac:dyDescent="0.25">
      <c r="A15" s="71">
        <v>7</v>
      </c>
      <c r="C15" s="72"/>
      <c r="D15" s="72"/>
      <c r="E15" s="74"/>
      <c r="F15" s="74"/>
      <c r="G15" s="74"/>
      <c r="H15" s="74"/>
      <c r="I15" s="74"/>
      <c r="J15" s="74"/>
      <c r="K15" s="72"/>
    </row>
    <row r="16" spans="1:11" x14ac:dyDescent="0.25">
      <c r="A16" s="71">
        <v>8</v>
      </c>
      <c r="B16" s="69" t="s">
        <v>20</v>
      </c>
      <c r="C16" s="72"/>
      <c r="D16" s="72"/>
      <c r="E16" s="74"/>
      <c r="F16" s="74"/>
      <c r="G16" s="74"/>
      <c r="H16" s="74"/>
      <c r="I16" s="74"/>
      <c r="J16" s="74"/>
      <c r="K16" s="72"/>
    </row>
    <row r="17" spans="1:11" x14ac:dyDescent="0.25">
      <c r="A17" s="71">
        <v>9</v>
      </c>
      <c r="B17" s="69" t="s">
        <v>21</v>
      </c>
      <c r="C17" s="72">
        <f>+'PA-1 SALARY2018'!B193</f>
        <v>95592.112600000008</v>
      </c>
      <c r="D17" s="72"/>
      <c r="E17" s="74"/>
      <c r="F17" s="74"/>
      <c r="G17" s="74"/>
      <c r="H17" s="74"/>
      <c r="I17" s="74"/>
      <c r="J17" s="74"/>
      <c r="K17" s="72">
        <f t="shared" ref="K17:K37" si="2">SUM(C17:J17)</f>
        <v>95592.112600000008</v>
      </c>
    </row>
    <row r="18" spans="1:11" x14ac:dyDescent="0.25">
      <c r="A18" s="71">
        <v>11</v>
      </c>
      <c r="B18" s="69" t="s">
        <v>22</v>
      </c>
      <c r="C18" s="72">
        <f>+'PA-1 SALARY2018'!B202</f>
        <v>42275.680000000008</v>
      </c>
      <c r="D18" s="72"/>
      <c r="E18" s="74"/>
      <c r="F18" s="74"/>
      <c r="G18" s="74"/>
      <c r="H18" s="74"/>
      <c r="I18" s="74"/>
      <c r="J18" s="74"/>
      <c r="K18" s="72">
        <f t="shared" si="2"/>
        <v>42275.680000000008</v>
      </c>
    </row>
    <row r="19" spans="1:11" x14ac:dyDescent="0.25">
      <c r="A19" s="71">
        <v>11</v>
      </c>
      <c r="B19" s="69" t="s">
        <v>23</v>
      </c>
      <c r="C19" s="72"/>
      <c r="D19" s="72">
        <f>+'PA-2 MEDICAL INCREASE'!H53</f>
        <v>22075.439999999988</v>
      </c>
      <c r="E19" s="74">
        <f>+'PA-3 DENTAL INCREASE'!G56</f>
        <v>0</v>
      </c>
      <c r="F19" s="74"/>
      <c r="G19" s="74"/>
      <c r="H19" s="74"/>
      <c r="I19" s="74"/>
      <c r="J19" s="74"/>
      <c r="K19" s="72">
        <f t="shared" si="2"/>
        <v>22075.439999999988</v>
      </c>
    </row>
    <row r="20" spans="1:11" x14ac:dyDescent="0.25">
      <c r="A20" s="71">
        <v>12</v>
      </c>
      <c r="B20" s="69" t="s">
        <v>24</v>
      </c>
      <c r="C20" s="72"/>
      <c r="D20" s="72"/>
      <c r="E20" s="74"/>
      <c r="F20" s="74"/>
      <c r="G20" s="74"/>
      <c r="H20" s="74"/>
      <c r="I20" s="74"/>
      <c r="J20" s="74"/>
      <c r="K20" s="72">
        <f t="shared" si="2"/>
        <v>0</v>
      </c>
    </row>
    <row r="21" spans="1:11" x14ac:dyDescent="0.25">
      <c r="A21" s="71">
        <v>13</v>
      </c>
      <c r="B21" s="69" t="s">
        <v>25</v>
      </c>
      <c r="C21" s="72"/>
      <c r="D21" s="72"/>
      <c r="E21" s="74"/>
      <c r="F21" s="74"/>
      <c r="G21" s="74"/>
      <c r="H21" s="74"/>
      <c r="I21" s="74"/>
      <c r="J21" s="74">
        <f>+'PA-8 UCMR3 WATER TESTING'!F8</f>
        <v>0</v>
      </c>
      <c r="K21" s="72">
        <f t="shared" si="2"/>
        <v>0</v>
      </c>
    </row>
    <row r="22" spans="1:11" x14ac:dyDescent="0.25">
      <c r="A22" s="71">
        <v>14</v>
      </c>
      <c r="B22" s="69" t="s">
        <v>26</v>
      </c>
      <c r="C22" s="72"/>
      <c r="D22" s="72"/>
      <c r="E22" s="74"/>
      <c r="F22" s="74">
        <f>+'PA-4 TACOMA BACK BILL'!E13</f>
        <v>-165974.46666666667</v>
      </c>
      <c r="G22" s="74"/>
      <c r="H22" s="74"/>
      <c r="I22" s="74">
        <f>+'PA-7 DOH OP PERMIT FEE INCREASE'!E9</f>
        <v>0</v>
      </c>
      <c r="J22" s="74"/>
      <c r="K22" s="72">
        <f t="shared" si="2"/>
        <v>-165974.46666666667</v>
      </c>
    </row>
    <row r="23" spans="1:11" x14ac:dyDescent="0.25">
      <c r="A23" s="71">
        <v>15</v>
      </c>
      <c r="B23" s="69" t="s">
        <v>27</v>
      </c>
      <c r="C23" s="72"/>
      <c r="D23" s="72"/>
      <c r="E23" s="74"/>
      <c r="F23" s="74"/>
      <c r="G23" s="74"/>
      <c r="H23" s="74"/>
      <c r="I23" s="74"/>
      <c r="J23" s="74"/>
      <c r="K23" s="72">
        <f t="shared" si="2"/>
        <v>0</v>
      </c>
    </row>
    <row r="24" spans="1:11" x14ac:dyDescent="0.25">
      <c r="A24" s="71">
        <v>16</v>
      </c>
      <c r="B24" s="69" t="s">
        <v>28</v>
      </c>
      <c r="C24" s="72"/>
      <c r="D24" s="72"/>
      <c r="E24" s="74"/>
      <c r="F24" s="74"/>
      <c r="G24" s="74"/>
      <c r="H24" s="74"/>
      <c r="I24" s="74"/>
      <c r="J24" s="74"/>
      <c r="K24" s="72">
        <f t="shared" si="2"/>
        <v>0</v>
      </c>
    </row>
    <row r="25" spans="1:11" x14ac:dyDescent="0.25">
      <c r="A25" s="71">
        <v>17</v>
      </c>
      <c r="B25" s="69" t="s">
        <v>29</v>
      </c>
      <c r="C25" s="72"/>
      <c r="D25" s="72"/>
      <c r="E25" s="74"/>
      <c r="F25" s="74"/>
      <c r="G25" s="74"/>
      <c r="H25" s="74"/>
      <c r="I25" s="74"/>
      <c r="J25" s="74"/>
      <c r="K25" s="72">
        <f t="shared" si="2"/>
        <v>0</v>
      </c>
    </row>
    <row r="26" spans="1:11" x14ac:dyDescent="0.25">
      <c r="A26" s="71">
        <v>18</v>
      </c>
      <c r="B26" s="69" t="s">
        <v>30</v>
      </c>
      <c r="C26" s="72"/>
      <c r="D26" s="72"/>
      <c r="E26" s="74"/>
      <c r="F26" s="74"/>
      <c r="G26" s="74"/>
      <c r="H26" s="74"/>
      <c r="I26" s="74"/>
      <c r="J26" s="74"/>
      <c r="K26" s="72">
        <f t="shared" si="2"/>
        <v>0</v>
      </c>
    </row>
    <row r="27" spans="1:11" x14ac:dyDescent="0.25">
      <c r="A27" s="71">
        <v>19</v>
      </c>
      <c r="B27" s="69" t="s">
        <v>31</v>
      </c>
      <c r="C27" s="72"/>
      <c r="D27" s="72"/>
      <c r="E27" s="74"/>
      <c r="F27" s="74"/>
      <c r="G27" s="74"/>
      <c r="H27" s="74"/>
      <c r="I27" s="74"/>
      <c r="J27" s="74"/>
      <c r="K27" s="72">
        <f t="shared" si="2"/>
        <v>0</v>
      </c>
    </row>
    <row r="28" spans="1:11" x14ac:dyDescent="0.25">
      <c r="A28" s="71">
        <v>20</v>
      </c>
      <c r="B28" s="69" t="s">
        <v>32</v>
      </c>
      <c r="C28" s="72"/>
      <c r="D28" s="72"/>
      <c r="E28" s="74"/>
      <c r="F28" s="74"/>
      <c r="G28" s="74"/>
      <c r="H28" s="74"/>
      <c r="I28" s="74"/>
      <c r="J28" s="74"/>
      <c r="K28" s="72">
        <f t="shared" si="2"/>
        <v>0</v>
      </c>
    </row>
    <row r="29" spans="1:11" x14ac:dyDescent="0.25">
      <c r="A29" s="71">
        <v>21</v>
      </c>
      <c r="B29" s="69" t="s">
        <v>33</v>
      </c>
      <c r="C29" s="72"/>
      <c r="D29" s="72"/>
      <c r="E29" s="74"/>
      <c r="F29" s="74"/>
      <c r="G29" s="74"/>
      <c r="H29" s="74"/>
      <c r="I29" s="74"/>
      <c r="J29" s="74"/>
      <c r="K29" s="72">
        <f t="shared" si="2"/>
        <v>0</v>
      </c>
    </row>
    <row r="30" spans="1:11" x14ac:dyDescent="0.25">
      <c r="A30" s="71">
        <v>22</v>
      </c>
      <c r="B30" s="69" t="s">
        <v>34</v>
      </c>
      <c r="C30" s="72"/>
      <c r="D30" s="72"/>
      <c r="E30" s="74"/>
      <c r="F30" s="74"/>
      <c r="G30" s="74"/>
      <c r="H30" s="74"/>
      <c r="I30" s="74"/>
      <c r="J30" s="74"/>
      <c r="K30" s="72">
        <f t="shared" si="2"/>
        <v>0</v>
      </c>
    </row>
    <row r="31" spans="1:11" x14ac:dyDescent="0.25">
      <c r="A31" s="71">
        <v>23</v>
      </c>
      <c r="B31" s="69" t="s">
        <v>35</v>
      </c>
      <c r="C31" s="72"/>
      <c r="D31" s="72"/>
      <c r="E31" s="74"/>
      <c r="F31" s="74"/>
      <c r="G31" s="74"/>
      <c r="H31" s="74"/>
      <c r="I31" s="74"/>
      <c r="J31" s="74"/>
      <c r="K31" s="72">
        <f t="shared" si="2"/>
        <v>0</v>
      </c>
    </row>
    <row r="32" spans="1:11" x14ac:dyDescent="0.25">
      <c r="A32" s="71">
        <v>24</v>
      </c>
      <c r="B32" s="69" t="s">
        <v>36</v>
      </c>
      <c r="C32" s="72"/>
      <c r="D32" s="72"/>
      <c r="E32" s="74"/>
      <c r="F32" s="74"/>
      <c r="G32" s="74"/>
      <c r="H32" s="74"/>
      <c r="I32" s="74"/>
      <c r="J32" s="74"/>
      <c r="K32" s="72">
        <f t="shared" si="2"/>
        <v>0</v>
      </c>
    </row>
    <row r="33" spans="1:11" x14ac:dyDescent="0.25">
      <c r="A33" s="71">
        <v>25</v>
      </c>
      <c r="B33" s="69" t="s">
        <v>37</v>
      </c>
      <c r="C33" s="72"/>
      <c r="D33" s="72"/>
      <c r="E33" s="74"/>
      <c r="F33" s="74"/>
      <c r="G33" s="74"/>
      <c r="H33" s="74"/>
      <c r="I33" s="74"/>
      <c r="J33" s="74"/>
      <c r="K33" s="72">
        <f t="shared" si="2"/>
        <v>0</v>
      </c>
    </row>
    <row r="34" spans="1:11" x14ac:dyDescent="0.25">
      <c r="A34" s="71">
        <v>26</v>
      </c>
      <c r="B34" s="69" t="s">
        <v>38</v>
      </c>
      <c r="C34" s="72"/>
      <c r="D34" s="72"/>
      <c r="E34" s="74"/>
      <c r="F34" s="74"/>
      <c r="G34" s="74"/>
      <c r="H34" s="74"/>
      <c r="I34" s="74"/>
      <c r="J34" s="74"/>
      <c r="K34" s="72">
        <f t="shared" si="2"/>
        <v>0</v>
      </c>
    </row>
    <row r="35" spans="1:11" x14ac:dyDescent="0.25">
      <c r="A35" s="71">
        <v>27</v>
      </c>
      <c r="B35" s="69" t="s">
        <v>39</v>
      </c>
      <c r="C35" s="72"/>
      <c r="D35" s="72"/>
      <c r="E35" s="74"/>
      <c r="F35" s="74"/>
      <c r="G35" s="74"/>
      <c r="H35" s="74"/>
      <c r="I35" s="74"/>
      <c r="J35" s="74"/>
      <c r="K35" s="72">
        <f t="shared" si="2"/>
        <v>0</v>
      </c>
    </row>
    <row r="36" spans="1:11" x14ac:dyDescent="0.25">
      <c r="A36" s="71">
        <v>28</v>
      </c>
      <c r="B36" s="69" t="s">
        <v>40</v>
      </c>
      <c r="C36" s="72">
        <f>+'PA-1 SALARY2018'!AC223</f>
        <v>-2500.1130495700659</v>
      </c>
      <c r="D36" s="72"/>
      <c r="E36" s="74"/>
      <c r="F36" s="74"/>
      <c r="G36" s="74">
        <f>+'PA-5 PROPERTY TAX INCREASE'!I85</f>
        <v>0</v>
      </c>
      <c r="H36" s="74"/>
      <c r="I36" s="74"/>
      <c r="J36" s="74"/>
      <c r="K36" s="72">
        <f t="shared" si="2"/>
        <v>-2500.1130495700659</v>
      </c>
    </row>
    <row r="37" spans="1:11" x14ac:dyDescent="0.25">
      <c r="A37" s="71">
        <v>29</v>
      </c>
      <c r="B37" s="69" t="s">
        <v>53</v>
      </c>
      <c r="C37" s="72"/>
      <c r="D37" s="72"/>
      <c r="E37" s="74"/>
      <c r="F37" s="74"/>
      <c r="G37" s="74">
        <f>+'PA-5 RATE CASE COST 2019'!H16</f>
        <v>9256.6</v>
      </c>
      <c r="H37" s="74">
        <f>+'PA-6 RATE CASE COSTS PREVIOUS'!H16</f>
        <v>8979.1400000000012</v>
      </c>
      <c r="I37" s="74"/>
      <c r="J37" s="74"/>
      <c r="K37" s="72">
        <f t="shared" si="2"/>
        <v>18235.740000000002</v>
      </c>
    </row>
    <row r="38" spans="1:11" x14ac:dyDescent="0.25">
      <c r="A38" s="71">
        <v>30</v>
      </c>
      <c r="C38" s="72"/>
      <c r="D38" s="72"/>
      <c r="G38" s="70"/>
      <c r="H38" s="70"/>
      <c r="I38" s="70"/>
      <c r="J38" s="70"/>
      <c r="K38" s="72"/>
    </row>
    <row r="39" spans="1:11" x14ac:dyDescent="0.25">
      <c r="A39" s="71">
        <v>31</v>
      </c>
      <c r="B39" s="69" t="s">
        <v>41</v>
      </c>
      <c r="C39" s="72">
        <f>SUM(C17:C38)</f>
        <v>135367.67955042995</v>
      </c>
      <c r="D39" s="72">
        <f>SUM(D17:D38)</f>
        <v>22075.439999999988</v>
      </c>
      <c r="E39" s="72">
        <f>SUM(E17:E38)</f>
        <v>0</v>
      </c>
      <c r="F39" s="72">
        <f>SUM(F17:F38)</f>
        <v>-165974.46666666667</v>
      </c>
      <c r="G39" s="72">
        <f>SUM(G17:G38)</f>
        <v>9256.6</v>
      </c>
      <c r="H39" s="72">
        <f t="shared" ref="H39:J39" si="3">SUM(H17:H38)</f>
        <v>8979.1400000000012</v>
      </c>
      <c r="I39" s="72">
        <f t="shared" si="3"/>
        <v>0</v>
      </c>
      <c r="J39" s="72">
        <f t="shared" si="3"/>
        <v>0</v>
      </c>
      <c r="K39" s="72">
        <f>SUM(C39:J39)</f>
        <v>9704.392883763252</v>
      </c>
    </row>
    <row r="40" spans="1:11" x14ac:dyDescent="0.25">
      <c r="A40" s="71">
        <v>32</v>
      </c>
      <c r="C40" s="72"/>
      <c r="D40" s="72"/>
      <c r="G40" s="72"/>
      <c r="H40" s="72"/>
      <c r="I40" s="72"/>
      <c r="J40" s="72"/>
      <c r="K40" s="72"/>
    </row>
    <row r="41" spans="1:11" x14ac:dyDescent="0.25">
      <c r="A41" s="71">
        <v>33</v>
      </c>
      <c r="B41" s="69" t="s">
        <v>42</v>
      </c>
      <c r="C41" s="72">
        <f>C14-C39</f>
        <v>-135367.67955042995</v>
      </c>
      <c r="D41" s="72">
        <f>D14-D39</f>
        <v>-22075.439999999988</v>
      </c>
      <c r="E41" s="127">
        <f>E14-E39</f>
        <v>0</v>
      </c>
      <c r="F41" s="127">
        <f>F14-F39</f>
        <v>165974.46666666667</v>
      </c>
      <c r="G41" s="72">
        <f>G14-G39</f>
        <v>-9256.6</v>
      </c>
      <c r="H41" s="72">
        <f t="shared" ref="H41:I41" si="4">H14-H39</f>
        <v>-8979.1400000000012</v>
      </c>
      <c r="I41" s="72">
        <f t="shared" si="4"/>
        <v>0</v>
      </c>
      <c r="J41" s="72">
        <f t="shared" ref="J41" si="5">J14-J39</f>
        <v>0</v>
      </c>
      <c r="K41" s="72">
        <f>SUM(C41:J41)</f>
        <v>-9704.392883763252</v>
      </c>
    </row>
    <row r="42" spans="1:11" x14ac:dyDescent="0.25">
      <c r="A42" s="71">
        <v>34</v>
      </c>
      <c r="B42" s="69" t="s">
        <v>43</v>
      </c>
      <c r="C42" s="73">
        <f>C41*0.34</f>
        <v>-46025.011047146189</v>
      </c>
      <c r="D42" s="73">
        <f>D41*0.34</f>
        <v>-7505.6495999999961</v>
      </c>
      <c r="E42" s="128">
        <f>E41*0.34</f>
        <v>0</v>
      </c>
      <c r="F42" s="128">
        <f>F41*0.34</f>
        <v>56431.318666666673</v>
      </c>
      <c r="G42" s="73">
        <f>G41*0.34</f>
        <v>-3147.2440000000001</v>
      </c>
      <c r="H42" s="73">
        <f t="shared" ref="H42:J42" si="6">H41*0.34</f>
        <v>-3052.9076000000005</v>
      </c>
      <c r="I42" s="73">
        <f t="shared" si="6"/>
        <v>0</v>
      </c>
      <c r="J42" s="73">
        <f t="shared" si="6"/>
        <v>0</v>
      </c>
      <c r="K42" s="72">
        <f>SUM(C42:J42)</f>
        <v>-3299.4935804795127</v>
      </c>
    </row>
    <row r="43" spans="1:11" x14ac:dyDescent="0.25">
      <c r="A43" s="71">
        <v>35</v>
      </c>
      <c r="B43" s="69" t="s">
        <v>44</v>
      </c>
      <c r="C43" s="72">
        <f>C41-C42</f>
        <v>-89342.668503283756</v>
      </c>
      <c r="D43" s="72">
        <f>D41-D42</f>
        <v>-14569.790399999991</v>
      </c>
      <c r="E43" s="127">
        <f>E41-E42</f>
        <v>0</v>
      </c>
      <c r="F43" s="127">
        <f>F41-F42</f>
        <v>109543.148</v>
      </c>
      <c r="G43" s="72">
        <f>G41-G42</f>
        <v>-6109.3559999999998</v>
      </c>
      <c r="H43" s="72">
        <f t="shared" ref="H43:J43" si="7">H41-H42</f>
        <v>-5926.2324000000008</v>
      </c>
      <c r="I43" s="72">
        <f t="shared" si="7"/>
        <v>0</v>
      </c>
      <c r="J43" s="72">
        <f t="shared" si="7"/>
        <v>0</v>
      </c>
      <c r="K43" s="72">
        <f>SUM(C43:J43)</f>
        <v>-6404.8993032837534</v>
      </c>
    </row>
    <row r="44" spans="1:11" x14ac:dyDescent="0.25">
      <c r="A44" s="71">
        <v>36</v>
      </c>
      <c r="C44" s="72"/>
      <c r="D44" s="72"/>
      <c r="E44" s="74"/>
      <c r="F44" s="74"/>
      <c r="G44" s="70"/>
      <c r="H44" s="70"/>
      <c r="I44" s="70"/>
      <c r="J44" s="70"/>
      <c r="K44" s="72"/>
    </row>
    <row r="45" spans="1:11" x14ac:dyDescent="0.25">
      <c r="A45" s="71">
        <v>37</v>
      </c>
      <c r="B45" s="69" t="s">
        <v>45</v>
      </c>
      <c r="C45" s="72"/>
      <c r="D45" s="72"/>
      <c r="E45" s="74"/>
      <c r="F45" s="74"/>
      <c r="G45" s="70"/>
      <c r="H45" s="70"/>
      <c r="I45" s="70"/>
      <c r="J45" s="70"/>
      <c r="K45" s="72"/>
    </row>
    <row r="46" spans="1:11" x14ac:dyDescent="0.25">
      <c r="A46" s="71">
        <v>38</v>
      </c>
      <c r="B46" s="69" t="s">
        <v>46</v>
      </c>
      <c r="C46" s="72">
        <f>+'PA-1 SALARY2018'!F190+'PA-1 SALARY2018'!F213</f>
        <v>0</v>
      </c>
      <c r="D46" s="72"/>
      <c r="E46" s="74">
        <v>0</v>
      </c>
      <c r="F46" s="74"/>
      <c r="G46" s="70"/>
      <c r="H46" s="70"/>
      <c r="I46" s="70"/>
      <c r="J46" s="70"/>
      <c r="K46" s="72">
        <f>SUM(C46:E46)</f>
        <v>0</v>
      </c>
    </row>
    <row r="47" spans="1:11" x14ac:dyDescent="0.25">
      <c r="A47" s="71">
        <v>39</v>
      </c>
      <c r="B47" s="69" t="s">
        <v>47</v>
      </c>
      <c r="C47" s="72"/>
      <c r="D47" s="72"/>
      <c r="E47" s="74"/>
      <c r="F47" s="74"/>
      <c r="G47" s="70"/>
      <c r="H47" s="70"/>
      <c r="I47" s="70"/>
      <c r="J47" s="70"/>
      <c r="K47" s="72"/>
    </row>
    <row r="48" spans="1:11" x14ac:dyDescent="0.25">
      <c r="A48" s="71">
        <v>40</v>
      </c>
      <c r="B48" s="69" t="s">
        <v>48</v>
      </c>
      <c r="C48" s="72"/>
      <c r="D48" s="72"/>
      <c r="E48" s="74"/>
      <c r="F48" s="74"/>
      <c r="K48" s="72"/>
    </row>
    <row r="49" spans="1:11" x14ac:dyDescent="0.25">
      <c r="A49" s="71">
        <v>41</v>
      </c>
      <c r="B49" s="69" t="s">
        <v>49</v>
      </c>
      <c r="C49" s="72"/>
      <c r="D49" s="72"/>
      <c r="E49" s="74">
        <f>+E46/2</f>
        <v>0</v>
      </c>
      <c r="F49" s="74"/>
      <c r="G49" s="70"/>
      <c r="H49" s="70"/>
      <c r="I49" s="70"/>
      <c r="J49" s="70"/>
      <c r="K49" s="72">
        <f>SUM(C49:E49)</f>
        <v>0</v>
      </c>
    </row>
    <row r="50" spans="1:11" x14ac:dyDescent="0.25">
      <c r="A50" s="71">
        <v>42</v>
      </c>
      <c r="E50" s="74"/>
      <c r="F50" s="74"/>
      <c r="G50" s="70"/>
      <c r="H50" s="70"/>
      <c r="I50" s="70"/>
      <c r="J50" s="70"/>
      <c r="K50" s="72"/>
    </row>
    <row r="51" spans="1:11" x14ac:dyDescent="0.25">
      <c r="A51" s="71">
        <v>43</v>
      </c>
      <c r="B51" s="75" t="s">
        <v>50</v>
      </c>
      <c r="E51" s="109"/>
      <c r="F51" s="109"/>
      <c r="G51" s="68"/>
      <c r="H51" s="68"/>
      <c r="I51" s="68"/>
      <c r="J51" s="68"/>
      <c r="K51" s="72"/>
    </row>
  </sheetData>
  <phoneticPr fontId="0" type="noConversion"/>
  <pageMargins left="0.75" right="0.75" top="1" bottom="1" header="0.5" footer="0.5"/>
  <pageSetup scale="62" orientation="landscape" horizontalDpi="409" verticalDpi="409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59"/>
  <sheetViews>
    <sheetView zoomScale="75" zoomScaleNormal="75" workbookViewId="0">
      <selection activeCell="E33" sqref="E33"/>
    </sheetView>
  </sheetViews>
  <sheetFormatPr defaultRowHeight="15.75" x14ac:dyDescent="0.25"/>
  <cols>
    <col min="1" max="1" width="40.109375" bestFit="1" customWidth="1"/>
    <col min="2" max="2" width="10.44140625" bestFit="1" customWidth="1"/>
    <col min="4" max="4" width="28" bestFit="1" customWidth="1"/>
    <col min="5" max="5" width="11.21875" bestFit="1" customWidth="1"/>
  </cols>
  <sheetData>
    <row r="1" spans="1:13" x14ac:dyDescent="0.25">
      <c r="A1" s="1" t="s">
        <v>64</v>
      </c>
      <c r="E1" s="1" t="s">
        <v>1</v>
      </c>
    </row>
    <row r="2" spans="1:13" x14ac:dyDescent="0.25">
      <c r="E2" s="15">
        <v>2018</v>
      </c>
    </row>
    <row r="6" spans="1:13" x14ac:dyDescent="0.25">
      <c r="A6" s="1" t="s">
        <v>65</v>
      </c>
      <c r="B6" s="16">
        <v>1</v>
      </c>
      <c r="D6" s="17" t="s">
        <v>66</v>
      </c>
    </row>
    <row r="7" spans="1:13" x14ac:dyDescent="0.25">
      <c r="B7" s="16"/>
      <c r="D7" s="1"/>
      <c r="E7" s="8"/>
      <c r="F7" s="14"/>
      <c r="G7" s="14"/>
      <c r="H7" s="14"/>
      <c r="K7" s="1"/>
    </row>
    <row r="8" spans="1:13" x14ac:dyDescent="0.25">
      <c r="A8" s="1" t="s">
        <v>67</v>
      </c>
      <c r="B8" s="16">
        <v>2E-3</v>
      </c>
      <c r="D8" s="1"/>
      <c r="E8" s="8"/>
      <c r="F8" s="14"/>
      <c r="G8" s="14"/>
      <c r="H8" s="14"/>
      <c r="L8" s="25"/>
      <c r="M8" s="25"/>
    </row>
    <row r="9" spans="1:13" x14ac:dyDescent="0.25">
      <c r="A9" s="1" t="s">
        <v>68</v>
      </c>
      <c r="B9" s="16">
        <v>5.0290000000000001E-2</v>
      </c>
      <c r="D9" s="1"/>
      <c r="E9" s="8"/>
      <c r="F9" s="14"/>
      <c r="G9" s="14"/>
      <c r="H9" s="14"/>
      <c r="L9" s="25"/>
      <c r="M9" s="25"/>
    </row>
    <row r="10" spans="1:13" x14ac:dyDescent="0.25">
      <c r="A10" s="1" t="s">
        <v>69</v>
      </c>
      <c r="B10" s="16">
        <v>6.7000000000000002E-3</v>
      </c>
      <c r="D10" s="1"/>
      <c r="E10" s="8"/>
      <c r="F10" s="14"/>
      <c r="G10" s="14"/>
      <c r="H10" s="14"/>
      <c r="L10" s="25"/>
      <c r="M10" s="25"/>
    </row>
    <row r="11" spans="1:13" x14ac:dyDescent="0.25">
      <c r="B11" s="16">
        <f>B6-B8-B9-B10</f>
        <v>0.94101000000000001</v>
      </c>
      <c r="D11" s="1" t="s">
        <v>468</v>
      </c>
      <c r="E11" s="8">
        <v>800000</v>
      </c>
      <c r="F11" s="14">
        <f>E11/E28</f>
        <v>0.19505910412767008</v>
      </c>
      <c r="G11" s="14">
        <v>4.5100000000000001E-2</v>
      </c>
      <c r="H11" s="14">
        <f t="shared" ref="H11:H13" si="0">G11*F11</f>
        <v>8.7971655961579208E-3</v>
      </c>
      <c r="L11" s="25"/>
      <c r="M11" s="25"/>
    </row>
    <row r="12" spans="1:13" x14ac:dyDescent="0.25">
      <c r="B12" s="16"/>
      <c r="D12" s="1" t="s">
        <v>470</v>
      </c>
      <c r="E12" s="8">
        <v>251306</v>
      </c>
      <c r="F12" s="14">
        <f>E12/E28</f>
        <v>6.1274404027385321E-2</v>
      </c>
      <c r="G12" s="14">
        <v>4.5100000000000001E-2</v>
      </c>
      <c r="H12" s="14">
        <f t="shared" si="0"/>
        <v>2.7634756216350781E-3</v>
      </c>
      <c r="L12" s="25"/>
      <c r="M12" s="25"/>
    </row>
    <row r="13" spans="1:13" x14ac:dyDescent="0.25">
      <c r="A13" s="1" t="s">
        <v>70</v>
      </c>
      <c r="B13" s="16">
        <f>B11*0.21</f>
        <v>0.19761209999999998</v>
      </c>
      <c r="D13" s="1" t="s">
        <v>200</v>
      </c>
      <c r="E13" s="8">
        <v>2804830</v>
      </c>
      <c r="F13" s="14">
        <f>E13/E28</f>
        <v>0.68388453378801606</v>
      </c>
      <c r="G13" s="14">
        <v>4.5100000000000001E-2</v>
      </c>
      <c r="H13" s="14">
        <f t="shared" si="0"/>
        <v>3.0843192473839525E-2</v>
      </c>
      <c r="L13" s="25"/>
      <c r="M13" s="25"/>
    </row>
    <row r="14" spans="1:13" x14ac:dyDescent="0.25">
      <c r="B14" s="16"/>
      <c r="D14" s="1" t="s">
        <v>482</v>
      </c>
      <c r="E14" s="8">
        <v>66909</v>
      </c>
      <c r="F14" s="14">
        <f>E14/E28</f>
        <v>1.6314011997597848E-2</v>
      </c>
      <c r="G14" s="14">
        <v>4.5100000000000001E-2</v>
      </c>
      <c r="H14" s="14">
        <f t="shared" ref="H14" si="1">G14*F14</f>
        <v>7.3576194109166296E-4</v>
      </c>
      <c r="L14" s="25"/>
      <c r="M14" s="25"/>
    </row>
    <row r="15" spans="1:13" x14ac:dyDescent="0.25">
      <c r="A15" s="1" t="s">
        <v>71</v>
      </c>
      <c r="B15" s="16">
        <f>B11-B13</f>
        <v>0.74339790000000006</v>
      </c>
      <c r="D15" s="1" t="s">
        <v>515</v>
      </c>
      <c r="E15" s="8">
        <v>122278</v>
      </c>
      <c r="F15" s="28">
        <f>E15/E28</f>
        <v>2.9814296418154054E-2</v>
      </c>
      <c r="G15" s="14">
        <v>5.0599999999999999E-2</v>
      </c>
      <c r="H15" s="14">
        <f>G15*F15</f>
        <v>1.508603398758595E-3</v>
      </c>
      <c r="L15" s="25"/>
      <c r="M15" s="25"/>
    </row>
    <row r="16" spans="1:13" x14ac:dyDescent="0.25">
      <c r="D16" s="1" t="s">
        <v>469</v>
      </c>
      <c r="E16" s="8">
        <v>15733</v>
      </c>
      <c r="F16" s="28">
        <f>E16/E28</f>
        <v>3.8360811065507919E-3</v>
      </c>
      <c r="G16" s="14">
        <v>5.8400000000000001E-2</v>
      </c>
      <c r="H16" s="14">
        <f>G16*F16</f>
        <v>2.2402713662256625E-4</v>
      </c>
      <c r="L16" s="25"/>
      <c r="M16" s="25"/>
    </row>
    <row r="17" spans="1:13" x14ac:dyDescent="0.25">
      <c r="D17" s="1" t="s">
        <v>469</v>
      </c>
      <c r="E17" s="8">
        <v>12842</v>
      </c>
      <c r="F17" s="186">
        <f>E17/E28</f>
        <v>3.1311862690094239E-3</v>
      </c>
      <c r="G17" s="14">
        <v>4.99E-2</v>
      </c>
      <c r="H17" s="14">
        <f>G17*F17</f>
        <v>1.5624619482357025E-4</v>
      </c>
      <c r="L17" s="25"/>
      <c r="M17" s="25"/>
    </row>
    <row r="18" spans="1:13" x14ac:dyDescent="0.25">
      <c r="D18" s="1" t="s">
        <v>469</v>
      </c>
      <c r="E18" s="8">
        <v>27423</v>
      </c>
      <c r="F18" s="186">
        <f>E18/E28</f>
        <v>6.6863822656163712E-3</v>
      </c>
      <c r="G18" s="14">
        <v>4.8399999999999999E-2</v>
      </c>
      <c r="H18" s="14">
        <f>G18*F18</f>
        <v>3.2362090165583235E-4</v>
      </c>
      <c r="L18" s="25"/>
      <c r="M18" s="25"/>
    </row>
    <row r="19" spans="1:13" x14ac:dyDescent="0.25">
      <c r="E19" s="8"/>
      <c r="F19" s="28"/>
      <c r="G19" s="14"/>
      <c r="H19" s="14"/>
      <c r="L19" s="25"/>
      <c r="M19" s="25"/>
    </row>
    <row r="20" spans="1:13" x14ac:dyDescent="0.25">
      <c r="A20" s="1" t="s">
        <v>72</v>
      </c>
      <c r="B20" s="5">
        <f>+RATES!I108</f>
        <v>11994106.057692301</v>
      </c>
      <c r="L20" s="25"/>
      <c r="M20" s="25"/>
    </row>
    <row r="21" spans="1:13" x14ac:dyDescent="0.25">
      <c r="A21" s="1" t="s">
        <v>73</v>
      </c>
      <c r="L21" s="25"/>
      <c r="M21" s="25"/>
    </row>
    <row r="22" spans="1:13" x14ac:dyDescent="0.25">
      <c r="A22" s="1" t="s">
        <v>74</v>
      </c>
      <c r="B22" s="14">
        <f>+H35</f>
        <v>9.4474543911202913E-2</v>
      </c>
      <c r="E22" s="8"/>
      <c r="F22" s="28"/>
      <c r="G22" s="14"/>
      <c r="H22" s="14"/>
    </row>
    <row r="23" spans="1:13" x14ac:dyDescent="0.25">
      <c r="E23" s="8"/>
      <c r="F23" s="28"/>
      <c r="G23" s="14"/>
      <c r="H23" s="14"/>
    </row>
    <row r="24" spans="1:13" x14ac:dyDescent="0.25">
      <c r="A24" s="1" t="s">
        <v>75</v>
      </c>
      <c r="B24" s="5">
        <f>B22*B20</f>
        <v>1133137.6994230761</v>
      </c>
    </row>
    <row r="26" spans="1:13" x14ac:dyDescent="0.25">
      <c r="A26" s="1" t="s">
        <v>76</v>
      </c>
      <c r="B26" s="5">
        <f>+RATES!I97</f>
        <v>656367.84498182649</v>
      </c>
    </row>
    <row r="28" spans="1:13" x14ac:dyDescent="0.25">
      <c r="A28" s="1" t="s">
        <v>78</v>
      </c>
      <c r="B28" s="5">
        <f>IF(+B24-B26&lt;=0,0)+IF(+B24-B26&gt;0,+B24-B26)</f>
        <v>476769.85444124963</v>
      </c>
      <c r="E28" s="5">
        <f>SUM(E7:E27)</f>
        <v>4101321</v>
      </c>
      <c r="F28" s="14">
        <f>SUM(F7:F27)</f>
        <v>0.99999999999999989</v>
      </c>
      <c r="H28" s="14">
        <f>SUM(H8:H27)</f>
        <v>4.5352093264584753E-2</v>
      </c>
    </row>
    <row r="29" spans="1:13" x14ac:dyDescent="0.25">
      <c r="D29" s="18"/>
      <c r="E29" s="18"/>
      <c r="F29" s="18"/>
      <c r="G29" s="18"/>
      <c r="H29" s="18"/>
    </row>
    <row r="30" spans="1:13" x14ac:dyDescent="0.25">
      <c r="A30" s="1" t="s">
        <v>71</v>
      </c>
      <c r="B30" s="16">
        <f>B15</f>
        <v>0.74339790000000006</v>
      </c>
    </row>
    <row r="31" spans="1:13" x14ac:dyDescent="0.25">
      <c r="D31" s="17" t="s">
        <v>77</v>
      </c>
      <c r="E31" s="5">
        <f>E28</f>
        <v>4101321</v>
      </c>
      <c r="F31" s="14">
        <f>E31/E35</f>
        <v>0.3419447001946142</v>
      </c>
      <c r="G31" s="14">
        <f>H28</f>
        <v>4.5352093264584753E-2</v>
      </c>
      <c r="H31" s="14">
        <f>F31*G31</f>
        <v>1.5507907934556616E-2</v>
      </c>
    </row>
    <row r="32" spans="1:13" x14ac:dyDescent="0.25">
      <c r="A32" s="1" t="s">
        <v>80</v>
      </c>
      <c r="B32" s="5">
        <f>B28/B30</f>
        <v>641338.71570157725</v>
      </c>
      <c r="D32" s="19"/>
      <c r="E32" s="5"/>
      <c r="F32" s="14"/>
      <c r="G32" s="14"/>
      <c r="H32" s="14"/>
    </row>
    <row r="33" spans="1:8" x14ac:dyDescent="0.25">
      <c r="D33" s="17" t="s">
        <v>79</v>
      </c>
      <c r="E33" s="5">
        <f>+E35-E31</f>
        <v>7892785.0576923005</v>
      </c>
      <c r="F33" s="14">
        <f>E33/E35</f>
        <v>0.6580552998053858</v>
      </c>
      <c r="G33" s="14">
        <v>0.12</v>
      </c>
      <c r="H33" s="14">
        <f>F33*G33</f>
        <v>7.8966635976646299E-2</v>
      </c>
    </row>
    <row r="34" spans="1:8" x14ac:dyDescent="0.25">
      <c r="E34" s="5"/>
      <c r="F34" s="14"/>
      <c r="G34" s="14"/>
      <c r="H34" s="14"/>
    </row>
    <row r="35" spans="1:8" x14ac:dyDescent="0.25">
      <c r="E35" s="5">
        <f>+RATES!I108</f>
        <v>11994106.057692301</v>
      </c>
      <c r="F35" s="14"/>
      <c r="G35" s="14"/>
      <c r="H35" s="23">
        <f>H31+H33</f>
        <v>9.4474543911202913E-2</v>
      </c>
    </row>
    <row r="36" spans="1:8" x14ac:dyDescent="0.25">
      <c r="D36" s="18"/>
      <c r="E36" s="20"/>
      <c r="F36" s="21"/>
      <c r="G36" s="21"/>
      <c r="H36" s="21"/>
    </row>
    <row r="37" spans="1:8" x14ac:dyDescent="0.25">
      <c r="E37" s="5"/>
      <c r="F37" s="14"/>
      <c r="G37" s="14"/>
      <c r="H37" s="14"/>
    </row>
    <row r="38" spans="1:8" x14ac:dyDescent="0.25">
      <c r="D38" s="17" t="s">
        <v>77</v>
      </c>
      <c r="E38" s="5">
        <f>E31</f>
        <v>4101321</v>
      </c>
      <c r="F38" s="14">
        <v>0.5</v>
      </c>
      <c r="G38" s="14">
        <f>G31</f>
        <v>4.5352093264584753E-2</v>
      </c>
      <c r="H38" s="14">
        <f>F38*G38</f>
        <v>2.2676046632292376E-2</v>
      </c>
    </row>
    <row r="39" spans="1:8" x14ac:dyDescent="0.25">
      <c r="D39" s="19"/>
      <c r="E39" s="5"/>
      <c r="F39" s="14"/>
      <c r="G39" s="14"/>
      <c r="H39" s="14"/>
    </row>
    <row r="40" spans="1:8" x14ac:dyDescent="0.25">
      <c r="D40" s="17" t="s">
        <v>79</v>
      </c>
      <c r="E40" s="5">
        <f>E33</f>
        <v>7892785.0576923005</v>
      </c>
      <c r="F40" s="14">
        <v>0.5</v>
      </c>
      <c r="G40" s="14">
        <v>0.12</v>
      </c>
      <c r="H40" s="14">
        <f>F40*G40</f>
        <v>0.06</v>
      </c>
    </row>
    <row r="41" spans="1:8" x14ac:dyDescent="0.25">
      <c r="E41" s="5"/>
      <c r="F41" s="14"/>
      <c r="G41" s="14"/>
      <c r="H41" s="14"/>
    </row>
    <row r="42" spans="1:8" x14ac:dyDescent="0.25">
      <c r="E42" s="5">
        <f>E38+E40</f>
        <v>11994106.057692301</v>
      </c>
      <c r="F42" s="14"/>
      <c r="G42" s="14"/>
      <c r="H42" s="23">
        <f>H38+H40</f>
        <v>8.2676046632292374E-2</v>
      </c>
    </row>
    <row r="43" spans="1:8" x14ac:dyDescent="0.25">
      <c r="F43" s="14"/>
    </row>
    <row r="44" spans="1:8" x14ac:dyDescent="0.25">
      <c r="A44" s="1" t="s">
        <v>80</v>
      </c>
      <c r="B44" s="5">
        <f>+B32</f>
        <v>641338.71570157725</v>
      </c>
      <c r="F44" s="14"/>
    </row>
    <row r="45" spans="1:8" x14ac:dyDescent="0.25">
      <c r="B45" s="5"/>
      <c r="F45" s="14"/>
    </row>
    <row r="46" spans="1:8" x14ac:dyDescent="0.25">
      <c r="A46" s="1" t="s">
        <v>81</v>
      </c>
      <c r="B46" s="5"/>
      <c r="C46" s="5">
        <v>0</v>
      </c>
      <c r="F46" s="14"/>
    </row>
    <row r="47" spans="1:8" x14ac:dyDescent="0.25">
      <c r="A47" s="1" t="s">
        <v>82</v>
      </c>
      <c r="B47" s="5"/>
      <c r="C47" s="22">
        <f>B44-C46</f>
        <v>641338.71570157725</v>
      </c>
      <c r="F47" s="14"/>
    </row>
    <row r="48" spans="1:8" x14ac:dyDescent="0.25">
      <c r="A48" s="1" t="s">
        <v>83</v>
      </c>
      <c r="B48" s="5"/>
      <c r="C48" s="5">
        <f>C46+C47</f>
        <v>641338.71570157725</v>
      </c>
      <c r="F48" s="14"/>
    </row>
    <row r="49" spans="1:6" x14ac:dyDescent="0.25">
      <c r="B49" s="5"/>
      <c r="C49" s="5"/>
      <c r="F49" s="14"/>
    </row>
    <row r="50" spans="1:6" x14ac:dyDescent="0.25">
      <c r="A50" s="1" t="s">
        <v>84</v>
      </c>
      <c r="B50" s="5"/>
      <c r="C50" s="5"/>
      <c r="F50" s="14"/>
    </row>
    <row r="51" spans="1:6" x14ac:dyDescent="0.25">
      <c r="A51" s="1" t="s">
        <v>85</v>
      </c>
      <c r="C51" s="5">
        <f>B44*0.002</f>
        <v>1282.6774314031545</v>
      </c>
    </row>
    <row r="52" spans="1:6" x14ac:dyDescent="0.25">
      <c r="C52" s="5"/>
    </row>
    <row r="53" spans="1:6" x14ac:dyDescent="0.25">
      <c r="A53" s="1" t="s">
        <v>86</v>
      </c>
      <c r="C53" s="5">
        <f>B44*0.05029</f>
        <v>32252.92401263232</v>
      </c>
    </row>
    <row r="54" spans="1:6" x14ac:dyDescent="0.25">
      <c r="A54" s="1" t="s">
        <v>87</v>
      </c>
      <c r="C54" s="22">
        <f>B44*0.0065</f>
        <v>4168.7016520602519</v>
      </c>
    </row>
    <row r="55" spans="1:6" x14ac:dyDescent="0.25">
      <c r="C55" s="5">
        <f>C51+C53+C54</f>
        <v>37704.303096095726</v>
      </c>
    </row>
    <row r="56" spans="1:6" x14ac:dyDescent="0.25">
      <c r="B56" s="5"/>
      <c r="C56" s="5"/>
    </row>
    <row r="57" spans="1:6" x14ac:dyDescent="0.25">
      <c r="A57" s="1" t="s">
        <v>88</v>
      </c>
      <c r="B57" s="5"/>
      <c r="C57" s="5">
        <f>C48-C55</f>
        <v>603634.41260548157</v>
      </c>
    </row>
    <row r="58" spans="1:6" x14ac:dyDescent="0.25">
      <c r="A58" s="1" t="s">
        <v>70</v>
      </c>
      <c r="B58" s="5"/>
      <c r="C58" s="22">
        <f>C57*0.34</f>
        <v>205235.70028586374</v>
      </c>
    </row>
    <row r="59" spans="1:6" x14ac:dyDescent="0.25">
      <c r="A59" s="1" t="s">
        <v>89</v>
      </c>
      <c r="B59" s="5"/>
      <c r="C59" s="5">
        <f>C57-C58</f>
        <v>398398.71231961786</v>
      </c>
    </row>
  </sheetData>
  <phoneticPr fontId="0" type="noConversion"/>
  <pageMargins left="0.75" right="0.75" top="1" bottom="1" header="0.5" footer="0.5"/>
  <pageSetup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7"/>
  <sheetViews>
    <sheetView view="pageBreakPreview" topLeftCell="A133" zoomScale="89" zoomScaleNormal="100" zoomScaleSheetLayoutView="89" workbookViewId="0">
      <selection activeCell="H137" sqref="H137"/>
    </sheetView>
  </sheetViews>
  <sheetFormatPr defaultColWidth="12.6640625" defaultRowHeight="15.75" x14ac:dyDescent="0.25"/>
  <cols>
    <col min="1" max="1" width="25.77734375" customWidth="1"/>
    <col min="2" max="2" width="15.77734375" style="8" customWidth="1"/>
    <col min="3" max="3" width="2.77734375" customWidth="1"/>
    <col min="4" max="4" width="15.77734375" customWidth="1"/>
    <col min="5" max="5" width="2.77734375" customWidth="1"/>
    <col min="6" max="6" width="15.77734375" customWidth="1"/>
    <col min="7" max="7" width="2.77734375" customWidth="1"/>
    <col min="8" max="8" width="15.77734375" customWidth="1"/>
    <col min="9" max="9" width="2.77734375" customWidth="1"/>
    <col min="10" max="10" width="15.77734375" customWidth="1"/>
    <col min="11" max="11" width="2.77734375" customWidth="1"/>
    <col min="12" max="12" width="15.77734375" customWidth="1"/>
    <col min="13" max="13" width="2.77734375" customWidth="1"/>
    <col min="14" max="14" width="15.77734375" customWidth="1"/>
    <col min="15" max="15" width="2.77734375" customWidth="1"/>
    <col min="16" max="16" width="15.77734375" customWidth="1"/>
    <col min="17" max="17" width="2.77734375" customWidth="1"/>
    <col min="18" max="18" width="15.77734375" customWidth="1"/>
    <col min="19" max="19" width="2.77734375" customWidth="1"/>
    <col min="20" max="20" width="15.77734375" customWidth="1"/>
    <col min="21" max="21" width="2.77734375" customWidth="1"/>
    <col min="22" max="22" width="15.77734375" customWidth="1"/>
    <col min="23" max="23" width="2.77734375" customWidth="1"/>
    <col min="24" max="24" width="15.77734375" customWidth="1"/>
    <col min="25" max="25" width="2.77734375" customWidth="1"/>
    <col min="26" max="26" width="15.77734375" customWidth="1"/>
    <col min="27" max="27" width="2.77734375" customWidth="1"/>
    <col min="28" max="28" width="15.77734375" customWidth="1"/>
    <col min="31" max="31" width="13.5546875" bestFit="1" customWidth="1"/>
  </cols>
  <sheetData>
    <row r="1" spans="1:31" x14ac:dyDescent="0.25">
      <c r="A1" s="1" t="s">
        <v>110</v>
      </c>
    </row>
    <row r="2" spans="1:31" x14ac:dyDescent="0.25">
      <c r="A2" s="1" t="s">
        <v>517</v>
      </c>
    </row>
    <row r="3" spans="1:31" x14ac:dyDescent="0.25">
      <c r="A3" s="19" t="s">
        <v>181</v>
      </c>
    </row>
    <row r="4" spans="1:31" x14ac:dyDescent="0.25">
      <c r="H4">
        <v>2018</v>
      </c>
      <c r="J4" s="1" t="s">
        <v>206</v>
      </c>
    </row>
    <row r="7" spans="1:31" x14ac:dyDescent="0.25">
      <c r="A7" s="1" t="s">
        <v>112</v>
      </c>
      <c r="B7" s="27" t="s">
        <v>113</v>
      </c>
      <c r="D7" s="1" t="s">
        <v>114</v>
      </c>
      <c r="F7" s="1" t="s">
        <v>115</v>
      </c>
      <c r="H7" s="1" t="s">
        <v>116</v>
      </c>
      <c r="J7" s="1" t="s">
        <v>117</v>
      </c>
      <c r="L7" s="1" t="s">
        <v>117</v>
      </c>
      <c r="N7" s="1" t="s">
        <v>118</v>
      </c>
      <c r="P7" s="1" t="s">
        <v>118</v>
      </c>
      <c r="R7" s="1" t="s">
        <v>119</v>
      </c>
      <c r="T7" s="1" t="s">
        <v>119</v>
      </c>
      <c r="V7" s="1" t="s">
        <v>120</v>
      </c>
      <c r="X7" s="1" t="s">
        <v>121</v>
      </c>
      <c r="Z7" s="1" t="s">
        <v>122</v>
      </c>
      <c r="AB7" s="1" t="s">
        <v>123</v>
      </c>
    </row>
    <row r="8" spans="1:31" x14ac:dyDescent="0.25">
      <c r="B8" s="27" t="s">
        <v>124</v>
      </c>
      <c r="D8" s="1" t="s">
        <v>56</v>
      </c>
      <c r="F8" s="1" t="s">
        <v>125</v>
      </c>
      <c r="H8" s="1" t="s">
        <v>56</v>
      </c>
      <c r="J8" s="1" t="s">
        <v>126</v>
      </c>
      <c r="L8" s="1" t="s">
        <v>127</v>
      </c>
      <c r="N8" s="1" t="s">
        <v>126</v>
      </c>
      <c r="P8" s="1" t="s">
        <v>127</v>
      </c>
      <c r="R8" s="1" t="s">
        <v>126</v>
      </c>
      <c r="T8" s="1" t="s">
        <v>127</v>
      </c>
      <c r="V8" s="1" t="s">
        <v>56</v>
      </c>
      <c r="X8" s="1" t="s">
        <v>56</v>
      </c>
      <c r="Z8" s="1" t="s">
        <v>128</v>
      </c>
      <c r="AB8" s="1" t="s">
        <v>56</v>
      </c>
    </row>
    <row r="9" spans="1:31" x14ac:dyDescent="0.25">
      <c r="F9" s="48">
        <v>101</v>
      </c>
      <c r="G9" s="48"/>
      <c r="H9" s="48">
        <v>426</v>
      </c>
      <c r="I9" s="48"/>
      <c r="J9" s="48">
        <v>601.1</v>
      </c>
      <c r="K9" s="48"/>
      <c r="L9" s="48">
        <v>601.20000000000005</v>
      </c>
      <c r="M9" s="48"/>
      <c r="N9" s="48">
        <v>601.29999999999995</v>
      </c>
      <c r="O9" s="48"/>
      <c r="P9" s="48">
        <v>601.4</v>
      </c>
      <c r="Q9" s="48"/>
      <c r="R9" s="48">
        <v>601.5</v>
      </c>
      <c r="S9" s="48"/>
      <c r="T9" s="48">
        <v>601.6</v>
      </c>
      <c r="U9" s="48"/>
      <c r="V9" s="48">
        <v>601.70000000000005</v>
      </c>
      <c r="W9" s="48"/>
      <c r="X9" s="48">
        <v>601.79999999999995</v>
      </c>
      <c r="Y9" s="48"/>
      <c r="Z9" s="48">
        <v>604</v>
      </c>
      <c r="AA9" s="48"/>
      <c r="AB9" s="48">
        <v>650</v>
      </c>
    </row>
    <row r="10" spans="1:31" x14ac:dyDescent="0.25">
      <c r="D10" s="5"/>
      <c r="E10" s="5" t="s">
        <v>130</v>
      </c>
      <c r="F10" s="5">
        <v>28254.3</v>
      </c>
      <c r="G10" s="5"/>
      <c r="H10" s="5"/>
      <c r="I10" s="5"/>
      <c r="J10" s="5"/>
      <c r="K10" s="5"/>
      <c r="L10" s="5">
        <v>9298.4</v>
      </c>
      <c r="M10" s="5"/>
      <c r="N10" s="5"/>
      <c r="O10" s="5"/>
      <c r="P10" s="5">
        <v>24157.200000000001</v>
      </c>
      <c r="Q10" s="5"/>
      <c r="R10" s="5"/>
      <c r="S10" s="5"/>
      <c r="T10" s="5">
        <v>2495.4</v>
      </c>
      <c r="U10" s="5"/>
      <c r="V10" s="5">
        <v>56055.4</v>
      </c>
      <c r="W10" s="5"/>
      <c r="X10" s="5">
        <v>42274.3</v>
      </c>
      <c r="Y10" s="5"/>
      <c r="Z10" s="5">
        <v>21238.2</v>
      </c>
      <c r="AA10" s="5"/>
      <c r="AB10" s="5">
        <v>1550</v>
      </c>
      <c r="AC10" s="5"/>
      <c r="AD10" s="5">
        <f>SUM(F10:AB10)</f>
        <v>185323.2</v>
      </c>
    </row>
    <row r="11" spans="1:31" x14ac:dyDescent="0.25">
      <c r="A11" s="1" t="s">
        <v>129</v>
      </c>
      <c r="B11" s="8">
        <v>50388</v>
      </c>
      <c r="C11" s="5"/>
      <c r="D11" s="5"/>
      <c r="E11" s="5" t="s">
        <v>132</v>
      </c>
      <c r="F11" s="8">
        <v>26333.3</v>
      </c>
      <c r="G11" s="8"/>
      <c r="H11" s="8"/>
      <c r="I11" s="8"/>
      <c r="J11" s="8"/>
      <c r="K11" s="8"/>
      <c r="L11" s="8">
        <v>8270.1</v>
      </c>
      <c r="M11" s="8"/>
      <c r="N11" s="8"/>
      <c r="O11" s="8"/>
      <c r="P11" s="8">
        <v>28685.5</v>
      </c>
      <c r="Q11" s="8"/>
      <c r="R11" s="8"/>
      <c r="S11" s="8"/>
      <c r="T11" s="8">
        <v>7653.6</v>
      </c>
      <c r="U11" s="8"/>
      <c r="V11" s="8">
        <v>54819.6</v>
      </c>
      <c r="W11" s="8"/>
      <c r="X11" s="8">
        <v>48727.8</v>
      </c>
      <c r="Y11" s="8"/>
      <c r="Z11" s="8">
        <v>8813.9</v>
      </c>
      <c r="AA11" s="8"/>
      <c r="AB11" s="8">
        <v>1951.4</v>
      </c>
      <c r="AC11" s="5"/>
      <c r="AD11" s="5">
        <f t="shared" ref="AD11:AD20" si="0">SUM(F11:AB11)</f>
        <v>185255.2</v>
      </c>
    </row>
    <row r="12" spans="1:31" x14ac:dyDescent="0.25">
      <c r="A12" s="1" t="s">
        <v>483</v>
      </c>
      <c r="B12" s="8">
        <v>9060</v>
      </c>
      <c r="C12" s="5"/>
      <c r="D12" s="5"/>
      <c r="E12" s="5" t="s">
        <v>133</v>
      </c>
      <c r="F12" s="5">
        <v>42803.199999999997</v>
      </c>
      <c r="G12" s="5"/>
      <c r="H12" s="5"/>
      <c r="I12" s="5"/>
      <c r="J12" s="5"/>
      <c r="K12" s="5"/>
      <c r="L12" s="5">
        <v>16410.599999999999</v>
      </c>
      <c r="M12" s="5"/>
      <c r="N12" s="5"/>
      <c r="O12" s="5"/>
      <c r="P12" s="5">
        <v>41856.400000000001</v>
      </c>
      <c r="Q12" s="5"/>
      <c r="R12" s="5"/>
      <c r="S12" s="5"/>
      <c r="T12" s="5">
        <v>9443</v>
      </c>
      <c r="U12" s="5"/>
      <c r="V12" s="5">
        <v>81078.5</v>
      </c>
      <c r="W12" s="5"/>
      <c r="X12" s="5">
        <v>69140.899999999994</v>
      </c>
      <c r="Y12" s="5"/>
      <c r="Z12" s="5">
        <v>15336</v>
      </c>
      <c r="AA12" s="5"/>
      <c r="AB12" s="5">
        <v>1716.3</v>
      </c>
      <c r="AC12" s="5"/>
      <c r="AD12" s="5">
        <f t="shared" si="0"/>
        <v>277784.89999999997</v>
      </c>
    </row>
    <row r="13" spans="1:31" x14ac:dyDescent="0.25">
      <c r="A13" s="1" t="s">
        <v>207</v>
      </c>
      <c r="B13" s="8">
        <v>61000</v>
      </c>
      <c r="C13" s="5"/>
      <c r="D13" s="5"/>
      <c r="E13" s="5" t="s">
        <v>135</v>
      </c>
      <c r="F13" s="5">
        <v>20961</v>
      </c>
      <c r="G13" s="5"/>
      <c r="H13" s="5"/>
      <c r="I13" s="5"/>
      <c r="J13" s="5"/>
      <c r="K13" s="5"/>
      <c r="L13" s="5">
        <v>7871</v>
      </c>
      <c r="M13" s="5"/>
      <c r="N13" s="5"/>
      <c r="O13" s="5"/>
      <c r="P13" s="5">
        <v>29455.7</v>
      </c>
      <c r="Q13" s="5"/>
      <c r="R13" s="5"/>
      <c r="S13" s="5"/>
      <c r="T13" s="5">
        <v>4509.6000000000004</v>
      </c>
      <c r="U13" s="5"/>
      <c r="V13" s="5">
        <v>57423.5</v>
      </c>
      <c r="W13" s="5"/>
      <c r="X13" s="5">
        <v>34304.9</v>
      </c>
      <c r="Y13" s="5"/>
      <c r="Z13" s="5">
        <v>12036.3</v>
      </c>
      <c r="AA13" s="5"/>
      <c r="AB13" s="5">
        <v>1550</v>
      </c>
      <c r="AC13" s="5"/>
      <c r="AD13" s="5">
        <f t="shared" si="0"/>
        <v>168111.99999999997</v>
      </c>
    </row>
    <row r="14" spans="1:31" x14ac:dyDescent="0.25">
      <c r="A14" s="1" t="s">
        <v>183</v>
      </c>
      <c r="B14" s="8">
        <v>46703</v>
      </c>
      <c r="C14" s="5"/>
      <c r="D14" s="5"/>
      <c r="E14" s="5" t="s">
        <v>133</v>
      </c>
      <c r="F14" s="8">
        <v>21387</v>
      </c>
      <c r="G14" s="8"/>
      <c r="H14" s="8"/>
      <c r="I14" s="8"/>
      <c r="J14" s="8"/>
      <c r="K14" s="8"/>
      <c r="L14" s="8">
        <v>9708</v>
      </c>
      <c r="M14" s="8"/>
      <c r="N14" s="8"/>
      <c r="O14" s="8"/>
      <c r="P14" s="8">
        <v>31686.5</v>
      </c>
      <c r="Q14" s="8"/>
      <c r="R14" s="8"/>
      <c r="S14" s="8"/>
      <c r="T14" s="8">
        <v>5138.5</v>
      </c>
      <c r="U14" s="8"/>
      <c r="V14" s="8">
        <v>57862</v>
      </c>
      <c r="W14" s="8"/>
      <c r="X14" s="8">
        <v>39088.9</v>
      </c>
      <c r="Y14" s="8"/>
      <c r="Z14" s="8">
        <v>3634.1</v>
      </c>
      <c r="AA14" s="8"/>
      <c r="AB14" s="8">
        <v>1628</v>
      </c>
      <c r="AC14" s="5"/>
      <c r="AD14" s="5">
        <f t="shared" si="0"/>
        <v>170133</v>
      </c>
      <c r="AE14" s="8"/>
    </row>
    <row r="15" spans="1:31" x14ac:dyDescent="0.25">
      <c r="A15" s="1" t="s">
        <v>134</v>
      </c>
      <c r="B15" s="8">
        <v>24430</v>
      </c>
      <c r="C15" s="5"/>
      <c r="D15" s="5"/>
      <c r="E15" s="5" t="s">
        <v>130</v>
      </c>
      <c r="F15" s="5">
        <v>26100</v>
      </c>
      <c r="G15" s="5"/>
      <c r="H15" s="5"/>
      <c r="I15" s="5"/>
      <c r="J15" s="5"/>
      <c r="K15" s="5"/>
      <c r="L15" s="5">
        <v>7226.4</v>
      </c>
      <c r="M15" s="5"/>
      <c r="N15" s="5"/>
      <c r="O15" s="5"/>
      <c r="P15" s="5">
        <v>30066.400000000001</v>
      </c>
      <c r="Q15" s="5"/>
      <c r="R15" s="5"/>
      <c r="S15" s="5"/>
      <c r="T15" s="5">
        <v>5623</v>
      </c>
      <c r="U15" s="5"/>
      <c r="V15" s="5">
        <v>52278.7</v>
      </c>
      <c r="W15" s="5"/>
      <c r="X15" s="5">
        <v>35831.9</v>
      </c>
      <c r="Y15" s="5"/>
      <c r="Z15" s="5">
        <v>13887.2</v>
      </c>
      <c r="AA15" s="5"/>
      <c r="AB15" s="5">
        <v>1604</v>
      </c>
      <c r="AC15" s="5"/>
      <c r="AD15" s="5">
        <f t="shared" si="0"/>
        <v>172617.60000000001</v>
      </c>
    </row>
    <row r="16" spans="1:31" x14ac:dyDescent="0.25">
      <c r="A16" s="1" t="s">
        <v>184</v>
      </c>
      <c r="B16" s="8">
        <v>35893</v>
      </c>
      <c r="C16" s="5"/>
      <c r="D16" s="5"/>
      <c r="E16" s="5" t="s">
        <v>130</v>
      </c>
      <c r="F16" s="8">
        <v>25052</v>
      </c>
      <c r="G16" s="8"/>
      <c r="H16" s="8"/>
      <c r="I16" s="8"/>
      <c r="J16" s="8"/>
      <c r="K16" s="8"/>
      <c r="L16" s="8">
        <v>9498.7000000000007</v>
      </c>
      <c r="M16" s="8"/>
      <c r="N16" s="8"/>
      <c r="O16" s="8"/>
      <c r="P16" s="8">
        <v>29438.5</v>
      </c>
      <c r="Q16" s="8"/>
      <c r="R16" s="8"/>
      <c r="S16" s="8"/>
      <c r="T16" s="8">
        <v>4298.8</v>
      </c>
      <c r="U16" s="8"/>
      <c r="V16" s="8">
        <v>54262.5</v>
      </c>
      <c r="W16" s="8"/>
      <c r="X16" s="8">
        <v>35013.1</v>
      </c>
      <c r="Y16" s="8"/>
      <c r="Z16" s="8">
        <v>13853</v>
      </c>
      <c r="AA16" s="8"/>
      <c r="AB16" s="8">
        <v>1776.5</v>
      </c>
      <c r="AC16" s="5"/>
      <c r="AD16" s="5">
        <f t="shared" si="0"/>
        <v>173193.1</v>
      </c>
    </row>
    <row r="17" spans="1:31" x14ac:dyDescent="0.25">
      <c r="A17" s="1" t="s">
        <v>519</v>
      </c>
      <c r="B17" s="8">
        <v>874</v>
      </c>
      <c r="C17" s="5"/>
      <c r="D17" s="5"/>
      <c r="E17" s="5" t="s">
        <v>135</v>
      </c>
      <c r="F17" s="5">
        <v>29324.2</v>
      </c>
      <c r="G17" s="5"/>
      <c r="H17" s="5"/>
      <c r="I17" s="5"/>
      <c r="J17" s="5"/>
      <c r="K17" s="5"/>
      <c r="L17" s="5">
        <v>15029</v>
      </c>
      <c r="M17" s="5"/>
      <c r="N17" s="5"/>
      <c r="O17" s="5"/>
      <c r="P17" s="5">
        <v>43333.95</v>
      </c>
      <c r="Q17" s="5"/>
      <c r="R17" s="5"/>
      <c r="S17" s="5"/>
      <c r="T17" s="5">
        <v>7827.6</v>
      </c>
      <c r="U17" s="5"/>
      <c r="V17" s="5">
        <v>82265.399999999994</v>
      </c>
      <c r="W17" s="5"/>
      <c r="X17" s="5">
        <v>57268.1</v>
      </c>
      <c r="Y17" s="5"/>
      <c r="Z17" s="5">
        <v>17146.7</v>
      </c>
      <c r="AA17" s="5"/>
      <c r="AB17" s="5">
        <v>1684.9</v>
      </c>
      <c r="AC17" s="5"/>
      <c r="AD17" s="5">
        <f t="shared" si="0"/>
        <v>253879.85</v>
      </c>
    </row>
    <row r="18" spans="1:31" x14ac:dyDescent="0.25">
      <c r="A18" s="1" t="s">
        <v>471</v>
      </c>
      <c r="B18" s="8">
        <v>43630</v>
      </c>
      <c r="C18" s="5"/>
      <c r="D18" s="5"/>
      <c r="E18" s="5" t="s">
        <v>139</v>
      </c>
      <c r="F18" s="5">
        <v>19954.099999999999</v>
      </c>
      <c r="G18" s="5"/>
      <c r="H18" s="5"/>
      <c r="I18" s="5"/>
      <c r="J18" s="5"/>
      <c r="K18" s="5"/>
      <c r="L18" s="5">
        <v>8302</v>
      </c>
      <c r="M18" s="5"/>
      <c r="N18" s="5"/>
      <c r="O18" s="5"/>
      <c r="P18" s="5">
        <v>25975.46</v>
      </c>
      <c r="Q18" s="5"/>
      <c r="R18" s="5"/>
      <c r="S18" s="5"/>
      <c r="T18" s="5">
        <v>5859.1</v>
      </c>
      <c r="U18" s="5"/>
      <c r="V18" s="5">
        <v>48907.3</v>
      </c>
      <c r="W18" s="5"/>
      <c r="X18" s="5">
        <v>37847.800000000003</v>
      </c>
      <c r="Y18" s="5"/>
      <c r="Z18" s="5">
        <v>20181.2</v>
      </c>
      <c r="AA18" s="5"/>
      <c r="AB18" s="5">
        <v>1550</v>
      </c>
      <c r="AC18" s="5"/>
      <c r="AD18" s="5">
        <f t="shared" si="0"/>
        <v>168576.96000000002</v>
      </c>
    </row>
    <row r="19" spans="1:31" x14ac:dyDescent="0.25">
      <c r="A19" s="1" t="s">
        <v>137</v>
      </c>
      <c r="B19" s="8">
        <v>51489</v>
      </c>
      <c r="C19" s="5"/>
      <c r="D19" s="5"/>
      <c r="E19" s="5" t="s">
        <v>140</v>
      </c>
      <c r="F19" s="5">
        <v>21348</v>
      </c>
      <c r="G19" s="5"/>
      <c r="H19" s="5"/>
      <c r="I19" s="5"/>
      <c r="J19" s="5"/>
      <c r="K19" s="5"/>
      <c r="L19" s="5">
        <v>8401.4</v>
      </c>
      <c r="M19" s="5"/>
      <c r="N19" s="5"/>
      <c r="O19" s="5"/>
      <c r="P19" s="5">
        <v>25037.4</v>
      </c>
      <c r="Q19" s="5"/>
      <c r="R19" s="5"/>
      <c r="S19" s="5"/>
      <c r="T19" s="5">
        <v>6012</v>
      </c>
      <c r="U19" s="5"/>
      <c r="V19" s="5">
        <v>53150.6</v>
      </c>
      <c r="W19" s="5"/>
      <c r="X19" s="5">
        <v>39462.300000000003</v>
      </c>
      <c r="Y19" s="5"/>
      <c r="Z19" s="5">
        <v>9294</v>
      </c>
      <c r="AA19" s="5"/>
      <c r="AB19" s="5">
        <v>1550</v>
      </c>
      <c r="AC19" s="5"/>
      <c r="AD19" s="5">
        <f t="shared" si="0"/>
        <v>164255.70000000001</v>
      </c>
    </row>
    <row r="20" spans="1:31" x14ac:dyDescent="0.25">
      <c r="A20" s="1" t="s">
        <v>201</v>
      </c>
      <c r="B20" s="8">
        <v>70210</v>
      </c>
      <c r="D20" s="5"/>
      <c r="E20" s="5" t="s">
        <v>142</v>
      </c>
      <c r="F20" s="5">
        <v>23681</v>
      </c>
      <c r="G20" s="5"/>
      <c r="H20" s="5"/>
      <c r="I20" s="5"/>
      <c r="J20" s="5"/>
      <c r="K20" s="5"/>
      <c r="L20" s="5">
        <v>10343.299999999999</v>
      </c>
      <c r="M20" s="5"/>
      <c r="N20" s="5"/>
      <c r="O20" s="5"/>
      <c r="P20" s="5">
        <v>24936.7</v>
      </c>
      <c r="Q20" s="5"/>
      <c r="R20" s="5"/>
      <c r="S20" s="5"/>
      <c r="T20" s="5">
        <v>6651.5</v>
      </c>
      <c r="U20" s="5"/>
      <c r="V20" s="5">
        <v>48111.8</v>
      </c>
      <c r="W20" s="5"/>
      <c r="X20" s="5">
        <v>37252.199999999997</v>
      </c>
      <c r="Y20" s="5"/>
      <c r="Z20" s="5">
        <v>7625</v>
      </c>
      <c r="AA20" s="5"/>
      <c r="AB20" s="5">
        <v>1806</v>
      </c>
      <c r="AC20" s="5"/>
      <c r="AD20" s="5">
        <f t="shared" si="0"/>
        <v>160407.5</v>
      </c>
    </row>
    <row r="21" spans="1:31" x14ac:dyDescent="0.25">
      <c r="A21" s="1" t="s">
        <v>501</v>
      </c>
      <c r="B21" s="8">
        <v>18558</v>
      </c>
      <c r="C21" s="5"/>
      <c r="D21" s="5"/>
      <c r="E21" s="5" t="s">
        <v>144</v>
      </c>
      <c r="F21" s="5">
        <v>29926</v>
      </c>
      <c r="G21" s="5"/>
      <c r="H21" s="5"/>
      <c r="I21" s="5"/>
      <c r="J21" s="5"/>
      <c r="K21" s="5"/>
      <c r="L21" s="5">
        <v>9513.7999999999993</v>
      </c>
      <c r="M21" s="5"/>
      <c r="N21" s="5"/>
      <c r="O21" s="5"/>
      <c r="P21" s="5">
        <v>21368.65</v>
      </c>
      <c r="Q21" s="5"/>
      <c r="R21" s="5"/>
      <c r="S21" s="5"/>
      <c r="T21" s="5">
        <v>4540.1000000000004</v>
      </c>
      <c r="U21" s="5"/>
      <c r="V21" s="5">
        <v>47555.5</v>
      </c>
      <c r="W21" s="5"/>
      <c r="X21" s="5">
        <v>43632.2</v>
      </c>
      <c r="Y21" s="5"/>
      <c r="Z21" s="5">
        <v>11996.9</v>
      </c>
      <c r="AA21" s="5"/>
      <c r="AB21" s="5">
        <v>1550</v>
      </c>
      <c r="AC21" s="5"/>
      <c r="AD21" s="5">
        <f>SUM(F21:AB21)</f>
        <v>170083.15</v>
      </c>
      <c r="AE21" s="5">
        <f>SUM(AD10:AD21)</f>
        <v>2249622.16</v>
      </c>
    </row>
    <row r="22" spans="1:31" x14ac:dyDescent="0.25">
      <c r="A22" s="1" t="s">
        <v>228</v>
      </c>
      <c r="B22" s="8">
        <v>54963.5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x14ac:dyDescent="0.25">
      <c r="A23" s="1" t="s">
        <v>208</v>
      </c>
      <c r="B23" s="8">
        <v>30795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1" x14ac:dyDescent="0.25">
      <c r="A24" s="1" t="s">
        <v>182</v>
      </c>
      <c r="B24" s="8">
        <v>48396</v>
      </c>
      <c r="C24" s="5"/>
      <c r="D24" s="111" t="s">
        <v>521</v>
      </c>
      <c r="E24" s="5"/>
      <c r="F24" s="5">
        <f>SUM(F10:F21)</f>
        <v>315124.09999999998</v>
      </c>
      <c r="G24" s="5"/>
      <c r="H24" s="5"/>
      <c r="I24" s="5"/>
      <c r="J24" s="5"/>
      <c r="K24" s="5"/>
      <c r="L24" s="5">
        <f>SUM(L10:L21)</f>
        <v>119872.7</v>
      </c>
      <c r="M24" s="5"/>
      <c r="N24" s="5"/>
      <c r="O24" s="5"/>
      <c r="P24" s="5">
        <f>SUM(P10:P21)</f>
        <v>355998.36000000004</v>
      </c>
      <c r="Q24" s="5"/>
      <c r="R24" s="5"/>
      <c r="S24" s="5"/>
      <c r="T24" s="5">
        <f>SUM(T10:T21)</f>
        <v>70052.2</v>
      </c>
      <c r="U24" s="5"/>
      <c r="V24" s="5">
        <f>SUM(V10:V21)</f>
        <v>693770.8</v>
      </c>
      <c r="W24" s="5"/>
      <c r="X24" s="5">
        <f>SUM(X10:X21)</f>
        <v>519844.39999999997</v>
      </c>
      <c r="Y24" s="5"/>
      <c r="Z24" s="5">
        <f>SUM(Z10:Z21)</f>
        <v>155042.49999999997</v>
      </c>
      <c r="AA24" s="5"/>
      <c r="AB24" s="5">
        <f>SUM(AB10:AB21)</f>
        <v>19917.099999999999</v>
      </c>
      <c r="AC24" s="5"/>
      <c r="AD24" s="5">
        <f>SUM(F24:AC24)</f>
        <v>2249622.16</v>
      </c>
      <c r="AE24" s="5">
        <f>SUM(AD10:AD21)-AD24</f>
        <v>0</v>
      </c>
    </row>
    <row r="25" spans="1:31" x14ac:dyDescent="0.25">
      <c r="A25" s="1" t="s">
        <v>138</v>
      </c>
      <c r="B25" s="8">
        <v>73376</v>
      </c>
      <c r="C25" s="5"/>
      <c r="D25" s="11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 x14ac:dyDescent="0.25">
      <c r="A26" s="1" t="s">
        <v>504</v>
      </c>
      <c r="B26" s="8">
        <v>41492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>
        <f>+AD24-B68</f>
        <v>0.46000000042840838</v>
      </c>
    </row>
    <row r="27" spans="1:31" x14ac:dyDescent="0.25">
      <c r="A27" s="1" t="s">
        <v>485</v>
      </c>
      <c r="B27" s="8">
        <v>15555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x14ac:dyDescent="0.25">
      <c r="A28" s="1" t="s">
        <v>223</v>
      </c>
      <c r="B28" s="8">
        <v>42510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x14ac:dyDescent="0.25">
      <c r="A29" s="1" t="s">
        <v>520</v>
      </c>
      <c r="B29" s="8">
        <v>24171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1" x14ac:dyDescent="0.25">
      <c r="A30" s="1" t="s">
        <v>229</v>
      </c>
      <c r="B30" s="8">
        <v>5044.7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1" x14ac:dyDescent="0.25">
      <c r="A32" s="1" t="s">
        <v>442</v>
      </c>
      <c r="B32" s="8">
        <v>49589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x14ac:dyDescent="0.25">
      <c r="A33" s="1" t="s">
        <v>209</v>
      </c>
      <c r="B33" s="8">
        <v>44564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x14ac:dyDescent="0.25">
      <c r="A34" s="1" t="s">
        <v>145</v>
      </c>
      <c r="B34" s="8">
        <v>100364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x14ac:dyDescent="0.25">
      <c r="A35" s="1" t="s">
        <v>499</v>
      </c>
      <c r="B35" s="8">
        <v>41309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x14ac:dyDescent="0.25">
      <c r="A36" s="1" t="s">
        <v>224</v>
      </c>
      <c r="B36" s="8">
        <v>47203.6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x14ac:dyDescent="0.25">
      <c r="A37" s="1" t="s">
        <v>146</v>
      </c>
      <c r="B37" s="8">
        <v>237</v>
      </c>
      <c r="C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x14ac:dyDescent="0.25">
      <c r="A38" s="1" t="s">
        <v>500</v>
      </c>
      <c r="B38" s="8">
        <v>10824.5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x14ac:dyDescent="0.25">
      <c r="A39" s="1" t="s">
        <v>230</v>
      </c>
      <c r="B39" s="8">
        <v>56418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x14ac:dyDescent="0.25">
      <c r="A40" s="1" t="s">
        <v>522</v>
      </c>
      <c r="B40" s="8">
        <v>1547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x14ac:dyDescent="0.25">
      <c r="A41" s="1" t="s">
        <v>187</v>
      </c>
      <c r="B41" s="8">
        <v>66561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x14ac:dyDescent="0.25">
      <c r="A42" s="1" t="s">
        <v>147</v>
      </c>
      <c r="B42" s="8">
        <v>77247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x14ac:dyDescent="0.25">
      <c r="A43" s="1" t="s">
        <v>148</v>
      </c>
      <c r="B43" s="8">
        <v>88219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x14ac:dyDescent="0.25">
      <c r="A44" s="1" t="s">
        <v>484</v>
      </c>
      <c r="B44" s="8">
        <v>47518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30" x14ac:dyDescent="0.25">
      <c r="A45" s="1" t="s">
        <v>502</v>
      </c>
      <c r="B45" s="8">
        <v>38728.800000000003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 x14ac:dyDescent="0.25">
      <c r="A46" s="1" t="s">
        <v>523</v>
      </c>
      <c r="B46" s="8">
        <v>32332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0" x14ac:dyDescent="0.25">
      <c r="A47" s="1" t="s">
        <v>472</v>
      </c>
      <c r="B47" s="8">
        <v>57100.5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x14ac:dyDescent="0.25">
      <c r="A48" s="1" t="s">
        <v>210</v>
      </c>
      <c r="B48" s="8">
        <v>55868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30" x14ac:dyDescent="0.25">
      <c r="A49" s="1" t="s">
        <v>503</v>
      </c>
      <c r="B49" s="8">
        <v>42985.7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:30" x14ac:dyDescent="0.25">
      <c r="A50" s="1" t="s">
        <v>473</v>
      </c>
      <c r="B50" s="8">
        <v>59396</v>
      </c>
    </row>
    <row r="51" spans="1:30" x14ac:dyDescent="0.25">
      <c r="A51" s="1" t="s">
        <v>505</v>
      </c>
      <c r="B51" s="8">
        <v>11481.7</v>
      </c>
    </row>
    <row r="52" spans="1:30" x14ac:dyDescent="0.25">
      <c r="A52" s="1" t="s">
        <v>443</v>
      </c>
      <c r="B52" s="8">
        <f>63130-2140</f>
        <v>60990</v>
      </c>
    </row>
    <row r="53" spans="1:30" x14ac:dyDescent="0.25">
      <c r="A53" s="1" t="s">
        <v>444</v>
      </c>
      <c r="B53" s="8">
        <v>68222</v>
      </c>
    </row>
    <row r="54" spans="1:30" x14ac:dyDescent="0.25">
      <c r="A54" s="1" t="s">
        <v>524</v>
      </c>
      <c r="B54" s="8">
        <v>6391.7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x14ac:dyDescent="0.25">
      <c r="A55" s="1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 x14ac:dyDescent="0.25">
      <c r="B56" s="8">
        <f>SUM(B11:B55)</f>
        <v>1813635.6999999997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x14ac:dyDescent="0.25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x14ac:dyDescent="0.25">
      <c r="A58" s="1" t="s">
        <v>131</v>
      </c>
      <c r="B58" s="8">
        <v>115801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x14ac:dyDescent="0.25">
      <c r="A59" s="1" t="s">
        <v>136</v>
      </c>
      <c r="B59" s="8">
        <v>111511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x14ac:dyDescent="0.25">
      <c r="A60" s="1" t="s">
        <v>141</v>
      </c>
      <c r="B60" s="8">
        <v>16990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 x14ac:dyDescent="0.25">
      <c r="A61" s="1" t="s">
        <v>143</v>
      </c>
      <c r="B61" s="8">
        <v>38200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 x14ac:dyDescent="0.25">
      <c r="A62" s="1" t="s">
        <v>150</v>
      </c>
      <c r="B62" s="153">
        <v>42675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x14ac:dyDescent="0.25">
      <c r="A63" s="1" t="s">
        <v>149</v>
      </c>
      <c r="B63" s="8">
        <v>110809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 x14ac:dyDescent="0.2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:31" x14ac:dyDescent="0.25">
      <c r="B65" s="8">
        <f>SUM(B58:B64)</f>
        <v>435986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:31" x14ac:dyDescent="0.25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5"/>
      <c r="AD66" s="5"/>
    </row>
    <row r="67" spans="1:31" ht="15.75" customHeight="1" x14ac:dyDescent="0.25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</row>
    <row r="68" spans="1:31" s="52" customFormat="1" ht="19.5" x14ac:dyDescent="0.35">
      <c r="A68" s="49" t="s">
        <v>151</v>
      </c>
      <c r="B68" s="136">
        <f>B56+B65</f>
        <v>2249621.6999999997</v>
      </c>
      <c r="C68" s="50"/>
      <c r="D68" s="50">
        <f>SUM(D10:D66)</f>
        <v>0</v>
      </c>
      <c r="E68" s="50"/>
      <c r="F68" s="50">
        <f>+F24</f>
        <v>315124.09999999998</v>
      </c>
      <c r="G68" s="50"/>
      <c r="H68" s="50">
        <f>SUM(H10:H66)</f>
        <v>0</v>
      </c>
      <c r="I68" s="50"/>
      <c r="J68" s="50">
        <f>SUM(J10:J66)</f>
        <v>0</v>
      </c>
      <c r="K68" s="50"/>
      <c r="L68" s="50">
        <f>+L24</f>
        <v>119872.7</v>
      </c>
      <c r="M68" s="50"/>
      <c r="N68" s="50">
        <f>SUM(N10:N66)</f>
        <v>0</v>
      </c>
      <c r="O68" s="50"/>
      <c r="P68" s="50">
        <f>+P24</f>
        <v>355998.36000000004</v>
      </c>
      <c r="Q68" s="50"/>
      <c r="R68" s="50">
        <f>SUM(R10:R66)</f>
        <v>0</v>
      </c>
      <c r="S68" s="50"/>
      <c r="T68" s="50">
        <f>+T24</f>
        <v>70052.2</v>
      </c>
      <c r="U68" s="50"/>
      <c r="V68" s="50">
        <f>+V24</f>
        <v>693770.8</v>
      </c>
      <c r="W68" s="50"/>
      <c r="X68" s="50">
        <f>+X24</f>
        <v>519844.39999999997</v>
      </c>
      <c r="Y68" s="50"/>
      <c r="Z68" s="50">
        <f>+Z24</f>
        <v>155042.49999999997</v>
      </c>
      <c r="AA68" s="50"/>
      <c r="AB68" s="50">
        <f>+AB24</f>
        <v>19917.099999999999</v>
      </c>
      <c r="AC68" s="51">
        <f>SUM(F68:AB68)-B68</f>
        <v>0.46000000042840838</v>
      </c>
      <c r="AD68" s="51"/>
    </row>
    <row r="69" spans="1:31" x14ac:dyDescent="0.25">
      <c r="C69" s="39"/>
      <c r="D69" s="39"/>
      <c r="E69" s="39"/>
      <c r="F69" s="39">
        <f>+F68/B68</f>
        <v>0.14007870745556908</v>
      </c>
      <c r="G69" s="39"/>
      <c r="H69" s="39">
        <f>H68/B68</f>
        <v>0</v>
      </c>
      <c r="I69" s="39"/>
      <c r="J69" s="39">
        <f>J68/B68</f>
        <v>0</v>
      </c>
      <c r="K69" s="39"/>
      <c r="L69" s="39">
        <f>+L68/B68</f>
        <v>5.3285714660380457E-2</v>
      </c>
      <c r="M69" s="39"/>
      <c r="N69" s="39">
        <f>N68/B68</f>
        <v>0</v>
      </c>
      <c r="O69" s="39"/>
      <c r="P69" s="39">
        <f>+P68/B68</f>
        <v>0.1582481001138992</v>
      </c>
      <c r="Q69" s="39"/>
      <c r="R69" s="39">
        <f>R68/B68</f>
        <v>0</v>
      </c>
      <c r="S69" s="39"/>
      <c r="T69" s="39">
        <f>+T68/B68</f>
        <v>3.1139546706897434E-2</v>
      </c>
      <c r="U69" s="39"/>
      <c r="V69" s="39">
        <f>+V68/B68</f>
        <v>0.30839442916113413</v>
      </c>
      <c r="W69" s="39"/>
      <c r="X69" s="39">
        <f>+X68/B68</f>
        <v>0.23108080794206423</v>
      </c>
      <c r="Y69" s="39"/>
      <c r="Z69" s="39">
        <f>+Z68/B68</f>
        <v>6.8919365420417128E-2</v>
      </c>
      <c r="AA69" s="39"/>
      <c r="AB69" s="39">
        <f>+AB68/B68</f>
        <v>8.8535330184626154E-3</v>
      </c>
      <c r="AC69" s="5">
        <f>SUM(F69:AB69)-B70</f>
        <v>1.0000002044788243</v>
      </c>
      <c r="AE69" s="39">
        <f>SUM(F69:AD69)</f>
        <v>2.0000004089576486</v>
      </c>
    </row>
    <row r="71" spans="1:31" x14ac:dyDescent="0.25">
      <c r="A71" s="1"/>
      <c r="D71" s="5"/>
      <c r="F71" s="5"/>
      <c r="J71" s="5"/>
      <c r="L71" s="5"/>
      <c r="N71" s="5"/>
      <c r="P71" s="5"/>
      <c r="R71" s="5"/>
      <c r="T71" s="5"/>
      <c r="V71" s="5"/>
      <c r="X71" s="5"/>
      <c r="Z71" s="5"/>
      <c r="AB71" s="5"/>
      <c r="AC71" s="5"/>
    </row>
    <row r="72" spans="1:31" x14ac:dyDescent="0.25">
      <c r="A72" s="1" t="s">
        <v>110</v>
      </c>
      <c r="D72" s="5"/>
      <c r="F72" s="5"/>
      <c r="J72" s="53" t="s">
        <v>152</v>
      </c>
      <c r="L72" s="5"/>
      <c r="N72" s="5"/>
      <c r="P72" s="5"/>
      <c r="R72" s="5"/>
      <c r="T72" s="5"/>
      <c r="V72" s="5"/>
      <c r="X72" s="5"/>
      <c r="Z72" s="5"/>
      <c r="AB72" s="5"/>
      <c r="AC72" s="5"/>
    </row>
    <row r="73" spans="1:31" x14ac:dyDescent="0.25">
      <c r="D73" s="5"/>
      <c r="F73" s="5"/>
      <c r="J73" s="5"/>
      <c r="L73" s="5"/>
      <c r="N73" s="5"/>
      <c r="P73" s="5"/>
      <c r="R73" s="5"/>
      <c r="T73" s="5"/>
      <c r="V73" s="5"/>
      <c r="X73" s="5"/>
      <c r="Z73" s="5"/>
      <c r="AB73" s="5"/>
      <c r="AC73" s="5"/>
    </row>
    <row r="74" spans="1:31" x14ac:dyDescent="0.25">
      <c r="D74" s="54" t="s">
        <v>525</v>
      </c>
      <c r="F74" s="5"/>
      <c r="J74" s="5"/>
      <c r="L74" s="5"/>
      <c r="N74" s="5"/>
      <c r="P74" s="5"/>
      <c r="R74" s="5"/>
      <c r="T74" s="5"/>
      <c r="V74" s="5"/>
      <c r="X74" s="5"/>
      <c r="Z74" s="5"/>
      <c r="AB74" s="5"/>
      <c r="AC74" s="5"/>
    </row>
    <row r="75" spans="1:31" x14ac:dyDescent="0.25">
      <c r="D75" s="5"/>
      <c r="F75" s="5"/>
      <c r="J75" s="5"/>
      <c r="L75" s="5"/>
      <c r="N75" s="5"/>
      <c r="P75" s="5"/>
      <c r="R75" s="5"/>
      <c r="T75" s="5"/>
      <c r="V75" s="5"/>
      <c r="X75" s="5"/>
      <c r="Z75" s="5"/>
      <c r="AB75" s="5"/>
      <c r="AC75" s="5"/>
    </row>
    <row r="76" spans="1:31" x14ac:dyDescent="0.25">
      <c r="D76" s="5"/>
      <c r="F76" s="5"/>
      <c r="J76" s="5"/>
      <c r="L76" s="5"/>
      <c r="N76" s="5"/>
      <c r="P76" s="5"/>
      <c r="R76" s="5"/>
      <c r="T76" s="5"/>
      <c r="V76" s="5"/>
      <c r="X76" s="5"/>
      <c r="Z76" s="5"/>
      <c r="AB76" s="5"/>
      <c r="AC76" s="5"/>
    </row>
    <row r="77" spans="1:31" x14ac:dyDescent="0.25">
      <c r="D77" s="54" t="s">
        <v>153</v>
      </c>
      <c r="F77" s="54" t="s">
        <v>154</v>
      </c>
      <c r="H77" s="1" t="s">
        <v>109</v>
      </c>
      <c r="J77" s="54" t="s">
        <v>155</v>
      </c>
      <c r="L77" s="54" t="s">
        <v>156</v>
      </c>
      <c r="R77" s="5"/>
      <c r="T77" s="5"/>
      <c r="V77" s="5"/>
      <c r="X77" s="5"/>
      <c r="Z77" s="5"/>
      <c r="AB77" s="5"/>
      <c r="AC77" s="5"/>
    </row>
    <row r="78" spans="1:31" x14ac:dyDescent="0.25">
      <c r="A78" s="1" t="s">
        <v>112</v>
      </c>
      <c r="B78" s="27" t="s">
        <v>113</v>
      </c>
      <c r="D78" s="54" t="s">
        <v>157</v>
      </c>
      <c r="F78" s="54" t="s">
        <v>108</v>
      </c>
      <c r="H78" s="1" t="s">
        <v>91</v>
      </c>
      <c r="J78" s="54" t="s">
        <v>158</v>
      </c>
      <c r="L78" s="54" t="s">
        <v>54</v>
      </c>
      <c r="R78" s="5"/>
      <c r="T78" s="5"/>
      <c r="V78" s="5"/>
      <c r="X78" s="5"/>
      <c r="Z78" s="5"/>
      <c r="AB78" s="5"/>
      <c r="AC78" s="5"/>
    </row>
    <row r="79" spans="1:31" x14ac:dyDescent="0.25">
      <c r="B79" s="27" t="s">
        <v>124</v>
      </c>
      <c r="D79" s="5"/>
      <c r="F79" s="5"/>
      <c r="J79" s="5"/>
      <c r="L79" s="5"/>
      <c r="R79" s="5"/>
      <c r="T79" s="5"/>
      <c r="V79" s="5"/>
      <c r="X79" s="5"/>
      <c r="Z79" s="5"/>
      <c r="AB79" s="5"/>
      <c r="AC79" s="5"/>
    </row>
    <row r="80" spans="1:31" x14ac:dyDescent="0.25">
      <c r="C80" s="5"/>
    </row>
    <row r="81" spans="1:12" x14ac:dyDescent="0.25">
      <c r="A81" s="1" t="str">
        <f>+A11</f>
        <v xml:space="preserve">     Abbe, Linda</v>
      </c>
      <c r="B81" s="8">
        <f>+B11</f>
        <v>50388</v>
      </c>
      <c r="C81" s="5"/>
      <c r="D81" s="5">
        <f>+B81*H81</f>
        <v>1612.4159999999999</v>
      </c>
      <c r="E81" s="5"/>
      <c r="F81" s="55">
        <v>43440</v>
      </c>
      <c r="G81" s="5"/>
      <c r="H81" s="14">
        <v>3.2000000000000001E-2</v>
      </c>
      <c r="I81" s="5"/>
      <c r="J81" s="5">
        <f t="shared" ref="J81:J99" si="1">D81</f>
        <v>1612.4159999999999</v>
      </c>
      <c r="K81" s="5"/>
      <c r="L81" s="5">
        <f t="shared" ref="L81:L99" si="2">B81+J81</f>
        <v>52000.415999999997</v>
      </c>
    </row>
    <row r="82" spans="1:12" x14ac:dyDescent="0.25">
      <c r="A82" s="1" t="str">
        <f t="shared" ref="A82:B82" si="3">+A12</f>
        <v xml:space="preserve">     Blagrove, Sherese</v>
      </c>
      <c r="B82" s="8">
        <f t="shared" si="3"/>
        <v>9060</v>
      </c>
      <c r="C82" s="5"/>
      <c r="D82" s="5">
        <f t="shared" ref="D82:D99" si="4">+B82*H82</f>
        <v>271.8</v>
      </c>
      <c r="E82" s="5"/>
      <c r="F82" s="55">
        <v>43440</v>
      </c>
      <c r="G82" s="5"/>
      <c r="H82" s="14">
        <v>0.03</v>
      </c>
      <c r="I82" s="5"/>
      <c r="J82" s="5">
        <f t="shared" si="1"/>
        <v>271.8</v>
      </c>
      <c r="K82" s="5"/>
      <c r="L82" s="5">
        <f t="shared" si="2"/>
        <v>9331.7999999999993</v>
      </c>
    </row>
    <row r="83" spans="1:12" x14ac:dyDescent="0.25">
      <c r="A83" s="1" t="str">
        <f t="shared" ref="A83:B83" si="5">+A13</f>
        <v xml:space="preserve">     Bowers, Donald</v>
      </c>
      <c r="B83" s="8">
        <f t="shared" si="5"/>
        <v>61000</v>
      </c>
      <c r="C83" s="5"/>
      <c r="D83" s="5">
        <f t="shared" si="4"/>
        <v>4148</v>
      </c>
      <c r="E83" s="5"/>
      <c r="F83" s="55">
        <v>43440</v>
      </c>
      <c r="G83" s="5"/>
      <c r="H83" s="14">
        <v>6.8000000000000005E-2</v>
      </c>
      <c r="I83" s="5"/>
      <c r="J83" s="5">
        <f t="shared" si="1"/>
        <v>4148</v>
      </c>
      <c r="K83" s="5"/>
      <c r="L83" s="5">
        <f t="shared" si="2"/>
        <v>65148</v>
      </c>
    </row>
    <row r="84" spans="1:12" x14ac:dyDescent="0.25">
      <c r="A84" s="1" t="str">
        <f t="shared" ref="A84:B84" si="6">+A14</f>
        <v xml:space="preserve">     Collette, Martin</v>
      </c>
      <c r="B84" s="8">
        <f t="shared" si="6"/>
        <v>46703</v>
      </c>
      <c r="C84" s="5"/>
      <c r="D84" s="5">
        <f t="shared" si="4"/>
        <v>1587.902</v>
      </c>
      <c r="E84" s="5"/>
      <c r="F84" s="55">
        <v>43440</v>
      </c>
      <c r="G84" s="5"/>
      <c r="H84" s="14">
        <v>3.4000000000000002E-2</v>
      </c>
      <c r="I84" s="5"/>
      <c r="J84" s="5">
        <f t="shared" si="1"/>
        <v>1587.902</v>
      </c>
      <c r="K84" s="5"/>
      <c r="L84" s="5">
        <f t="shared" si="2"/>
        <v>48290.902000000002</v>
      </c>
    </row>
    <row r="85" spans="1:12" x14ac:dyDescent="0.25">
      <c r="A85" s="1" t="str">
        <f t="shared" ref="A85:B85" si="7">+A15</f>
        <v xml:space="preserve">     Cross, Lori</v>
      </c>
      <c r="B85" s="8">
        <f t="shared" si="7"/>
        <v>24430</v>
      </c>
      <c r="C85" s="5"/>
      <c r="D85" s="5">
        <f t="shared" si="4"/>
        <v>708.47</v>
      </c>
      <c r="E85" s="5"/>
      <c r="F85" s="55">
        <v>43440</v>
      </c>
      <c r="G85" s="5"/>
      <c r="H85" s="14">
        <v>2.9000000000000001E-2</v>
      </c>
      <c r="I85" s="5"/>
      <c r="J85" s="5">
        <f t="shared" si="1"/>
        <v>708.47</v>
      </c>
      <c r="K85" s="5"/>
      <c r="L85" s="5">
        <f t="shared" si="2"/>
        <v>25138.47</v>
      </c>
    </row>
    <row r="86" spans="1:12" x14ac:dyDescent="0.25">
      <c r="A86" s="1" t="str">
        <f t="shared" ref="A86:B86" si="8">+A16</f>
        <v xml:space="preserve">     Cullings, Art</v>
      </c>
      <c r="B86" s="8">
        <f t="shared" si="8"/>
        <v>35893</v>
      </c>
      <c r="C86" s="5"/>
      <c r="D86" s="5">
        <f t="shared" si="4"/>
        <v>717.86</v>
      </c>
      <c r="E86" s="5"/>
      <c r="F86" s="55">
        <v>43440</v>
      </c>
      <c r="G86" s="5"/>
      <c r="H86" s="14">
        <v>0.02</v>
      </c>
      <c r="I86" s="5"/>
      <c r="J86" s="5">
        <f t="shared" si="1"/>
        <v>717.86</v>
      </c>
      <c r="K86" s="5"/>
      <c r="L86" s="5">
        <f t="shared" si="2"/>
        <v>36610.86</v>
      </c>
    </row>
    <row r="87" spans="1:12" x14ac:dyDescent="0.25">
      <c r="A87" s="1" t="str">
        <f t="shared" ref="A87:B87" si="9">+A17</f>
        <v xml:space="preserve">     Hansen, Hunter</v>
      </c>
      <c r="B87" s="8">
        <f t="shared" si="9"/>
        <v>874</v>
      </c>
      <c r="C87" s="5"/>
      <c r="D87" s="5">
        <f t="shared" si="4"/>
        <v>166.06</v>
      </c>
      <c r="E87" s="5"/>
      <c r="F87" s="55">
        <v>43440</v>
      </c>
      <c r="G87" s="5"/>
      <c r="H87" s="14">
        <v>0.19</v>
      </c>
      <c r="I87" s="5"/>
      <c r="J87" s="5">
        <f t="shared" si="1"/>
        <v>166.06</v>
      </c>
      <c r="K87" s="5"/>
      <c r="L87" s="5">
        <f t="shared" si="2"/>
        <v>1040.06</v>
      </c>
    </row>
    <row r="88" spans="1:12" x14ac:dyDescent="0.25">
      <c r="A88" s="1" t="str">
        <f t="shared" ref="A88:B88" si="10">+A18</f>
        <v xml:space="preserve">     Hatkoff, Jennifer</v>
      </c>
      <c r="B88" s="8">
        <f t="shared" si="10"/>
        <v>43630</v>
      </c>
      <c r="C88" s="5"/>
      <c r="D88" s="5">
        <f t="shared" si="4"/>
        <v>2094.2400000000002</v>
      </c>
      <c r="E88" s="5"/>
      <c r="F88" s="55">
        <v>43440</v>
      </c>
      <c r="G88" s="5"/>
      <c r="H88" s="14">
        <v>4.8000000000000001E-2</v>
      </c>
      <c r="I88" s="5"/>
      <c r="J88" s="5">
        <f t="shared" si="1"/>
        <v>2094.2400000000002</v>
      </c>
      <c r="K88" s="5"/>
      <c r="L88" s="5">
        <f t="shared" si="2"/>
        <v>45724.24</v>
      </c>
    </row>
    <row r="89" spans="1:12" x14ac:dyDescent="0.25">
      <c r="A89" s="1" t="str">
        <f t="shared" ref="A89:B89" si="11">+A19</f>
        <v xml:space="preserve">     Haynes, Sheila</v>
      </c>
      <c r="B89" s="8">
        <f t="shared" si="11"/>
        <v>51489</v>
      </c>
      <c r="C89" s="5"/>
      <c r="D89" s="5">
        <f t="shared" si="4"/>
        <v>4325.076</v>
      </c>
      <c r="E89" s="5"/>
      <c r="F89" s="55">
        <v>43440</v>
      </c>
      <c r="G89" s="5"/>
      <c r="H89" s="14">
        <v>8.4000000000000005E-2</v>
      </c>
      <c r="I89" s="5"/>
      <c r="J89" s="5">
        <f t="shared" ref="J89:J90" si="12">D89</f>
        <v>4325.076</v>
      </c>
      <c r="K89" s="5"/>
      <c r="L89" s="5">
        <f t="shared" si="2"/>
        <v>55814.076000000001</v>
      </c>
    </row>
    <row r="90" spans="1:12" x14ac:dyDescent="0.25">
      <c r="A90" s="1" t="str">
        <f t="shared" ref="A90:B90" si="13">+A20</f>
        <v xml:space="preserve">     Hellickson, Carol</v>
      </c>
      <c r="B90" s="8">
        <f t="shared" si="13"/>
        <v>70210</v>
      </c>
      <c r="C90" s="5"/>
      <c r="D90" s="5">
        <f t="shared" si="4"/>
        <v>2948.82</v>
      </c>
      <c r="E90" s="5"/>
      <c r="F90" s="55">
        <v>43440</v>
      </c>
      <c r="G90" s="5"/>
      <c r="H90" s="14">
        <v>4.2000000000000003E-2</v>
      </c>
      <c r="I90" s="5"/>
      <c r="J90" s="5">
        <f t="shared" si="12"/>
        <v>2948.82</v>
      </c>
      <c r="K90" s="5"/>
      <c r="L90" s="5">
        <f t="shared" si="2"/>
        <v>73158.820000000007</v>
      </c>
    </row>
    <row r="91" spans="1:12" x14ac:dyDescent="0.25">
      <c r="A91" s="1" t="str">
        <f t="shared" ref="A91:B91" si="14">+A21</f>
        <v xml:space="preserve">     Hood, Stephanie</v>
      </c>
      <c r="B91" s="8">
        <f t="shared" si="14"/>
        <v>18558</v>
      </c>
      <c r="C91" s="5"/>
      <c r="D91" s="5">
        <f t="shared" si="4"/>
        <v>816.55199999999991</v>
      </c>
      <c r="E91" s="5"/>
      <c r="F91" s="55">
        <v>43440</v>
      </c>
      <c r="G91" s="5"/>
      <c r="H91" s="14">
        <v>4.3999999999999997E-2</v>
      </c>
      <c r="I91" s="5"/>
      <c r="J91" s="5">
        <f t="shared" si="1"/>
        <v>816.55199999999991</v>
      </c>
      <c r="K91" s="5"/>
      <c r="L91" s="5">
        <f t="shared" si="2"/>
        <v>19374.552</v>
      </c>
    </row>
    <row r="92" spans="1:12" x14ac:dyDescent="0.25">
      <c r="A92" s="1" t="str">
        <f t="shared" ref="A92:B92" si="15">+A22</f>
        <v xml:space="preserve">     Inks, Danielle</v>
      </c>
      <c r="B92" s="8">
        <f t="shared" si="15"/>
        <v>54963.5</v>
      </c>
      <c r="C92" s="5"/>
      <c r="D92" s="5">
        <f t="shared" si="4"/>
        <v>1703.8685</v>
      </c>
      <c r="E92" s="5"/>
      <c r="F92" s="55">
        <v>43440</v>
      </c>
      <c r="G92" s="5"/>
      <c r="H92" s="14">
        <v>3.1E-2</v>
      </c>
      <c r="I92" s="5"/>
      <c r="J92" s="5">
        <f t="shared" si="1"/>
        <v>1703.8685</v>
      </c>
      <c r="K92" s="5"/>
      <c r="L92" s="5">
        <f t="shared" si="2"/>
        <v>56667.368499999997</v>
      </c>
    </row>
    <row r="93" spans="1:12" x14ac:dyDescent="0.25">
      <c r="A93" s="1" t="str">
        <f t="shared" ref="A93:B93" si="16">+A23</f>
        <v xml:space="preserve">     Miller Jr., Sid</v>
      </c>
      <c r="B93" s="8">
        <f t="shared" si="16"/>
        <v>30795</v>
      </c>
      <c r="C93" s="5"/>
      <c r="D93" s="5">
        <f t="shared" si="4"/>
        <v>1354.98</v>
      </c>
      <c r="E93" s="5"/>
      <c r="F93" s="55">
        <v>43440</v>
      </c>
      <c r="G93" s="5"/>
      <c r="H93" s="14">
        <v>4.3999999999999997E-2</v>
      </c>
      <c r="I93" s="5"/>
      <c r="J93" s="5">
        <f t="shared" si="1"/>
        <v>1354.98</v>
      </c>
      <c r="K93" s="5"/>
      <c r="L93" s="5">
        <f t="shared" si="2"/>
        <v>32149.98</v>
      </c>
    </row>
    <row r="94" spans="1:12" x14ac:dyDescent="0.25">
      <c r="A94" s="1" t="str">
        <f t="shared" ref="A94:B94" si="17">+A24</f>
        <v xml:space="preserve">     Murakami, Irene</v>
      </c>
      <c r="B94" s="8">
        <f t="shared" si="17"/>
        <v>48396</v>
      </c>
      <c r="C94" s="5"/>
      <c r="D94" s="5">
        <f t="shared" si="4"/>
        <v>919.524</v>
      </c>
      <c r="E94" s="5"/>
      <c r="F94" s="55">
        <v>43440</v>
      </c>
      <c r="G94" s="5"/>
      <c r="H94" s="14">
        <v>1.9E-2</v>
      </c>
      <c r="I94" s="5"/>
      <c r="J94" s="5">
        <f t="shared" si="1"/>
        <v>919.524</v>
      </c>
      <c r="K94" s="5"/>
      <c r="L94" s="5">
        <f t="shared" si="2"/>
        <v>49315.523999999998</v>
      </c>
    </row>
    <row r="95" spans="1:12" x14ac:dyDescent="0.25">
      <c r="A95" s="1" t="str">
        <f t="shared" ref="A95:B95" si="18">+A25</f>
        <v xml:space="preserve">     Peredo, Tony</v>
      </c>
      <c r="B95" s="8">
        <f t="shared" si="18"/>
        <v>73376</v>
      </c>
      <c r="C95" s="5"/>
      <c r="D95" s="5">
        <f t="shared" si="4"/>
        <v>1467.52</v>
      </c>
      <c r="E95" s="5"/>
      <c r="F95" s="55">
        <v>43440</v>
      </c>
      <c r="G95" s="5"/>
      <c r="H95" s="14">
        <v>0.02</v>
      </c>
      <c r="I95" s="5"/>
      <c r="J95" s="5">
        <f t="shared" si="1"/>
        <v>1467.52</v>
      </c>
      <c r="K95" s="5"/>
      <c r="L95" s="5">
        <f t="shared" si="2"/>
        <v>74843.520000000004</v>
      </c>
    </row>
    <row r="96" spans="1:12" x14ac:dyDescent="0.25">
      <c r="A96" s="1" t="str">
        <f t="shared" ref="A96:B96" si="19">+A26</f>
        <v xml:space="preserve">     Petty, Casey</v>
      </c>
      <c r="B96" s="8">
        <f t="shared" si="19"/>
        <v>41492</v>
      </c>
      <c r="C96" s="5"/>
      <c r="D96" s="5">
        <f t="shared" si="4"/>
        <v>1576.6959999999999</v>
      </c>
      <c r="E96" s="5"/>
      <c r="F96" s="55">
        <v>43440</v>
      </c>
      <c r="G96" s="5"/>
      <c r="H96" s="14">
        <v>3.7999999999999999E-2</v>
      </c>
      <c r="I96" s="5"/>
      <c r="J96" s="5">
        <f t="shared" si="1"/>
        <v>1576.6959999999999</v>
      </c>
      <c r="K96" s="5"/>
      <c r="L96" s="5">
        <f t="shared" si="2"/>
        <v>43068.695999999996</v>
      </c>
    </row>
    <row r="97" spans="1:12" x14ac:dyDescent="0.25">
      <c r="A97" s="1" t="str">
        <f t="shared" ref="A97:B97" si="20">+A27</f>
        <v xml:space="preserve">     Proctor, Kenneth</v>
      </c>
      <c r="B97" s="8">
        <f t="shared" si="20"/>
        <v>15555</v>
      </c>
      <c r="C97" s="5"/>
      <c r="D97" s="5">
        <f t="shared" si="4"/>
        <v>0</v>
      </c>
      <c r="E97" s="5"/>
      <c r="F97" s="55">
        <v>43440</v>
      </c>
      <c r="G97" s="5"/>
      <c r="H97" s="14">
        <v>0</v>
      </c>
      <c r="I97" s="5"/>
      <c r="J97" s="5">
        <f t="shared" si="1"/>
        <v>0</v>
      </c>
      <c r="K97" s="5"/>
      <c r="L97" s="5">
        <f t="shared" si="2"/>
        <v>15555</v>
      </c>
    </row>
    <row r="98" spans="1:12" x14ac:dyDescent="0.25">
      <c r="A98" s="1" t="str">
        <f t="shared" ref="A98:B98" si="21">+A28</f>
        <v xml:space="preserve">     Rinehart, Carol</v>
      </c>
      <c r="B98" s="8">
        <f t="shared" si="21"/>
        <v>42510</v>
      </c>
      <c r="C98" s="5"/>
      <c r="D98" s="5">
        <f t="shared" si="4"/>
        <v>1700.4</v>
      </c>
      <c r="E98" s="5"/>
      <c r="F98" s="55">
        <v>43440</v>
      </c>
      <c r="G98" s="5"/>
      <c r="H98" s="14">
        <v>0.04</v>
      </c>
      <c r="I98" s="5"/>
      <c r="J98" s="5">
        <f t="shared" si="1"/>
        <v>1700.4</v>
      </c>
      <c r="K98" s="5"/>
      <c r="L98" s="5">
        <f t="shared" si="2"/>
        <v>44210.400000000001</v>
      </c>
    </row>
    <row r="99" spans="1:12" x14ac:dyDescent="0.25">
      <c r="A99" s="1" t="str">
        <f t="shared" ref="A99:B99" si="22">+A29</f>
        <v xml:space="preserve">     Sutherland, Rebecca</v>
      </c>
      <c r="B99" s="8">
        <f t="shared" si="22"/>
        <v>24171</v>
      </c>
      <c r="D99" s="5">
        <f t="shared" si="4"/>
        <v>700.95900000000006</v>
      </c>
      <c r="F99" s="55">
        <v>43440</v>
      </c>
      <c r="H99" s="14">
        <v>2.9000000000000001E-2</v>
      </c>
      <c r="J99" s="5">
        <f t="shared" si="1"/>
        <v>700.95900000000006</v>
      </c>
      <c r="L99" s="5">
        <f t="shared" si="2"/>
        <v>24871.958999999999</v>
      </c>
    </row>
    <row r="100" spans="1:12" x14ac:dyDescent="0.25">
      <c r="A100" s="1" t="str">
        <f t="shared" ref="A100:B100" si="23">+A30</f>
        <v xml:space="preserve">     Woods, Cindy</v>
      </c>
      <c r="B100" s="8">
        <f t="shared" si="23"/>
        <v>5044.7</v>
      </c>
      <c r="D100" s="5">
        <v>0</v>
      </c>
      <c r="F100" s="55">
        <v>43440</v>
      </c>
      <c r="H100" s="14">
        <v>0</v>
      </c>
      <c r="J100" s="5">
        <f t="shared" ref="J100" si="24">D100</f>
        <v>0</v>
      </c>
      <c r="L100" s="5">
        <f t="shared" ref="L100" si="25">B100+J100</f>
        <v>5044.7</v>
      </c>
    </row>
    <row r="101" spans="1:12" x14ac:dyDescent="0.25">
      <c r="A101" s="1"/>
      <c r="D101" s="5"/>
      <c r="F101" s="55"/>
      <c r="H101" s="14"/>
      <c r="J101" s="5"/>
      <c r="L101" s="5"/>
    </row>
    <row r="102" spans="1:12" x14ac:dyDescent="0.25">
      <c r="A102" s="1" t="str">
        <f t="shared" ref="A102:B102" si="26">+A32</f>
        <v xml:space="preserve">     Asila, Raymond</v>
      </c>
      <c r="B102" s="8">
        <f t="shared" si="26"/>
        <v>49589</v>
      </c>
      <c r="D102" s="5">
        <f t="shared" ref="D102:D121" si="27">+B102*H102</f>
        <v>1933.971</v>
      </c>
      <c r="E102" s="5"/>
      <c r="F102" s="55">
        <v>43440</v>
      </c>
      <c r="G102" s="5"/>
      <c r="H102" s="14">
        <v>3.9E-2</v>
      </c>
      <c r="I102" s="5"/>
      <c r="J102" s="5">
        <f t="shared" ref="J102:J103" si="28">D102</f>
        <v>1933.971</v>
      </c>
      <c r="K102" s="5"/>
      <c r="L102" s="5">
        <f t="shared" ref="L102:L103" si="29">B102+J102</f>
        <v>51522.970999999998</v>
      </c>
    </row>
    <row r="103" spans="1:12" x14ac:dyDescent="0.25">
      <c r="A103" s="1" t="str">
        <f t="shared" ref="A103:B103" si="30">+A33</f>
        <v xml:space="preserve">     Beaulieu, Gwen</v>
      </c>
      <c r="B103" s="8">
        <f t="shared" si="30"/>
        <v>44564</v>
      </c>
      <c r="D103" s="5">
        <f t="shared" si="27"/>
        <v>1292.356</v>
      </c>
      <c r="E103" s="5"/>
      <c r="F103" s="55">
        <v>43440</v>
      </c>
      <c r="G103" s="5"/>
      <c r="H103" s="14">
        <v>2.9000000000000001E-2</v>
      </c>
      <c r="I103" s="5"/>
      <c r="J103" s="5">
        <f t="shared" si="28"/>
        <v>1292.356</v>
      </c>
      <c r="K103" s="5"/>
      <c r="L103" s="5">
        <f t="shared" si="29"/>
        <v>45856.356</v>
      </c>
    </row>
    <row r="104" spans="1:12" x14ac:dyDescent="0.25">
      <c r="A104" s="1" t="str">
        <f t="shared" ref="A104:B104" si="31">+A34</f>
        <v xml:space="preserve">     Bell, Robert</v>
      </c>
      <c r="B104" s="8">
        <f t="shared" si="31"/>
        <v>100364</v>
      </c>
      <c r="C104" s="5"/>
      <c r="D104" s="5">
        <f t="shared" si="27"/>
        <v>4014.56</v>
      </c>
      <c r="E104" s="5"/>
      <c r="F104" s="55">
        <v>43440</v>
      </c>
      <c r="G104" s="5"/>
      <c r="H104" s="14">
        <v>0.04</v>
      </c>
      <c r="I104" s="5"/>
      <c r="J104" s="5">
        <f t="shared" ref="J104" si="32">D104</f>
        <v>4014.56</v>
      </c>
      <c r="K104" s="5"/>
      <c r="L104" s="5">
        <f t="shared" ref="L104:L122" si="33">B104+J104</f>
        <v>104378.56</v>
      </c>
    </row>
    <row r="105" spans="1:12" x14ac:dyDescent="0.25">
      <c r="A105" s="1" t="str">
        <f t="shared" ref="A105:B105" si="34">+A35</f>
        <v xml:space="preserve">     Black, Alexander</v>
      </c>
      <c r="B105" s="8">
        <f t="shared" si="34"/>
        <v>41309</v>
      </c>
      <c r="C105" s="5"/>
      <c r="D105" s="5">
        <f t="shared" si="27"/>
        <v>7187.7659999999996</v>
      </c>
      <c r="E105" s="5"/>
      <c r="F105" s="55">
        <v>43440</v>
      </c>
      <c r="G105" s="5"/>
      <c r="H105" s="14">
        <v>0.17399999999999999</v>
      </c>
      <c r="I105" s="5"/>
      <c r="J105" s="5">
        <f t="shared" ref="J105:J122" si="35">D105</f>
        <v>7187.7659999999996</v>
      </c>
      <c r="K105" s="5"/>
      <c r="L105" s="5">
        <f t="shared" si="33"/>
        <v>48496.766000000003</v>
      </c>
    </row>
    <row r="106" spans="1:12" x14ac:dyDescent="0.25">
      <c r="A106" s="1" t="str">
        <f t="shared" ref="A106:B106" si="36">+A36</f>
        <v xml:space="preserve">     Blankenship, Dakota</v>
      </c>
      <c r="B106" s="8">
        <f t="shared" si="36"/>
        <v>47203.6</v>
      </c>
      <c r="C106" s="5"/>
      <c r="D106" s="5">
        <f t="shared" si="27"/>
        <v>1557.7188000000001</v>
      </c>
      <c r="E106" s="5"/>
      <c r="F106" s="55">
        <v>43440</v>
      </c>
      <c r="G106" s="5"/>
      <c r="H106" s="14">
        <v>3.3000000000000002E-2</v>
      </c>
      <c r="I106" s="5"/>
      <c r="J106" s="5">
        <f t="shared" si="35"/>
        <v>1557.7188000000001</v>
      </c>
      <c r="K106" s="5"/>
      <c r="L106" s="5">
        <f t="shared" si="33"/>
        <v>48761.318800000001</v>
      </c>
    </row>
    <row r="107" spans="1:12" x14ac:dyDescent="0.25">
      <c r="A107" s="1" t="str">
        <f t="shared" ref="A107:B107" si="37">+A37</f>
        <v xml:space="preserve">     Cooper, Thomas</v>
      </c>
      <c r="B107" s="8">
        <f t="shared" si="37"/>
        <v>237</v>
      </c>
      <c r="C107" s="5"/>
      <c r="D107" s="5">
        <f t="shared" si="27"/>
        <v>8.2949999999999999</v>
      </c>
      <c r="E107" s="5"/>
      <c r="F107" s="55">
        <v>43440</v>
      </c>
      <c r="G107" s="5"/>
      <c r="H107" s="14">
        <v>3.5000000000000003E-2</v>
      </c>
      <c r="I107" s="5"/>
      <c r="J107" s="5">
        <f t="shared" si="35"/>
        <v>8.2949999999999999</v>
      </c>
      <c r="K107" s="5"/>
      <c r="L107" s="5">
        <f t="shared" si="33"/>
        <v>245.29499999999999</v>
      </c>
    </row>
    <row r="108" spans="1:12" x14ac:dyDescent="0.25">
      <c r="A108" s="1" t="str">
        <f t="shared" ref="A108:B108" si="38">+A38</f>
        <v xml:space="preserve">     Hansen, Ryan </v>
      </c>
      <c r="B108" s="8">
        <f t="shared" si="38"/>
        <v>10824.5</v>
      </c>
      <c r="C108" s="5"/>
      <c r="D108" s="5">
        <f t="shared" si="27"/>
        <v>205.66550000000001</v>
      </c>
      <c r="E108" s="5"/>
      <c r="F108" s="55">
        <v>43440</v>
      </c>
      <c r="G108" s="5"/>
      <c r="H108" s="14">
        <v>1.9E-2</v>
      </c>
      <c r="I108" s="5"/>
      <c r="J108" s="5">
        <f t="shared" si="35"/>
        <v>205.66550000000001</v>
      </c>
      <c r="K108" s="5"/>
      <c r="L108" s="5">
        <f t="shared" si="33"/>
        <v>11030.165499999999</v>
      </c>
    </row>
    <row r="109" spans="1:12" x14ac:dyDescent="0.25">
      <c r="A109" s="1" t="str">
        <f t="shared" ref="A109:B109" si="39">+A39</f>
        <v xml:space="preserve">     Hondel, Robert</v>
      </c>
      <c r="B109" s="8">
        <f t="shared" si="39"/>
        <v>56418</v>
      </c>
      <c r="C109" s="5"/>
      <c r="D109" s="5">
        <f t="shared" si="27"/>
        <v>15684.204000000002</v>
      </c>
      <c r="E109" s="5"/>
      <c r="F109" s="55">
        <v>43440</v>
      </c>
      <c r="G109" s="5"/>
      <c r="H109" s="14">
        <v>0.27800000000000002</v>
      </c>
      <c r="I109" s="5"/>
      <c r="J109" s="5">
        <f t="shared" si="35"/>
        <v>15684.204000000002</v>
      </c>
      <c r="K109" s="5"/>
      <c r="L109" s="5">
        <f t="shared" si="33"/>
        <v>72102.203999999998</v>
      </c>
    </row>
    <row r="110" spans="1:12" x14ac:dyDescent="0.25">
      <c r="A110" s="1" t="str">
        <f t="shared" ref="A110:B110" si="40">+A40</f>
        <v xml:space="preserve">     Hondel, Tyler</v>
      </c>
      <c r="B110" s="8">
        <f t="shared" si="40"/>
        <v>1547</v>
      </c>
      <c r="C110" s="5"/>
      <c r="D110" s="5">
        <f t="shared" si="27"/>
        <v>0</v>
      </c>
      <c r="E110" s="5"/>
      <c r="F110" s="55">
        <v>43440</v>
      </c>
      <c r="G110" s="5"/>
      <c r="H110" s="14">
        <v>0</v>
      </c>
      <c r="I110" s="5"/>
      <c r="J110" s="5">
        <f t="shared" si="35"/>
        <v>0</v>
      </c>
      <c r="K110" s="5"/>
      <c r="L110" s="5">
        <f t="shared" si="33"/>
        <v>1547</v>
      </c>
    </row>
    <row r="111" spans="1:12" x14ac:dyDescent="0.25">
      <c r="A111" s="1" t="str">
        <f t="shared" ref="A111:B111" si="41">+A41</f>
        <v xml:space="preserve">     Hoskins, Christopher</v>
      </c>
      <c r="B111" s="8">
        <f t="shared" si="41"/>
        <v>66561</v>
      </c>
      <c r="C111" s="5"/>
      <c r="D111" s="5">
        <f t="shared" si="27"/>
        <v>2729.0010000000002</v>
      </c>
      <c r="E111" s="5"/>
      <c r="F111" s="55">
        <v>43440</v>
      </c>
      <c r="G111" s="5"/>
      <c r="H111" s="14">
        <v>4.1000000000000002E-2</v>
      </c>
      <c r="I111" s="5"/>
      <c r="J111" s="5">
        <f t="shared" ref="J111:J114" si="42">D111</f>
        <v>2729.0010000000002</v>
      </c>
      <c r="K111" s="5"/>
      <c r="L111" s="5">
        <f t="shared" si="33"/>
        <v>69290.001000000004</v>
      </c>
    </row>
    <row r="112" spans="1:12" x14ac:dyDescent="0.25">
      <c r="A112" s="1" t="str">
        <f t="shared" ref="A112:B112" si="43">+A42</f>
        <v xml:space="preserve">     Hoskins, Rickey</v>
      </c>
      <c r="B112" s="8">
        <f t="shared" si="43"/>
        <v>77247</v>
      </c>
      <c r="C112" s="5"/>
      <c r="D112" s="5">
        <f t="shared" si="27"/>
        <v>2240.163</v>
      </c>
      <c r="E112" s="5"/>
      <c r="F112" s="55">
        <v>43440</v>
      </c>
      <c r="G112" s="5"/>
      <c r="H112" s="14">
        <v>2.9000000000000001E-2</v>
      </c>
      <c r="I112" s="5"/>
      <c r="J112" s="5">
        <f t="shared" si="42"/>
        <v>2240.163</v>
      </c>
      <c r="K112" s="5"/>
      <c r="L112" s="5">
        <f t="shared" si="33"/>
        <v>79487.163</v>
      </c>
    </row>
    <row r="113" spans="1:12" x14ac:dyDescent="0.25">
      <c r="A113" s="1" t="str">
        <f t="shared" ref="A113:B113" si="44">+A43</f>
        <v xml:space="preserve">     Jensen, James</v>
      </c>
      <c r="B113" s="8">
        <f t="shared" si="44"/>
        <v>88219</v>
      </c>
      <c r="C113" s="5"/>
      <c r="D113" s="5">
        <f t="shared" si="27"/>
        <v>3528.76</v>
      </c>
      <c r="E113" s="5"/>
      <c r="F113" s="55">
        <v>43440</v>
      </c>
      <c r="G113" s="5"/>
      <c r="H113" s="14">
        <v>0.04</v>
      </c>
      <c r="I113" s="5"/>
      <c r="J113" s="5">
        <f t="shared" si="42"/>
        <v>3528.76</v>
      </c>
      <c r="K113" s="5"/>
      <c r="L113" s="5">
        <f t="shared" si="33"/>
        <v>91747.76</v>
      </c>
    </row>
    <row r="114" spans="1:12" x14ac:dyDescent="0.25">
      <c r="A114" s="1" t="str">
        <f t="shared" ref="A114:B114" si="45">+A44</f>
        <v xml:space="preserve">     Marshall, Ethan</v>
      </c>
      <c r="B114" s="8">
        <f t="shared" si="45"/>
        <v>47518</v>
      </c>
      <c r="C114" s="5"/>
      <c r="D114" s="5">
        <f t="shared" si="27"/>
        <v>3373.7779999999998</v>
      </c>
      <c r="E114" s="5"/>
      <c r="F114" s="55">
        <v>43440</v>
      </c>
      <c r="G114" s="5"/>
      <c r="H114" s="14">
        <v>7.0999999999999994E-2</v>
      </c>
      <c r="I114" s="5"/>
      <c r="J114" s="5">
        <f t="shared" si="42"/>
        <v>3373.7779999999998</v>
      </c>
      <c r="K114" s="5"/>
      <c r="L114" s="5">
        <f t="shared" si="33"/>
        <v>50891.777999999998</v>
      </c>
    </row>
    <row r="115" spans="1:12" x14ac:dyDescent="0.25">
      <c r="A115" s="1" t="str">
        <f t="shared" ref="A115:B115" si="46">+A45</f>
        <v xml:space="preserve">     Mundell, Michael</v>
      </c>
      <c r="B115" s="8">
        <f t="shared" si="46"/>
        <v>38728.800000000003</v>
      </c>
      <c r="C115" s="5"/>
      <c r="D115" s="5">
        <f t="shared" si="27"/>
        <v>2362.4567999999999</v>
      </c>
      <c r="E115" s="5"/>
      <c r="F115" s="55">
        <v>43440</v>
      </c>
      <c r="G115" s="5"/>
      <c r="H115" s="14">
        <v>6.0999999999999999E-2</v>
      </c>
      <c r="I115" s="5"/>
      <c r="J115" s="5">
        <f t="shared" si="35"/>
        <v>2362.4567999999999</v>
      </c>
      <c r="K115" s="5"/>
      <c r="L115" s="5">
        <f t="shared" si="33"/>
        <v>41091.256800000003</v>
      </c>
    </row>
    <row r="116" spans="1:12" x14ac:dyDescent="0.25">
      <c r="A116" s="1" t="str">
        <f t="shared" ref="A116:B116" si="47">+A46</f>
        <v xml:space="preserve">     Murphy, Charles</v>
      </c>
      <c r="B116" s="8">
        <f t="shared" si="47"/>
        <v>32332</v>
      </c>
      <c r="C116" s="5"/>
      <c r="D116" s="5">
        <f t="shared" si="27"/>
        <v>2004.5840000000001</v>
      </c>
      <c r="E116" s="5"/>
      <c r="F116" s="55">
        <v>43440</v>
      </c>
      <c r="G116" s="5"/>
      <c r="H116" s="14">
        <v>6.2E-2</v>
      </c>
      <c r="I116" s="5"/>
      <c r="J116" s="5">
        <f t="shared" si="35"/>
        <v>2004.5840000000001</v>
      </c>
      <c r="K116" s="5"/>
      <c r="L116" s="5">
        <f t="shared" si="33"/>
        <v>34336.584000000003</v>
      </c>
    </row>
    <row r="117" spans="1:12" x14ac:dyDescent="0.25">
      <c r="A117" s="1" t="str">
        <f t="shared" ref="A117:B117" si="48">+A47</f>
        <v xml:space="preserve">     Neal, Ryan</v>
      </c>
      <c r="B117" s="8">
        <f t="shared" si="48"/>
        <v>57100.5</v>
      </c>
      <c r="D117" s="5">
        <f t="shared" si="27"/>
        <v>2284.02</v>
      </c>
      <c r="E117" s="5"/>
      <c r="F117" s="55">
        <v>43440</v>
      </c>
      <c r="G117" s="5"/>
      <c r="H117" s="14">
        <v>0.04</v>
      </c>
      <c r="I117" s="5"/>
      <c r="J117" s="5">
        <f t="shared" si="35"/>
        <v>2284.02</v>
      </c>
      <c r="K117" s="5"/>
      <c r="L117" s="5">
        <f t="shared" si="33"/>
        <v>59384.52</v>
      </c>
    </row>
    <row r="118" spans="1:12" x14ac:dyDescent="0.25">
      <c r="A118" s="1" t="str">
        <f t="shared" ref="A118:B118" si="49">+A48</f>
        <v xml:space="preserve">     O'Brien, Jason</v>
      </c>
      <c r="B118" s="8">
        <f t="shared" si="49"/>
        <v>55868</v>
      </c>
      <c r="D118" s="5">
        <f t="shared" si="27"/>
        <v>2290.5880000000002</v>
      </c>
      <c r="E118" s="5"/>
      <c r="F118" s="55">
        <v>43440</v>
      </c>
      <c r="G118" s="5"/>
      <c r="H118" s="14">
        <v>4.1000000000000002E-2</v>
      </c>
      <c r="I118" s="5"/>
      <c r="J118" s="5">
        <f t="shared" si="35"/>
        <v>2290.5880000000002</v>
      </c>
      <c r="K118" s="5"/>
      <c r="L118" s="5">
        <f t="shared" si="33"/>
        <v>58158.588000000003</v>
      </c>
    </row>
    <row r="119" spans="1:12" x14ac:dyDescent="0.25">
      <c r="A119" s="1" t="str">
        <f t="shared" ref="A119:B119" si="50">+A49</f>
        <v xml:space="preserve">     O'Brien, Josh</v>
      </c>
      <c r="B119" s="8">
        <f t="shared" si="50"/>
        <v>42985.7</v>
      </c>
      <c r="D119" s="5">
        <f t="shared" si="27"/>
        <v>1719.4279999999999</v>
      </c>
      <c r="E119" s="5"/>
      <c r="F119" s="55">
        <v>43440</v>
      </c>
      <c r="G119" s="5"/>
      <c r="H119" s="14">
        <v>0.04</v>
      </c>
      <c r="I119" s="5"/>
      <c r="J119" s="5">
        <f t="shared" si="35"/>
        <v>1719.4279999999999</v>
      </c>
      <c r="K119" s="5"/>
      <c r="L119" s="5">
        <f t="shared" si="33"/>
        <v>44705.127999999997</v>
      </c>
    </row>
    <row r="120" spans="1:12" x14ac:dyDescent="0.25">
      <c r="A120" s="1" t="str">
        <f t="shared" ref="A120:B120" si="51">+A50</f>
        <v xml:space="preserve">     Shelton, Candi</v>
      </c>
      <c r="B120" s="8">
        <f t="shared" si="51"/>
        <v>59396</v>
      </c>
      <c r="D120" s="5">
        <f t="shared" si="27"/>
        <v>4395.3040000000001</v>
      </c>
      <c r="E120" s="5"/>
      <c r="F120" s="55">
        <v>43440</v>
      </c>
      <c r="G120" s="5"/>
      <c r="H120" s="14">
        <v>7.3999999999999996E-2</v>
      </c>
      <c r="I120" s="5"/>
      <c r="J120" s="5">
        <f t="shared" si="35"/>
        <v>4395.3040000000001</v>
      </c>
      <c r="K120" s="5"/>
      <c r="L120" s="5">
        <f t="shared" si="33"/>
        <v>63791.304000000004</v>
      </c>
    </row>
    <row r="121" spans="1:12" x14ac:dyDescent="0.25">
      <c r="A121" s="1" t="str">
        <f t="shared" ref="A121:B121" si="52">+A51</f>
        <v xml:space="preserve">     Streeter, Phillip</v>
      </c>
      <c r="B121" s="8">
        <f t="shared" si="52"/>
        <v>11481.7</v>
      </c>
      <c r="D121" s="5">
        <f t="shared" si="27"/>
        <v>0</v>
      </c>
      <c r="E121" s="5"/>
      <c r="F121" s="55">
        <v>43440</v>
      </c>
      <c r="G121" s="5"/>
      <c r="H121" s="14">
        <v>0</v>
      </c>
      <c r="I121" s="5"/>
      <c r="J121" s="5">
        <f t="shared" si="35"/>
        <v>0</v>
      </c>
      <c r="K121" s="5"/>
      <c r="L121" s="5">
        <f t="shared" si="33"/>
        <v>11481.7</v>
      </c>
    </row>
    <row r="122" spans="1:12" x14ac:dyDescent="0.25">
      <c r="A122" s="1" t="str">
        <f t="shared" ref="A122:B122" si="53">+A52</f>
        <v xml:space="preserve">     Tabacco, Michael </v>
      </c>
      <c r="B122" s="8">
        <f t="shared" si="53"/>
        <v>60990</v>
      </c>
      <c r="D122" s="5">
        <f t="shared" ref="D122:D124" si="54">+B122*H122</f>
        <v>2500.59</v>
      </c>
      <c r="E122" s="5"/>
      <c r="F122" s="55">
        <v>43440</v>
      </c>
      <c r="G122" s="5"/>
      <c r="H122" s="14">
        <v>4.1000000000000002E-2</v>
      </c>
      <c r="I122" s="5"/>
      <c r="J122" s="5">
        <f t="shared" si="35"/>
        <v>2500.59</v>
      </c>
      <c r="K122" s="5"/>
      <c r="L122" s="5">
        <f t="shared" si="33"/>
        <v>63490.59</v>
      </c>
    </row>
    <row r="123" spans="1:12" x14ac:dyDescent="0.25">
      <c r="A123" s="1" t="str">
        <f t="shared" ref="A123:B123" si="55">+A53</f>
        <v xml:space="preserve">     Tatum, Paul</v>
      </c>
      <c r="B123" s="8">
        <f t="shared" si="55"/>
        <v>68222</v>
      </c>
      <c r="D123" s="5">
        <f t="shared" si="54"/>
        <v>5457.76</v>
      </c>
      <c r="E123" s="5"/>
      <c r="F123" s="55">
        <v>43440</v>
      </c>
      <c r="G123" s="5"/>
      <c r="H123" s="14">
        <v>0.08</v>
      </c>
      <c r="I123" s="5"/>
      <c r="J123" s="5">
        <f t="shared" ref="J123" si="56">D123</f>
        <v>5457.76</v>
      </c>
      <c r="K123" s="5"/>
      <c r="L123" s="5">
        <f t="shared" ref="L123" si="57">B123+J123</f>
        <v>73679.759999999995</v>
      </c>
    </row>
    <row r="124" spans="1:12" x14ac:dyDescent="0.25">
      <c r="A124" s="1" t="str">
        <f t="shared" ref="A124:B124" si="58">+A54</f>
        <v xml:space="preserve">     Veach, Kyle</v>
      </c>
      <c r="B124" s="8">
        <f t="shared" si="58"/>
        <v>6391.7</v>
      </c>
      <c r="C124" s="5"/>
      <c r="D124" s="5">
        <f t="shared" si="54"/>
        <v>0</v>
      </c>
      <c r="E124" s="7"/>
      <c r="F124" s="55">
        <v>43440</v>
      </c>
      <c r="G124" s="7"/>
      <c r="H124" s="14">
        <v>0</v>
      </c>
      <c r="I124" s="7"/>
      <c r="J124" s="5">
        <f t="shared" ref="J124" si="59">D124</f>
        <v>0</v>
      </c>
      <c r="K124" s="5"/>
      <c r="L124" s="5">
        <f t="shared" ref="L124" si="60">B124+J124</f>
        <v>6391.7</v>
      </c>
    </row>
    <row r="125" spans="1:12" x14ac:dyDescent="0.25">
      <c r="A125" s="1"/>
      <c r="C125" s="5"/>
      <c r="D125" s="5"/>
      <c r="E125" s="7"/>
      <c r="F125" s="5"/>
      <c r="G125" s="7"/>
      <c r="H125" s="14"/>
      <c r="I125" s="7"/>
      <c r="J125" s="5"/>
      <c r="K125" s="5"/>
      <c r="L125" s="5"/>
    </row>
    <row r="126" spans="1:12" x14ac:dyDescent="0.25">
      <c r="B126" s="8">
        <f>SUM(B81:B124)</f>
        <v>1813635.6999999997</v>
      </c>
      <c r="D126" s="5">
        <f>SUM(D81:D124)</f>
        <v>95592.112600000008</v>
      </c>
      <c r="E126" s="7"/>
      <c r="F126" s="5"/>
      <c r="G126" s="7"/>
      <c r="I126" s="7"/>
      <c r="J126" s="5">
        <f>SUM(J81:J124)</f>
        <v>95592.112600000008</v>
      </c>
      <c r="L126" s="5">
        <f>SUM(L81:L124)</f>
        <v>1909227.8125999998</v>
      </c>
    </row>
    <row r="127" spans="1:12" x14ac:dyDescent="0.25">
      <c r="D127" s="5"/>
      <c r="E127" s="7"/>
      <c r="F127" s="5"/>
      <c r="G127" s="7"/>
      <c r="I127" s="7"/>
      <c r="J127" s="5"/>
      <c r="L127" s="5"/>
    </row>
    <row r="128" spans="1:12" x14ac:dyDescent="0.25">
      <c r="A128" s="1" t="s">
        <v>131</v>
      </c>
      <c r="B128" s="8">
        <f t="shared" ref="B128:B133" si="61">+B58</f>
        <v>115801</v>
      </c>
      <c r="C128" s="5"/>
      <c r="D128" s="5">
        <f t="shared" ref="D128:D133" si="62">+B128*H128</f>
        <v>4632.04</v>
      </c>
      <c r="E128" s="5"/>
      <c r="F128" s="55">
        <v>43440</v>
      </c>
      <c r="G128" s="5"/>
      <c r="H128" s="14">
        <v>0.04</v>
      </c>
      <c r="I128" s="5"/>
      <c r="J128" s="5">
        <f t="shared" ref="J128:J133" si="63">D128</f>
        <v>4632.04</v>
      </c>
      <c r="K128" s="5"/>
      <c r="L128" s="5">
        <f t="shared" ref="L128:L133" si="64">B128+J128</f>
        <v>120433.04</v>
      </c>
    </row>
    <row r="129" spans="1:28" x14ac:dyDescent="0.25">
      <c r="A129" s="1" t="s">
        <v>136</v>
      </c>
      <c r="B129" s="8">
        <f t="shared" si="61"/>
        <v>111511</v>
      </c>
      <c r="C129" s="5"/>
      <c r="D129" s="5">
        <f t="shared" si="62"/>
        <v>4683.4620000000004</v>
      </c>
      <c r="E129" s="5"/>
      <c r="F129" s="55">
        <v>43440</v>
      </c>
      <c r="G129" s="5"/>
      <c r="H129" s="14">
        <v>4.2000000000000003E-2</v>
      </c>
      <c r="I129" s="5"/>
      <c r="J129" s="5">
        <f t="shared" si="63"/>
        <v>4683.4620000000004</v>
      </c>
      <c r="K129" s="5"/>
      <c r="L129" s="5">
        <f t="shared" si="64"/>
        <v>116194.462</v>
      </c>
    </row>
    <row r="130" spans="1:28" x14ac:dyDescent="0.25">
      <c r="A130" s="1" t="s">
        <v>141</v>
      </c>
      <c r="B130" s="8">
        <f t="shared" si="61"/>
        <v>16990</v>
      </c>
      <c r="C130" s="5"/>
      <c r="D130" s="5">
        <v>0</v>
      </c>
      <c r="E130" s="5"/>
      <c r="F130" s="55">
        <v>43440</v>
      </c>
      <c r="G130" s="5"/>
      <c r="H130" s="14">
        <v>0</v>
      </c>
      <c r="I130" s="5"/>
      <c r="J130" s="5">
        <f t="shared" si="63"/>
        <v>0</v>
      </c>
      <c r="K130" s="5"/>
      <c r="L130" s="5">
        <f t="shared" si="64"/>
        <v>16990</v>
      </c>
    </row>
    <row r="131" spans="1:28" x14ac:dyDescent="0.25">
      <c r="A131" s="1" t="s">
        <v>143</v>
      </c>
      <c r="B131" s="8">
        <f t="shared" si="61"/>
        <v>38200</v>
      </c>
      <c r="C131" s="5"/>
      <c r="D131" s="5">
        <f t="shared" si="62"/>
        <v>28306.2</v>
      </c>
      <c r="E131" s="5"/>
      <c r="F131" s="55">
        <v>43440</v>
      </c>
      <c r="G131" s="5"/>
      <c r="H131" s="14">
        <v>0.74099999999999999</v>
      </c>
      <c r="I131" s="5"/>
      <c r="J131" s="5">
        <f t="shared" si="63"/>
        <v>28306.2</v>
      </c>
      <c r="K131" s="5"/>
      <c r="L131" s="5">
        <f t="shared" si="64"/>
        <v>66506.2</v>
      </c>
    </row>
    <row r="132" spans="1:28" x14ac:dyDescent="0.25">
      <c r="A132" s="1" t="s">
        <v>150</v>
      </c>
      <c r="B132" s="153">
        <f t="shared" si="61"/>
        <v>42675</v>
      </c>
      <c r="C132" s="5"/>
      <c r="D132" s="5">
        <f t="shared" si="62"/>
        <v>0</v>
      </c>
      <c r="E132" s="5"/>
      <c r="F132" s="55">
        <v>43440</v>
      </c>
      <c r="G132" s="5"/>
      <c r="H132" s="14">
        <v>0</v>
      </c>
      <c r="I132" s="5"/>
      <c r="J132" s="5">
        <f t="shared" si="63"/>
        <v>0</v>
      </c>
      <c r="K132" s="5"/>
      <c r="L132" s="5">
        <f t="shared" si="64"/>
        <v>42675</v>
      </c>
    </row>
    <row r="133" spans="1:28" x14ac:dyDescent="0.25">
      <c r="A133" s="1" t="s">
        <v>149</v>
      </c>
      <c r="B133" s="8">
        <f t="shared" si="61"/>
        <v>110809</v>
      </c>
      <c r="C133" s="5"/>
      <c r="D133" s="5">
        <f t="shared" si="62"/>
        <v>4653.9780000000001</v>
      </c>
      <c r="E133" s="5"/>
      <c r="F133" s="55">
        <v>43440</v>
      </c>
      <c r="G133" s="5"/>
      <c r="H133" s="14">
        <v>4.2000000000000003E-2</v>
      </c>
      <c r="I133" s="5"/>
      <c r="J133" s="5">
        <f t="shared" si="63"/>
        <v>4653.9780000000001</v>
      </c>
      <c r="K133" s="5"/>
      <c r="L133" s="5">
        <f t="shared" si="64"/>
        <v>115462.978</v>
      </c>
    </row>
    <row r="134" spans="1:28" x14ac:dyDescent="0.25">
      <c r="A134" s="1"/>
      <c r="C134" s="5"/>
      <c r="D134" s="5"/>
      <c r="E134" s="5"/>
      <c r="F134" s="55"/>
      <c r="G134" s="5"/>
      <c r="H134" s="14"/>
      <c r="I134" s="5"/>
      <c r="J134" s="5"/>
      <c r="K134" s="5"/>
      <c r="L134" s="5"/>
    </row>
    <row r="135" spans="1:28" x14ac:dyDescent="0.25">
      <c r="A135" s="1"/>
      <c r="B135" s="8">
        <f>SUM(B128:B134)</f>
        <v>435986</v>
      </c>
      <c r="C135" s="5"/>
      <c r="D135" s="8">
        <f>SUM(D128:D134)</f>
        <v>42275.680000000008</v>
      </c>
      <c r="E135" s="5"/>
      <c r="F135" s="55"/>
      <c r="G135" s="5"/>
      <c r="H135" s="14"/>
      <c r="I135" s="5"/>
      <c r="J135" s="8">
        <f>SUM(J128:J134)</f>
        <v>42275.680000000008</v>
      </c>
      <c r="K135" s="5"/>
      <c r="L135" s="8">
        <f>SUM(L128:L134)</f>
        <v>478261.68</v>
      </c>
    </row>
    <row r="136" spans="1:28" s="52" customFormat="1" ht="19.5" x14ac:dyDescent="0.35">
      <c r="A136"/>
      <c r="B136" s="8"/>
    </row>
    <row r="137" spans="1:28" ht="19.5" x14ac:dyDescent="0.35">
      <c r="A137" s="49" t="s">
        <v>151</v>
      </c>
      <c r="B137" s="136">
        <f>+B126+B135</f>
        <v>2249621.6999999997</v>
      </c>
      <c r="C137" s="50"/>
      <c r="D137" s="136">
        <f>+D126+D135</f>
        <v>137867.79260000002</v>
      </c>
      <c r="E137" s="50"/>
      <c r="F137" s="50"/>
      <c r="G137" s="50"/>
      <c r="H137" s="56">
        <f>D137/B137</f>
        <v>6.1284878519797366E-2</v>
      </c>
      <c r="I137" s="50"/>
      <c r="J137" s="136">
        <f>+J126+J135</f>
        <v>137867.79260000002</v>
      </c>
      <c r="K137" s="50"/>
      <c r="L137" s="136">
        <f>+L126+L135</f>
        <v>2387489.4926</v>
      </c>
      <c r="M137" s="50"/>
    </row>
    <row r="138" spans="1:28" x14ac:dyDescent="0.25">
      <c r="A138" s="1"/>
    </row>
    <row r="139" spans="1:28" x14ac:dyDescent="0.25">
      <c r="A139" s="1" t="s">
        <v>110</v>
      </c>
      <c r="F139" s="57" t="s">
        <v>152</v>
      </c>
    </row>
    <row r="140" spans="1:28" x14ac:dyDescent="0.25">
      <c r="P140" s="57" t="s">
        <v>152</v>
      </c>
    </row>
    <row r="141" spans="1:28" x14ac:dyDescent="0.25">
      <c r="H141">
        <f>+H4</f>
        <v>2018</v>
      </c>
      <c r="J141" s="1" t="s">
        <v>159</v>
      </c>
    </row>
    <row r="144" spans="1:28" x14ac:dyDescent="0.25">
      <c r="D144" s="1" t="s">
        <v>114</v>
      </c>
      <c r="F144" s="1" t="s">
        <v>115</v>
      </c>
      <c r="H144" s="1" t="s">
        <v>116</v>
      </c>
      <c r="J144" s="1" t="s">
        <v>117</v>
      </c>
      <c r="L144" s="1" t="s">
        <v>117</v>
      </c>
      <c r="N144" s="1" t="s">
        <v>118</v>
      </c>
      <c r="P144" s="1" t="s">
        <v>118</v>
      </c>
      <c r="R144" s="1" t="s">
        <v>119</v>
      </c>
      <c r="T144" s="1" t="s">
        <v>119</v>
      </c>
      <c r="V144" s="1" t="s">
        <v>120</v>
      </c>
      <c r="X144" s="1" t="s">
        <v>121</v>
      </c>
      <c r="Z144" s="1" t="s">
        <v>122</v>
      </c>
      <c r="AB144" s="1" t="s">
        <v>123</v>
      </c>
    </row>
    <row r="145" spans="1:28" x14ac:dyDescent="0.25">
      <c r="A145" s="1" t="s">
        <v>112</v>
      </c>
      <c r="B145" s="27" t="s">
        <v>3</v>
      </c>
      <c r="D145" s="1" t="s">
        <v>56</v>
      </c>
      <c r="F145" s="1" t="s">
        <v>125</v>
      </c>
      <c r="H145" s="1" t="s">
        <v>56</v>
      </c>
      <c r="J145" s="1" t="s">
        <v>126</v>
      </c>
      <c r="L145" s="1" t="s">
        <v>127</v>
      </c>
      <c r="N145" s="1" t="s">
        <v>126</v>
      </c>
      <c r="P145" s="1" t="s">
        <v>127</v>
      </c>
      <c r="R145" s="1" t="s">
        <v>126</v>
      </c>
      <c r="T145" s="1" t="s">
        <v>127</v>
      </c>
      <c r="V145" s="1" t="s">
        <v>56</v>
      </c>
      <c r="X145" s="1" t="s">
        <v>56</v>
      </c>
      <c r="Z145" s="1" t="s">
        <v>128</v>
      </c>
      <c r="AB145" s="1" t="s">
        <v>56</v>
      </c>
    </row>
    <row r="146" spans="1:28" x14ac:dyDescent="0.25">
      <c r="B146" s="27" t="s">
        <v>124</v>
      </c>
      <c r="D146">
        <v>675.8</v>
      </c>
      <c r="F146">
        <v>101</v>
      </c>
      <c r="J146">
        <v>620.1</v>
      </c>
      <c r="L146">
        <v>620.20000000000005</v>
      </c>
      <c r="N146">
        <v>620.29999999999995</v>
      </c>
      <c r="P146">
        <v>620.4</v>
      </c>
      <c r="R146">
        <v>620.5</v>
      </c>
      <c r="T146">
        <v>620.6</v>
      </c>
      <c r="V146">
        <v>620.70000000000005</v>
      </c>
      <c r="X146">
        <v>620.79999999999995</v>
      </c>
      <c r="Z146">
        <v>604</v>
      </c>
      <c r="AB146">
        <v>650</v>
      </c>
    </row>
    <row r="147" spans="1:28" x14ac:dyDescent="0.25"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 x14ac:dyDescent="0.25">
      <c r="A148" s="1" t="str">
        <f>+A81</f>
        <v xml:space="preserve">     Abbe, Linda</v>
      </c>
      <c r="B148" s="8">
        <f>+D81</f>
        <v>1612.4159999999999</v>
      </c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:28" x14ac:dyDescent="0.25">
      <c r="A149" s="1" t="str">
        <f t="shared" ref="A149:A191" si="65">+A82</f>
        <v xml:space="preserve">     Blagrove, Sherese</v>
      </c>
      <c r="B149" s="8">
        <f t="shared" ref="B149:B191" si="66">+D82</f>
        <v>271.8</v>
      </c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 x14ac:dyDescent="0.25">
      <c r="A150" s="1" t="str">
        <f t="shared" si="65"/>
        <v xml:space="preserve">     Bowers, Donald</v>
      </c>
      <c r="B150" s="8">
        <f t="shared" si="66"/>
        <v>4148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28" x14ac:dyDescent="0.25">
      <c r="A151" s="1" t="str">
        <f t="shared" si="65"/>
        <v xml:space="preserve">     Collette, Martin</v>
      </c>
      <c r="B151" s="8">
        <f t="shared" si="66"/>
        <v>1587.902</v>
      </c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28" x14ac:dyDescent="0.25">
      <c r="A152" s="1" t="str">
        <f t="shared" si="65"/>
        <v xml:space="preserve">     Cross, Lori</v>
      </c>
      <c r="B152" s="8">
        <f t="shared" si="66"/>
        <v>708.47</v>
      </c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:28" x14ac:dyDescent="0.25">
      <c r="A153" s="1" t="str">
        <f t="shared" si="65"/>
        <v xml:space="preserve">     Cullings, Art</v>
      </c>
      <c r="B153" s="8">
        <f t="shared" si="66"/>
        <v>717.86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x14ac:dyDescent="0.25">
      <c r="A154" s="1" t="str">
        <f t="shared" si="65"/>
        <v xml:space="preserve">     Hansen, Hunter</v>
      </c>
      <c r="B154" s="8">
        <f t="shared" si="66"/>
        <v>166.06</v>
      </c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:28" x14ac:dyDescent="0.25">
      <c r="A155" s="1" t="str">
        <f t="shared" si="65"/>
        <v xml:space="preserve">     Hatkoff, Jennifer</v>
      </c>
      <c r="B155" s="8">
        <f t="shared" si="66"/>
        <v>2094.2400000000002</v>
      </c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 x14ac:dyDescent="0.25">
      <c r="A156" s="1" t="str">
        <f t="shared" si="65"/>
        <v xml:space="preserve">     Haynes, Sheila</v>
      </c>
      <c r="B156" s="8">
        <f t="shared" si="66"/>
        <v>4325.076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:28" x14ac:dyDescent="0.25">
      <c r="A157" s="1" t="str">
        <f t="shared" si="65"/>
        <v xml:space="preserve">     Hellickson, Carol</v>
      </c>
      <c r="B157" s="8">
        <f t="shared" si="66"/>
        <v>2948.82</v>
      </c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:28" x14ac:dyDescent="0.25">
      <c r="A158" s="1" t="str">
        <f t="shared" si="65"/>
        <v xml:space="preserve">     Hood, Stephanie</v>
      </c>
      <c r="B158" s="8">
        <f t="shared" si="66"/>
        <v>816.55199999999991</v>
      </c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 x14ac:dyDescent="0.25">
      <c r="A159" s="1" t="str">
        <f t="shared" si="65"/>
        <v xml:space="preserve">     Inks, Danielle</v>
      </c>
      <c r="B159" s="8">
        <f t="shared" si="66"/>
        <v>1703.8685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 x14ac:dyDescent="0.25">
      <c r="A160" s="1" t="str">
        <f t="shared" si="65"/>
        <v xml:space="preserve">     Miller Jr., Sid</v>
      </c>
      <c r="B160" s="8">
        <f t="shared" si="66"/>
        <v>1354.98</v>
      </c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 x14ac:dyDescent="0.25">
      <c r="A161" s="1" t="str">
        <f t="shared" si="65"/>
        <v xml:space="preserve">     Murakami, Irene</v>
      </c>
      <c r="B161" s="8">
        <f t="shared" si="66"/>
        <v>919.524</v>
      </c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:28" x14ac:dyDescent="0.25">
      <c r="A162" s="1" t="str">
        <f t="shared" si="65"/>
        <v xml:space="preserve">     Peredo, Tony</v>
      </c>
      <c r="B162" s="8">
        <f t="shared" si="66"/>
        <v>1467.52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:28" x14ac:dyDescent="0.25">
      <c r="A163" s="1" t="str">
        <f t="shared" si="65"/>
        <v xml:space="preserve">     Petty, Casey</v>
      </c>
      <c r="B163" s="8">
        <f t="shared" si="66"/>
        <v>1576.6959999999999</v>
      </c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:28" x14ac:dyDescent="0.25">
      <c r="A164" s="1" t="str">
        <f t="shared" si="65"/>
        <v xml:space="preserve">     Proctor, Kenneth</v>
      </c>
      <c r="B164" s="8">
        <f t="shared" si="66"/>
        <v>0</v>
      </c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 x14ac:dyDescent="0.25">
      <c r="A165" s="1" t="str">
        <f t="shared" si="65"/>
        <v xml:space="preserve">     Rinehart, Carol</v>
      </c>
      <c r="B165" s="8">
        <f t="shared" si="66"/>
        <v>1700.4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:28" x14ac:dyDescent="0.25">
      <c r="A166" s="1" t="str">
        <f t="shared" si="65"/>
        <v xml:space="preserve">     Sutherland, Rebecca</v>
      </c>
      <c r="B166" s="8">
        <f t="shared" si="66"/>
        <v>700.95900000000006</v>
      </c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 x14ac:dyDescent="0.25">
      <c r="A167" s="1" t="str">
        <f t="shared" si="65"/>
        <v xml:space="preserve">     Woods, Cindy</v>
      </c>
      <c r="B167" s="8">
        <f t="shared" si="66"/>
        <v>0</v>
      </c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:28" x14ac:dyDescent="0.25">
      <c r="A168" s="1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:28" x14ac:dyDescent="0.25">
      <c r="A169" s="1" t="str">
        <f t="shared" si="65"/>
        <v xml:space="preserve">     Asila, Raymond</v>
      </c>
      <c r="B169" s="8">
        <f t="shared" si="66"/>
        <v>1933.971</v>
      </c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:28" x14ac:dyDescent="0.25">
      <c r="A170" s="1" t="str">
        <f t="shared" si="65"/>
        <v xml:space="preserve">     Beaulieu, Gwen</v>
      </c>
      <c r="B170" s="8">
        <f t="shared" si="66"/>
        <v>1292.356</v>
      </c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:28" x14ac:dyDescent="0.25">
      <c r="A171" s="1" t="str">
        <f t="shared" si="65"/>
        <v xml:space="preserve">     Bell, Robert</v>
      </c>
      <c r="B171" s="8">
        <f t="shared" si="66"/>
        <v>4014.56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:28" x14ac:dyDescent="0.25">
      <c r="A172" s="1" t="str">
        <f t="shared" si="65"/>
        <v xml:space="preserve">     Black, Alexander</v>
      </c>
      <c r="B172" s="8">
        <f t="shared" si="66"/>
        <v>7187.7659999999996</v>
      </c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:28" x14ac:dyDescent="0.25">
      <c r="A173" s="1" t="str">
        <f t="shared" si="65"/>
        <v xml:space="preserve">     Blankenship, Dakota</v>
      </c>
      <c r="B173" s="8">
        <f t="shared" si="66"/>
        <v>1557.7188000000001</v>
      </c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:28" x14ac:dyDescent="0.25">
      <c r="A174" s="1" t="str">
        <f t="shared" si="65"/>
        <v xml:space="preserve">     Cooper, Thomas</v>
      </c>
      <c r="B174" s="8">
        <f t="shared" si="66"/>
        <v>8.2949999999999999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:28" x14ac:dyDescent="0.25">
      <c r="A175" s="1" t="str">
        <f t="shared" si="65"/>
        <v xml:space="preserve">     Hansen, Ryan </v>
      </c>
      <c r="B175" s="8">
        <f t="shared" si="66"/>
        <v>205.66550000000001</v>
      </c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:28" x14ac:dyDescent="0.25">
      <c r="A176" s="1" t="str">
        <f t="shared" si="65"/>
        <v xml:space="preserve">     Hondel, Robert</v>
      </c>
      <c r="B176" s="8">
        <f t="shared" si="66"/>
        <v>15684.204000000002</v>
      </c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:28" x14ac:dyDescent="0.25">
      <c r="A177" s="1" t="str">
        <f t="shared" si="65"/>
        <v xml:space="preserve">     Hondel, Tyler</v>
      </c>
      <c r="B177" s="8">
        <f t="shared" si="66"/>
        <v>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:28" x14ac:dyDescent="0.25">
      <c r="A178" s="1" t="str">
        <f t="shared" si="65"/>
        <v xml:space="preserve">     Hoskins, Christopher</v>
      </c>
      <c r="B178" s="8">
        <f t="shared" si="66"/>
        <v>2729.0010000000002</v>
      </c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:28" x14ac:dyDescent="0.25">
      <c r="A179" s="1" t="str">
        <f t="shared" si="65"/>
        <v xml:space="preserve">     Hoskins, Rickey</v>
      </c>
      <c r="B179" s="8">
        <f t="shared" si="66"/>
        <v>2240.163</v>
      </c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:28" x14ac:dyDescent="0.25">
      <c r="A180" s="1" t="str">
        <f t="shared" si="65"/>
        <v xml:space="preserve">     Jensen, James</v>
      </c>
      <c r="B180" s="8">
        <f t="shared" si="66"/>
        <v>3528.76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 x14ac:dyDescent="0.25">
      <c r="A181" s="1" t="str">
        <f t="shared" si="65"/>
        <v xml:space="preserve">     Marshall, Ethan</v>
      </c>
      <c r="B181" s="8">
        <f t="shared" si="66"/>
        <v>3373.7779999999998</v>
      </c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:28" x14ac:dyDescent="0.25">
      <c r="A182" s="1" t="str">
        <f t="shared" si="65"/>
        <v xml:space="preserve">     Mundell, Michael</v>
      </c>
      <c r="B182" s="8">
        <f t="shared" si="66"/>
        <v>2362.4567999999999</v>
      </c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:28" x14ac:dyDescent="0.25">
      <c r="A183" s="1" t="str">
        <f t="shared" si="65"/>
        <v xml:space="preserve">     Murphy, Charles</v>
      </c>
      <c r="B183" s="8">
        <f t="shared" si="66"/>
        <v>2004.5840000000001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:28" x14ac:dyDescent="0.25">
      <c r="A184" s="1" t="str">
        <f t="shared" si="65"/>
        <v xml:space="preserve">     Neal, Ryan</v>
      </c>
      <c r="B184" s="8">
        <f t="shared" si="66"/>
        <v>2284.02</v>
      </c>
    </row>
    <row r="185" spans="1:28" x14ac:dyDescent="0.25">
      <c r="A185" s="1" t="str">
        <f t="shared" si="65"/>
        <v xml:space="preserve">     O'Brien, Jason</v>
      </c>
      <c r="B185" s="8">
        <f t="shared" si="66"/>
        <v>2290.5880000000002</v>
      </c>
    </row>
    <row r="186" spans="1:28" x14ac:dyDescent="0.25">
      <c r="A186" s="1" t="str">
        <f t="shared" si="65"/>
        <v xml:space="preserve">     O'Brien, Josh</v>
      </c>
      <c r="B186" s="8">
        <f t="shared" si="66"/>
        <v>1719.4279999999999</v>
      </c>
    </row>
    <row r="187" spans="1:28" x14ac:dyDescent="0.25">
      <c r="A187" s="1" t="str">
        <f t="shared" si="65"/>
        <v xml:space="preserve">     Shelton, Candi</v>
      </c>
      <c r="B187" s="8">
        <f t="shared" si="66"/>
        <v>4395.3040000000001</v>
      </c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:28" x14ac:dyDescent="0.25">
      <c r="A188" s="1" t="str">
        <f t="shared" si="65"/>
        <v xml:space="preserve">     Streeter, Phillip</v>
      </c>
      <c r="B188" s="8">
        <f t="shared" si="66"/>
        <v>0</v>
      </c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:28" x14ac:dyDescent="0.25">
      <c r="A189" s="1" t="str">
        <f t="shared" si="65"/>
        <v xml:space="preserve">     Tabacco, Michael </v>
      </c>
      <c r="B189" s="8">
        <f t="shared" si="66"/>
        <v>2500.59</v>
      </c>
    </row>
    <row r="190" spans="1:28" x14ac:dyDescent="0.25">
      <c r="A190" s="1" t="str">
        <f t="shared" si="65"/>
        <v xml:space="preserve">     Tatum, Paul</v>
      </c>
      <c r="B190" s="8">
        <f t="shared" si="66"/>
        <v>5457.76</v>
      </c>
    </row>
    <row r="191" spans="1:28" x14ac:dyDescent="0.25">
      <c r="A191" s="1" t="str">
        <f t="shared" si="65"/>
        <v xml:space="preserve">     Veach, Kyle</v>
      </c>
      <c r="B191" s="8">
        <f t="shared" si="66"/>
        <v>0</v>
      </c>
    </row>
    <row r="192" spans="1:28" x14ac:dyDescent="0.25">
      <c r="A192" s="1"/>
    </row>
    <row r="193" spans="1:31" x14ac:dyDescent="0.25">
      <c r="B193" s="8">
        <f>SUM(B148:B191)</f>
        <v>95592.112600000008</v>
      </c>
      <c r="D193" s="5"/>
      <c r="E193" s="5"/>
      <c r="F193" s="30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:31" x14ac:dyDescent="0.25">
      <c r="D194" s="5"/>
      <c r="E194" s="5"/>
      <c r="F194" s="30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:31" x14ac:dyDescent="0.25">
      <c r="A195" s="1" t="s">
        <v>131</v>
      </c>
      <c r="B195" s="8">
        <f t="shared" ref="B195:B200" si="67">+D128</f>
        <v>4632.04</v>
      </c>
      <c r="D195" s="5"/>
      <c r="E195" s="5"/>
      <c r="F195" s="30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:31" x14ac:dyDescent="0.25">
      <c r="A196" s="1" t="s">
        <v>136</v>
      </c>
      <c r="B196" s="8">
        <f t="shared" si="67"/>
        <v>4683.4620000000004</v>
      </c>
      <c r="D196" s="5"/>
      <c r="E196" s="5"/>
      <c r="F196" s="30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:31" x14ac:dyDescent="0.25">
      <c r="A197" s="1" t="s">
        <v>141</v>
      </c>
      <c r="B197" s="8">
        <f t="shared" si="67"/>
        <v>0</v>
      </c>
      <c r="D197" s="5"/>
      <c r="E197" s="5"/>
      <c r="F197" s="30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:31" x14ac:dyDescent="0.25">
      <c r="A198" s="1" t="s">
        <v>143</v>
      </c>
      <c r="B198" s="8">
        <f t="shared" si="67"/>
        <v>28306.2</v>
      </c>
      <c r="D198" s="5"/>
      <c r="E198" s="5"/>
      <c r="F198" s="30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:31" x14ac:dyDescent="0.25">
      <c r="A199" s="1" t="s">
        <v>150</v>
      </c>
      <c r="B199" s="8">
        <f t="shared" si="67"/>
        <v>0</v>
      </c>
      <c r="D199" s="5"/>
      <c r="E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:31" x14ac:dyDescent="0.25">
      <c r="A200" s="1" t="s">
        <v>149</v>
      </c>
      <c r="B200" s="8">
        <f t="shared" si="67"/>
        <v>4653.9780000000001</v>
      </c>
      <c r="D200" s="5"/>
      <c r="E200" s="5"/>
      <c r="F200" s="30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:31" x14ac:dyDescent="0.25">
      <c r="A201" s="1"/>
      <c r="D201" s="5"/>
      <c r="E201" s="5"/>
      <c r="F201" s="30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:31" x14ac:dyDescent="0.25">
      <c r="A202" s="1"/>
      <c r="B202" s="8">
        <f>SUM(B195:B201)</f>
        <v>42275.680000000008</v>
      </c>
      <c r="D202" s="5"/>
      <c r="E202" s="5"/>
      <c r="F202" s="30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:31" s="52" customFormat="1" ht="19.5" x14ac:dyDescent="0.35">
      <c r="A203" s="1"/>
      <c r="B203" s="8"/>
    </row>
    <row r="204" spans="1:31" ht="19.5" x14ac:dyDescent="0.35">
      <c r="A204" s="49" t="s">
        <v>151</v>
      </c>
      <c r="B204" s="136">
        <f>B193+B202</f>
        <v>137867.79260000002</v>
      </c>
      <c r="C204" s="58"/>
      <c r="D204" s="50">
        <f>SUM(D147:D199)</f>
        <v>0</v>
      </c>
      <c r="E204" s="50"/>
      <c r="F204" s="50">
        <f>B204*F69</f>
        <v>19312.342187160473</v>
      </c>
      <c r="G204" s="50"/>
      <c r="H204" s="50"/>
      <c r="I204" s="50"/>
      <c r="J204" s="50">
        <f>B204*J69</f>
        <v>0</v>
      </c>
      <c r="K204" s="50"/>
      <c r="L204" s="50">
        <f>B204*L69</f>
        <v>7346.3838573401126</v>
      </c>
      <c r="M204" s="50"/>
      <c r="N204" s="50">
        <f>B204*N69</f>
        <v>0</v>
      </c>
      <c r="O204" s="50"/>
      <c r="P204" s="50">
        <f>B204*P69</f>
        <v>21817.316245847094</v>
      </c>
      <c r="Q204" s="50"/>
      <c r="R204" s="50">
        <f>B204*R69</f>
        <v>0</v>
      </c>
      <c r="S204" s="50"/>
      <c r="T204" s="50">
        <f>B204*T69</f>
        <v>4293.1405670445492</v>
      </c>
      <c r="U204" s="50"/>
      <c r="V204" s="50">
        <f>B204*V69</f>
        <v>42517.659198582638</v>
      </c>
      <c r="W204" s="50"/>
      <c r="X204" s="50">
        <f>B204*X69</f>
        <v>31858.600903196948</v>
      </c>
      <c r="Y204" s="50"/>
      <c r="Z204" s="50">
        <f>B204*Z69</f>
        <v>9501.7607779056816</v>
      </c>
      <c r="AA204" s="50"/>
      <c r="AB204" s="50">
        <f>B204*AB69</f>
        <v>1220.6170539666559</v>
      </c>
      <c r="AC204" s="51">
        <f>SUM(D204:AB204)-B204</f>
        <v>2.8191044111736119E-2</v>
      </c>
      <c r="AD204" s="52"/>
      <c r="AE204" s="91">
        <f>+SUM(L204:AC204)-B204</f>
        <v>-19312.285805072228</v>
      </c>
    </row>
    <row r="205" spans="1:31" x14ac:dyDescent="0.25">
      <c r="C205" s="5"/>
      <c r="D205">
        <v>675.8</v>
      </c>
      <c r="F205">
        <v>101</v>
      </c>
      <c r="J205">
        <v>620.1</v>
      </c>
      <c r="L205">
        <v>620.20000000000005</v>
      </c>
      <c r="N205">
        <v>620.29999999999995</v>
      </c>
      <c r="P205">
        <v>620.4</v>
      </c>
      <c r="R205">
        <v>620.5</v>
      </c>
      <c r="T205">
        <v>620.6</v>
      </c>
      <c r="V205">
        <v>620.70000000000005</v>
      </c>
      <c r="X205">
        <v>620.79999999999995</v>
      </c>
      <c r="Z205">
        <v>604</v>
      </c>
      <c r="AB205">
        <v>650</v>
      </c>
    </row>
    <row r="206" spans="1:31" x14ac:dyDescent="0.25">
      <c r="A206" s="1"/>
    </row>
    <row r="207" spans="1:31" x14ac:dyDescent="0.25">
      <c r="A207" s="1" t="s">
        <v>110</v>
      </c>
      <c r="F207" s="57" t="s">
        <v>152</v>
      </c>
    </row>
    <row r="209" spans="1:30" x14ac:dyDescent="0.25">
      <c r="H209">
        <f>+H4</f>
        <v>2018</v>
      </c>
      <c r="J209" s="1" t="s">
        <v>111</v>
      </c>
    </row>
    <row r="211" spans="1:30" x14ac:dyDescent="0.25">
      <c r="D211" s="59">
        <f>D204</f>
        <v>0</v>
      </c>
      <c r="E211" s="59"/>
      <c r="F211" s="59">
        <f>F204</f>
        <v>19312.342187160473</v>
      </c>
      <c r="G211" s="59"/>
      <c r="H211" s="59">
        <f>H204</f>
        <v>0</v>
      </c>
      <c r="I211" s="59"/>
      <c r="J211" s="59">
        <f>J204</f>
        <v>0</v>
      </c>
      <c r="K211" s="59"/>
      <c r="L211" s="59">
        <f>L204</f>
        <v>7346.3838573401126</v>
      </c>
      <c r="M211" s="59"/>
      <c r="N211" s="59">
        <f>N204</f>
        <v>0</v>
      </c>
      <c r="O211" s="59"/>
      <c r="P211" s="59">
        <f>P204</f>
        <v>21817.316245847094</v>
      </c>
      <c r="Q211" s="59"/>
      <c r="R211" s="59">
        <f>R204</f>
        <v>0</v>
      </c>
      <c r="S211" s="59"/>
      <c r="T211" s="59">
        <f>T204</f>
        <v>4293.1405670445492</v>
      </c>
      <c r="U211" s="59"/>
      <c r="V211" s="59">
        <f>V204</f>
        <v>42517.659198582638</v>
      </c>
      <c r="W211" s="59"/>
      <c r="X211" s="59">
        <f>X204</f>
        <v>31858.600903196948</v>
      </c>
      <c r="Y211" s="59"/>
      <c r="Z211" s="59">
        <f>Z204</f>
        <v>9501.7607779056816</v>
      </c>
      <c r="AA211" s="59"/>
      <c r="AB211" s="59">
        <f>AB204</f>
        <v>1220.6170539666559</v>
      </c>
      <c r="AC211" s="59">
        <f>SUM(D211:AB211)</f>
        <v>137867.82079104413</v>
      </c>
    </row>
    <row r="212" spans="1:30" x14ac:dyDescent="0.25">
      <c r="A212" s="1" t="s">
        <v>160</v>
      </c>
    </row>
    <row r="213" spans="1:30" x14ac:dyDescent="0.25">
      <c r="A213" s="1" t="s">
        <v>161</v>
      </c>
    </row>
    <row r="214" spans="1:30" x14ac:dyDescent="0.25"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:30" x14ac:dyDescent="0.25">
      <c r="A215" s="1" t="s">
        <v>162</v>
      </c>
      <c r="D215" s="5">
        <f>D211*0.0765</f>
        <v>0</v>
      </c>
      <c r="E215" s="5"/>
      <c r="F215" s="5">
        <f>F211*0.0765</f>
        <v>1477.3941773177762</v>
      </c>
      <c r="G215" s="5"/>
      <c r="H215" s="5">
        <f>H211*0.0765</f>
        <v>0</v>
      </c>
      <c r="I215" s="5"/>
      <c r="J215" s="5">
        <f>J211*0.0765</f>
        <v>0</v>
      </c>
      <c r="K215" s="5"/>
      <c r="L215" s="5">
        <f>L211*0.0765</f>
        <v>561.99836508651856</v>
      </c>
      <c r="M215" s="5"/>
      <c r="N215" s="5">
        <f>N211*0.0765</f>
        <v>0</v>
      </c>
      <c r="O215" s="5"/>
      <c r="P215" s="5">
        <f>P211*0.0765</f>
        <v>1669.0246928073027</v>
      </c>
      <c r="Q215" s="5"/>
      <c r="R215" s="5">
        <f>R211*0.0765</f>
        <v>0</v>
      </c>
      <c r="S215" s="5"/>
      <c r="T215" s="5">
        <f>T211*0.0765</f>
        <v>328.425253378908</v>
      </c>
      <c r="U215" s="5"/>
      <c r="V215" s="5">
        <f>V211*0.0765</f>
        <v>3252.6009286915719</v>
      </c>
      <c r="W215" s="5"/>
      <c r="X215" s="5">
        <f>X211*0.0765</f>
        <v>2437.1829690945665</v>
      </c>
      <c r="Y215" s="5"/>
      <c r="Z215" s="5">
        <f>Z211*0.0765</f>
        <v>726.88469950978458</v>
      </c>
      <c r="AA215" s="5"/>
      <c r="AB215" s="5">
        <f>AB211*0.0765</f>
        <v>93.377204628449178</v>
      </c>
      <c r="AC215" s="5">
        <f>SUM(D215:AB215)</f>
        <v>10546.888290514877</v>
      </c>
    </row>
    <row r="216" spans="1:30" x14ac:dyDescent="0.25"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 spans="1:30" x14ac:dyDescent="0.25">
      <c r="A217" s="1" t="s">
        <v>526</v>
      </c>
      <c r="B217" s="8">
        <f>+B149+B151+B152+B153+B154+B155+B158+B160+B161+B163+B165+B166+B170+B172+B173+B174+B175+B181+B182+B183+B186</f>
        <v>32327.491099999992</v>
      </c>
      <c r="D217" s="5">
        <f>D211*0.037</f>
        <v>0</v>
      </c>
      <c r="E217" s="5"/>
      <c r="F217" s="5">
        <f>SUM(B217*0.0025)*F69</f>
        <v>11.32098292142353</v>
      </c>
      <c r="G217" s="5"/>
      <c r="H217" s="5">
        <f>H211*0.01</f>
        <v>0</v>
      </c>
      <c r="I217" s="5"/>
      <c r="J217" s="5">
        <f>J211*0.01</f>
        <v>0</v>
      </c>
      <c r="K217" s="5"/>
      <c r="L217" s="5">
        <f>SUM(B217*0.0025)*L69</f>
        <v>4.3064836661014709</v>
      </c>
      <c r="M217" s="5"/>
      <c r="N217" s="5">
        <f>N211*0.01</f>
        <v>0</v>
      </c>
      <c r="O217" s="5"/>
      <c r="P217" s="5">
        <f>SUM(B217*0.0025)*P69</f>
        <v>12.78941012005996</v>
      </c>
      <c r="Q217" s="5"/>
      <c r="R217" s="5">
        <f>R211*0.01</f>
        <v>0</v>
      </c>
      <c r="S217" s="5"/>
      <c r="T217" s="5">
        <f>SUM(B217*0.0025)*T69</f>
        <v>2.5166585475631522</v>
      </c>
      <c r="U217" s="5"/>
      <c r="V217" s="5">
        <f>SUM(B217*0.0025)*V69</f>
        <v>24.924045409990352</v>
      </c>
      <c r="W217" s="5"/>
      <c r="X217" s="5">
        <f>SUM(B217*0.0025)*X69</f>
        <v>18.675656905319723</v>
      </c>
      <c r="Y217" s="5"/>
      <c r="Z217" s="5">
        <f>SUM(B217*0.0025)*Z69</f>
        <v>5.5699754306154547</v>
      </c>
      <c r="AA217" s="5"/>
      <c r="AB217" s="5">
        <f>SUM(B217*0.0025)*AB69</f>
        <v>0.71553127464476562</v>
      </c>
      <c r="AC217" s="5">
        <f>SUM(D217:AB217)</f>
        <v>80.818744275718416</v>
      </c>
      <c r="AD217" s="5">
        <f>SUM(B217*0.0086)-AC217</f>
        <v>197.19767918428153</v>
      </c>
    </row>
    <row r="218" spans="1:30" x14ac:dyDescent="0.25">
      <c r="B218" s="8" t="s">
        <v>165</v>
      </c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spans="1:30" x14ac:dyDescent="0.25">
      <c r="A219" t="s">
        <v>166</v>
      </c>
      <c r="D219" s="5">
        <f>D213*0.037</f>
        <v>0</v>
      </c>
      <c r="E219" s="5"/>
      <c r="F219" s="5">
        <f>SUM(B219*0.008)*F69</f>
        <v>0</v>
      </c>
      <c r="G219" s="5"/>
      <c r="H219" s="5">
        <v>0</v>
      </c>
      <c r="I219" s="5"/>
      <c r="J219" s="5">
        <v>0</v>
      </c>
      <c r="K219" s="5"/>
      <c r="L219" s="5">
        <v>0</v>
      </c>
      <c r="M219" s="5"/>
      <c r="N219" s="5">
        <v>0</v>
      </c>
      <c r="O219" s="5"/>
      <c r="P219" s="5">
        <v>0</v>
      </c>
      <c r="Q219" s="5"/>
      <c r="R219" s="5">
        <v>0</v>
      </c>
      <c r="S219" s="5"/>
      <c r="T219" s="5">
        <v>0</v>
      </c>
      <c r="U219" s="5"/>
      <c r="V219" s="5">
        <v>0</v>
      </c>
      <c r="W219" s="5"/>
      <c r="X219" s="5">
        <v>0</v>
      </c>
      <c r="Y219" s="5"/>
      <c r="Z219" s="5">
        <v>0</v>
      </c>
      <c r="AA219" s="5"/>
      <c r="AB219" s="5">
        <v>0</v>
      </c>
      <c r="AC219" s="5">
        <v>0</v>
      </c>
      <c r="AD219" s="5">
        <v>0</v>
      </c>
    </row>
    <row r="220" spans="1:30" x14ac:dyDescent="0.25"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</row>
    <row r="221" spans="1:30" x14ac:dyDescent="0.25">
      <c r="A221" t="s">
        <v>203</v>
      </c>
      <c r="B221" s="8">
        <f>+J231</f>
        <v>-13127.817399999994</v>
      </c>
      <c r="D221" s="5"/>
      <c r="E221" s="5"/>
      <c r="F221" s="5">
        <f>+B221*F69</f>
        <v>-1838.9276931047286</v>
      </c>
      <c r="G221" s="5"/>
      <c r="H221" s="5">
        <f>+B221*H69</f>
        <v>0</v>
      </c>
      <c r="I221" s="5"/>
      <c r="J221" s="5">
        <f>+B221*J69</f>
        <v>0</v>
      </c>
      <c r="K221" s="5"/>
      <c r="L221" s="5">
        <f>+B221*L69</f>
        <v>-699.52513208997732</v>
      </c>
      <c r="M221" s="5"/>
      <c r="N221" s="5">
        <f>+B221*N69</f>
        <v>0</v>
      </c>
      <c r="O221" s="5"/>
      <c r="P221" s="5">
        <f>+B221*P69</f>
        <v>-2077.4521621921872</v>
      </c>
      <c r="Q221" s="5"/>
      <c r="R221" s="5">
        <f>+B221*R69</f>
        <v>0</v>
      </c>
      <c r="S221" s="5"/>
      <c r="T221" s="5">
        <f>+B221*T69</f>
        <v>-408.79428308692064</v>
      </c>
      <c r="U221" s="5"/>
      <c r="V221" s="5">
        <f>+B221*V69</f>
        <v>-4048.5457532046025</v>
      </c>
      <c r="W221" s="5"/>
      <c r="X221" s="5">
        <f>+B221*X69</f>
        <v>-3033.5866513078877</v>
      </c>
      <c r="Y221" s="5"/>
      <c r="Z221" s="5">
        <f>+B221*Z69</f>
        <v>-904.76084456310991</v>
      </c>
      <c r="AA221" s="5"/>
      <c r="AB221" s="5">
        <f>+B221*AB69</f>
        <v>-116.22756481124799</v>
      </c>
      <c r="AC221" s="5">
        <f>SUM(D221:AB221)</f>
        <v>-13127.820084360663</v>
      </c>
      <c r="AD221" s="5">
        <f>+AC221-B221</f>
        <v>-2.6843606683542021E-3</v>
      </c>
    </row>
    <row r="222" spans="1:30" x14ac:dyDescent="0.25"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:30" s="52" customFormat="1" ht="20.25" thickBot="1" x14ac:dyDescent="0.4">
      <c r="A223" s="49" t="s">
        <v>163</v>
      </c>
      <c r="B223" s="136"/>
      <c r="C223" s="58"/>
      <c r="D223" s="60">
        <f>SUM(D211:D218)</f>
        <v>0</v>
      </c>
      <c r="E223" s="60"/>
      <c r="F223" s="60">
        <f>SUM(F215:F221)</f>
        <v>-350.21253286552883</v>
      </c>
      <c r="G223" s="60"/>
      <c r="H223" s="60">
        <f>SUM(H215:H221)</f>
        <v>0</v>
      </c>
      <c r="I223" s="60"/>
      <c r="J223" s="60">
        <f>SUM(J215:J221)</f>
        <v>0</v>
      </c>
      <c r="K223" s="60"/>
      <c r="L223" s="60">
        <f>SUM(L215:L221)</f>
        <v>-133.22028333735727</v>
      </c>
      <c r="M223" s="60"/>
      <c r="N223" s="60">
        <f>SUM(N215:N221)</f>
        <v>0</v>
      </c>
      <c r="O223" s="60"/>
      <c r="P223" s="60">
        <f>SUM(P215:P221)</f>
        <v>-395.63805926482451</v>
      </c>
      <c r="Q223" s="60"/>
      <c r="R223" s="60">
        <f>SUM(R215:R221)</f>
        <v>0</v>
      </c>
      <c r="S223" s="60"/>
      <c r="T223" s="60">
        <f>SUM(T215:T221)</f>
        <v>-77.852371160449479</v>
      </c>
      <c r="U223" s="60"/>
      <c r="V223" s="60">
        <f>SUM(V215:V221)</f>
        <v>-771.02077910304024</v>
      </c>
      <c r="W223" s="60"/>
      <c r="X223" s="60">
        <f>SUM(X215:X221)</f>
        <v>-577.72802530800163</v>
      </c>
      <c r="Y223" s="60"/>
      <c r="Z223" s="60">
        <f>SUM(Z215:Z221)</f>
        <v>-172.30616962270983</v>
      </c>
      <c r="AA223" s="60"/>
      <c r="AB223" s="60">
        <f>SUM(AB215:AB221)</f>
        <v>-22.134828908154049</v>
      </c>
      <c r="AC223" s="61">
        <f>SUM(D223:AB223)</f>
        <v>-2500.1130495700659</v>
      </c>
      <c r="AD223" s="51">
        <f>+AC223-SUM(AC215:AC221)</f>
        <v>0</v>
      </c>
    </row>
    <row r="224" spans="1:30" ht="16.5" thickTop="1" x14ac:dyDescent="0.25"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1" t="s">
        <v>164</v>
      </c>
    </row>
    <row r="227" spans="1:10" x14ac:dyDescent="0.25">
      <c r="A227" s="1"/>
    </row>
    <row r="228" spans="1:10" x14ac:dyDescent="0.25">
      <c r="A228" s="1" t="s">
        <v>203</v>
      </c>
      <c r="B228" s="137" t="s">
        <v>527</v>
      </c>
      <c r="D228" s="24" t="s">
        <v>506</v>
      </c>
      <c r="F228" s="24" t="s">
        <v>528</v>
      </c>
      <c r="H228" t="s">
        <v>62</v>
      </c>
    </row>
    <row r="229" spans="1:10" x14ac:dyDescent="0.25">
      <c r="A229" t="s">
        <v>204</v>
      </c>
      <c r="B229" s="137">
        <v>39532</v>
      </c>
      <c r="D229" s="24">
        <v>1.0651999999999999</v>
      </c>
      <c r="F229" s="24">
        <v>0.73855000000000004</v>
      </c>
      <c r="H229">
        <f>+F229-D229</f>
        <v>-0.32664999999999988</v>
      </c>
      <c r="J229" s="8">
        <f>+B229*H229</f>
        <v>-12913.127799999995</v>
      </c>
    </row>
    <row r="230" spans="1:10" x14ac:dyDescent="0.25">
      <c r="A230" t="s">
        <v>205</v>
      </c>
      <c r="B230" s="137">
        <v>29818</v>
      </c>
      <c r="D230" s="24">
        <v>8.5500000000000007E-2</v>
      </c>
      <c r="F230" s="24">
        <v>7.8299999999999995E-2</v>
      </c>
      <c r="H230">
        <f>+F230-D230</f>
        <v>-7.2000000000000119E-3</v>
      </c>
      <c r="J230" s="8">
        <f>+B230*H230</f>
        <v>-214.68960000000035</v>
      </c>
    </row>
    <row r="231" spans="1:10" ht="16.5" thickBot="1" x14ac:dyDescent="0.3">
      <c r="J231" s="132">
        <f>SUM(J229:J230)</f>
        <v>-13127.817399999994</v>
      </c>
    </row>
    <row r="232" spans="1:10" ht="16.5" thickTop="1" x14ac:dyDescent="0.25">
      <c r="D232" s="24"/>
    </row>
    <row r="233" spans="1:10" x14ac:dyDescent="0.25">
      <c r="A233" s="1"/>
      <c r="B233" s="27"/>
      <c r="D233" s="24"/>
    </row>
    <row r="234" spans="1:10" x14ac:dyDescent="0.25">
      <c r="B234" s="27"/>
    </row>
    <row r="236" spans="1:10" x14ac:dyDescent="0.25">
      <c r="A236" s="1"/>
    </row>
    <row r="237" spans="1:10" x14ac:dyDescent="0.25">
      <c r="A237" s="1"/>
    </row>
    <row r="238" spans="1:10" x14ac:dyDescent="0.25">
      <c r="A238" s="1"/>
    </row>
    <row r="239" spans="1:10" x14ac:dyDescent="0.25">
      <c r="A239" s="1"/>
    </row>
    <row r="240" spans="1:10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2" x14ac:dyDescent="0.25">
      <c r="A257" s="1"/>
    </row>
    <row r="258" spans="1:2" x14ac:dyDescent="0.25">
      <c r="A258" s="1"/>
    </row>
    <row r="259" spans="1:2" x14ac:dyDescent="0.25">
      <c r="A259" s="1"/>
    </row>
    <row r="260" spans="1:2" x14ac:dyDescent="0.25">
      <c r="A260" s="1"/>
    </row>
    <row r="261" spans="1:2" x14ac:dyDescent="0.25">
      <c r="A261" s="1"/>
      <c r="B261" s="135"/>
    </row>
    <row r="265" spans="1:2" x14ac:dyDescent="0.25">
      <c r="A265" s="1"/>
      <c r="B265" s="135"/>
    </row>
    <row r="267" spans="1:2" x14ac:dyDescent="0.25">
      <c r="A267" s="62"/>
      <c r="B267" s="138"/>
    </row>
  </sheetData>
  <phoneticPr fontId="0" type="noConversion"/>
  <pageMargins left="0.75" right="0.75" top="1" bottom="1" header="0.5" footer="0.5"/>
  <pageSetup scale="34" orientation="landscape" horizontalDpi="409" verticalDpi="409" r:id="rId1"/>
  <headerFooter alignWithMargins="0"/>
  <rowBreaks count="3" manualBreakCount="3">
    <brk id="69" max="27" man="1"/>
    <brk id="137" max="27" man="1"/>
    <brk id="205" max="2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view="pageBreakPreview" topLeftCell="A16" zoomScale="85" zoomScaleNormal="75" workbookViewId="0">
      <selection activeCell="A7" sqref="A7"/>
    </sheetView>
  </sheetViews>
  <sheetFormatPr defaultRowHeight="15.75" x14ac:dyDescent="0.25"/>
  <cols>
    <col min="1" max="1" width="3.5546875" customWidth="1"/>
    <col min="2" max="2" width="21.88671875" customWidth="1"/>
    <col min="4" max="4" width="9.44140625" bestFit="1" customWidth="1"/>
    <col min="5" max="5" width="9.77734375" bestFit="1" customWidth="1"/>
    <col min="6" max="6" width="8.88671875" style="45"/>
    <col min="7" max="7" width="12.109375" bestFit="1" customWidth="1"/>
    <col min="8" max="8" width="16.44140625" style="45" bestFit="1" customWidth="1"/>
    <col min="9" max="9" width="9.44140625" bestFit="1" customWidth="1"/>
    <col min="10" max="10" width="9.77734375" bestFit="1" customWidth="1"/>
    <col min="11" max="11" width="10" bestFit="1" customWidth="1"/>
    <col min="12" max="12" width="15.44140625" bestFit="1" customWidth="1"/>
  </cols>
  <sheetData>
    <row r="1" spans="1:8" ht="20.25" x14ac:dyDescent="0.3">
      <c r="B1" s="40" t="s">
        <v>57</v>
      </c>
    </row>
    <row r="5" spans="1:8" x14ac:dyDescent="0.25">
      <c r="A5" t="s">
        <v>102</v>
      </c>
    </row>
    <row r="6" spans="1:8" x14ac:dyDescent="0.25">
      <c r="A6" t="s">
        <v>534</v>
      </c>
    </row>
    <row r="7" spans="1:8" x14ac:dyDescent="0.25">
      <c r="A7" t="s">
        <v>103</v>
      </c>
    </row>
    <row r="8" spans="1:8" x14ac:dyDescent="0.25">
      <c r="B8" s="24"/>
    </row>
    <row r="10" spans="1:8" x14ac:dyDescent="0.25">
      <c r="D10" s="115"/>
      <c r="E10" s="116"/>
      <c r="F10" s="152"/>
      <c r="G10" s="41" t="s">
        <v>105</v>
      </c>
      <c r="H10" s="148">
        <v>6</v>
      </c>
    </row>
    <row r="11" spans="1:8" x14ac:dyDescent="0.25">
      <c r="D11" s="114" t="s">
        <v>90</v>
      </c>
      <c r="E11" s="117" t="s">
        <v>104</v>
      </c>
      <c r="F11" s="149" t="s">
        <v>226</v>
      </c>
      <c r="G11" s="114" t="s">
        <v>91</v>
      </c>
      <c r="H11" s="149" t="s">
        <v>179</v>
      </c>
    </row>
    <row r="12" spans="1:8" x14ac:dyDescent="0.25">
      <c r="D12" s="42"/>
      <c r="E12" s="118">
        <v>42917</v>
      </c>
      <c r="F12" s="150" t="s">
        <v>227</v>
      </c>
      <c r="G12" s="122" t="s">
        <v>180</v>
      </c>
      <c r="H12" s="150" t="s">
        <v>106</v>
      </c>
    </row>
    <row r="13" spans="1:8" x14ac:dyDescent="0.25">
      <c r="A13" s="43">
        <v>1</v>
      </c>
      <c r="B13" s="151" t="s">
        <v>188</v>
      </c>
      <c r="D13" s="45">
        <v>464.11</v>
      </c>
      <c r="E13" s="45">
        <v>511.18</v>
      </c>
      <c r="G13" s="46">
        <f>+E13-D13-F13</f>
        <v>47.069999999999993</v>
      </c>
      <c r="H13" s="45">
        <f>+G13*H10</f>
        <v>282.41999999999996</v>
      </c>
    </row>
    <row r="14" spans="1:8" x14ac:dyDescent="0.25">
      <c r="A14" s="43">
        <v>2</v>
      </c>
      <c r="B14" s="151" t="s">
        <v>463</v>
      </c>
      <c r="D14" s="45">
        <v>464.11</v>
      </c>
      <c r="E14" s="45">
        <v>511.18</v>
      </c>
      <c r="G14" s="46">
        <f t="shared" ref="G14:G49" si="0">+E14-D14-F14</f>
        <v>47.069999999999993</v>
      </c>
      <c r="H14" s="45">
        <f>+G14*H10</f>
        <v>282.41999999999996</v>
      </c>
    </row>
    <row r="15" spans="1:8" x14ac:dyDescent="0.25">
      <c r="A15" s="43">
        <v>3</v>
      </c>
      <c r="B15" s="151" t="s">
        <v>211</v>
      </c>
      <c r="D15" s="45" t="s">
        <v>219</v>
      </c>
      <c r="E15" s="45" t="s">
        <v>219</v>
      </c>
      <c r="G15" s="46"/>
    </row>
    <row r="16" spans="1:8" x14ac:dyDescent="0.25">
      <c r="A16" s="43">
        <v>4</v>
      </c>
      <c r="B16" s="151" t="s">
        <v>189</v>
      </c>
      <c r="D16" s="45">
        <v>1669.93</v>
      </c>
      <c r="E16" s="45">
        <v>1839.27</v>
      </c>
      <c r="G16" s="46">
        <f t="shared" si="0"/>
        <v>169.33999999999992</v>
      </c>
      <c r="H16" s="45">
        <f>+G16*H10</f>
        <v>1016.0399999999995</v>
      </c>
    </row>
    <row r="17" spans="1:9" x14ac:dyDescent="0.25">
      <c r="A17" s="43">
        <v>5</v>
      </c>
      <c r="B17" s="151" t="s">
        <v>507</v>
      </c>
      <c r="D17" s="45">
        <v>464.11</v>
      </c>
      <c r="E17" s="45">
        <v>511.18</v>
      </c>
      <c r="G17" s="46">
        <f t="shared" si="0"/>
        <v>47.069999999999993</v>
      </c>
      <c r="H17" s="45">
        <f>+G17*H10</f>
        <v>282.41999999999996</v>
      </c>
    </row>
    <row r="18" spans="1:9" x14ac:dyDescent="0.25">
      <c r="A18" s="43">
        <v>6</v>
      </c>
      <c r="B18" s="139" t="s">
        <v>190</v>
      </c>
      <c r="D18" s="45">
        <v>2093.23</v>
      </c>
      <c r="E18" s="45">
        <v>2380.4</v>
      </c>
      <c r="F18" s="45">
        <v>117.83</v>
      </c>
      <c r="G18" s="46">
        <f t="shared" si="0"/>
        <v>169.34000000000009</v>
      </c>
      <c r="H18" s="45">
        <f>+G18*H10</f>
        <v>1016.0400000000005</v>
      </c>
    </row>
    <row r="19" spans="1:9" x14ac:dyDescent="0.25">
      <c r="A19" s="43">
        <v>7</v>
      </c>
      <c r="B19" s="151" t="s">
        <v>511</v>
      </c>
      <c r="D19" s="45">
        <v>464.11</v>
      </c>
      <c r="E19" s="45">
        <v>511.18</v>
      </c>
      <c r="G19" s="46">
        <f t="shared" ref="G19" si="1">+E19-D19-F19</f>
        <v>47.069999999999993</v>
      </c>
      <c r="H19" s="45">
        <f>+G19*H10</f>
        <v>282.41999999999996</v>
      </c>
    </row>
    <row r="20" spans="1:9" x14ac:dyDescent="0.25">
      <c r="A20" s="43">
        <v>8</v>
      </c>
      <c r="B20" s="151" t="s">
        <v>221</v>
      </c>
      <c r="D20" s="45">
        <v>464.11</v>
      </c>
      <c r="E20" s="45">
        <v>511.18</v>
      </c>
      <c r="G20" s="46">
        <f t="shared" si="0"/>
        <v>47.069999999999993</v>
      </c>
      <c r="H20" s="45">
        <f>+G20*H10</f>
        <v>282.41999999999996</v>
      </c>
    </row>
    <row r="21" spans="1:9" x14ac:dyDescent="0.25">
      <c r="A21" s="43">
        <v>9</v>
      </c>
      <c r="B21" s="140" t="s">
        <v>212</v>
      </c>
      <c r="D21" s="45">
        <v>2093.23</v>
      </c>
      <c r="E21" s="45">
        <v>2380.4</v>
      </c>
      <c r="F21" s="45">
        <v>117.83</v>
      </c>
      <c r="G21" s="46">
        <f t="shared" si="0"/>
        <v>169.34000000000009</v>
      </c>
      <c r="H21" s="45">
        <f>+G21*H10</f>
        <v>1016.0400000000005</v>
      </c>
    </row>
    <row r="22" spans="1:9" s="45" customFormat="1" x14ac:dyDescent="0.25">
      <c r="A22" s="43">
        <v>10</v>
      </c>
      <c r="B22" s="151" t="s">
        <v>191</v>
      </c>
      <c r="D22" s="45">
        <v>464.11</v>
      </c>
      <c r="E22" s="45">
        <v>511.18</v>
      </c>
      <c r="G22" s="46">
        <f t="shared" si="0"/>
        <v>47.069999999999993</v>
      </c>
      <c r="H22" s="45">
        <f>+G22*H10</f>
        <v>282.41999999999996</v>
      </c>
    </row>
    <row r="23" spans="1:9" x14ac:dyDescent="0.25">
      <c r="A23" s="43">
        <v>11</v>
      </c>
      <c r="B23" s="139" t="s">
        <v>193</v>
      </c>
      <c r="D23" s="45">
        <v>1482.45</v>
      </c>
      <c r="E23" s="45">
        <v>1685.83</v>
      </c>
      <c r="F23" s="45">
        <v>83.45</v>
      </c>
      <c r="G23" s="46">
        <f t="shared" si="0"/>
        <v>119.92999999999988</v>
      </c>
      <c r="H23" s="45">
        <f>+G23*H10</f>
        <v>719.57999999999925</v>
      </c>
    </row>
    <row r="24" spans="1:9" x14ac:dyDescent="0.25">
      <c r="A24" s="43">
        <v>12</v>
      </c>
      <c r="B24" s="140" t="s">
        <v>474</v>
      </c>
      <c r="D24" s="45">
        <v>581.76</v>
      </c>
      <c r="E24" s="45">
        <v>661.57</v>
      </c>
      <c r="F24" s="45">
        <v>32.74</v>
      </c>
      <c r="G24" s="46">
        <f t="shared" si="0"/>
        <v>47.070000000000057</v>
      </c>
      <c r="H24" s="45">
        <f>+G24*H10</f>
        <v>282.42000000000036</v>
      </c>
    </row>
    <row r="25" spans="1:9" x14ac:dyDescent="0.25">
      <c r="A25" s="43">
        <v>13</v>
      </c>
      <c r="B25" s="151" t="s">
        <v>194</v>
      </c>
      <c r="D25" s="45">
        <v>464.11</v>
      </c>
      <c r="E25" s="45">
        <v>511.18</v>
      </c>
      <c r="G25" s="46">
        <f t="shared" si="0"/>
        <v>47.069999999999993</v>
      </c>
      <c r="H25" s="45">
        <f>+G25*H10</f>
        <v>282.41999999999996</v>
      </c>
    </row>
    <row r="26" spans="1:9" x14ac:dyDescent="0.25">
      <c r="A26" s="43">
        <v>14</v>
      </c>
      <c r="B26" s="151" t="s">
        <v>202</v>
      </c>
      <c r="D26" s="45">
        <v>1182.6600000000001</v>
      </c>
      <c r="E26" s="45">
        <v>1302.5899999999999</v>
      </c>
      <c r="G26" s="46">
        <f t="shared" si="0"/>
        <v>119.92999999999984</v>
      </c>
      <c r="H26" s="45">
        <f>+G26*H10</f>
        <v>719.57999999999902</v>
      </c>
    </row>
    <row r="27" spans="1:9" x14ac:dyDescent="0.25">
      <c r="A27" s="43">
        <v>15</v>
      </c>
      <c r="B27" s="151" t="s">
        <v>231</v>
      </c>
      <c r="D27" s="45">
        <v>1182.6600000000001</v>
      </c>
      <c r="E27" s="45">
        <v>1839.27</v>
      </c>
      <c r="G27" s="46">
        <f t="shared" ref="G27" si="2">+E27-D27-F27</f>
        <v>656.6099999999999</v>
      </c>
      <c r="H27" s="45">
        <f>+G27*H10</f>
        <v>3939.6599999999994</v>
      </c>
    </row>
    <row r="28" spans="1:9" x14ac:dyDescent="0.25">
      <c r="A28" s="43">
        <v>16</v>
      </c>
      <c r="B28" s="151" t="s">
        <v>529</v>
      </c>
      <c r="D28" s="46">
        <v>464.11</v>
      </c>
      <c r="E28" s="46">
        <v>511.18</v>
      </c>
      <c r="G28" s="46">
        <f>+E28-D28-F28</f>
        <v>47.069999999999993</v>
      </c>
      <c r="H28" s="45">
        <f>+G28*H10</f>
        <v>282.41999999999996</v>
      </c>
      <c r="I28" s="45"/>
    </row>
    <row r="29" spans="1:9" x14ac:dyDescent="0.25">
      <c r="A29" s="43">
        <v>17</v>
      </c>
      <c r="B29" s="151" t="s">
        <v>214</v>
      </c>
      <c r="D29" s="45">
        <v>1669.93</v>
      </c>
      <c r="E29" s="45">
        <v>1839.27</v>
      </c>
      <c r="G29" s="46">
        <f t="shared" si="0"/>
        <v>169.33999999999992</v>
      </c>
      <c r="H29" s="45">
        <f>+G29*H10</f>
        <v>1016.0399999999995</v>
      </c>
    </row>
    <row r="30" spans="1:9" x14ac:dyDescent="0.25">
      <c r="A30" s="43">
        <v>18</v>
      </c>
      <c r="B30" s="151" t="s">
        <v>195</v>
      </c>
      <c r="D30" s="45">
        <v>1182.6600000000001</v>
      </c>
      <c r="E30" s="45">
        <v>1302.5899999999999</v>
      </c>
      <c r="G30" s="46">
        <f t="shared" si="0"/>
        <v>119.92999999999984</v>
      </c>
      <c r="H30" s="45">
        <f>+G30*H10</f>
        <v>719.57999999999902</v>
      </c>
    </row>
    <row r="31" spans="1:9" x14ac:dyDescent="0.25">
      <c r="A31" s="43">
        <v>19</v>
      </c>
      <c r="B31" s="151" t="s">
        <v>464</v>
      </c>
      <c r="D31" s="45">
        <v>581.76</v>
      </c>
      <c r="E31" s="45">
        <v>661.57</v>
      </c>
      <c r="G31" s="46">
        <f t="shared" ref="G31" si="3">+E31-D31-F31</f>
        <v>79.810000000000059</v>
      </c>
      <c r="H31" s="45">
        <f>+G31*H10</f>
        <v>478.86000000000035</v>
      </c>
    </row>
    <row r="32" spans="1:9" x14ac:dyDescent="0.25">
      <c r="A32" s="43">
        <v>20</v>
      </c>
      <c r="B32" s="151" t="s">
        <v>196</v>
      </c>
      <c r="C32" s="129"/>
      <c r="D32" s="45">
        <v>1669.93</v>
      </c>
      <c r="E32" s="45">
        <v>1839.27</v>
      </c>
      <c r="G32" s="46">
        <f t="shared" si="0"/>
        <v>169.33999999999992</v>
      </c>
      <c r="H32" s="45">
        <f>+G32*H10</f>
        <v>1016.0399999999995</v>
      </c>
    </row>
    <row r="33" spans="1:9" x14ac:dyDescent="0.25">
      <c r="A33" s="43">
        <v>21</v>
      </c>
      <c r="B33" s="151" t="s">
        <v>530</v>
      </c>
      <c r="C33" s="129"/>
      <c r="D33" s="45">
        <v>464.11</v>
      </c>
      <c r="E33" s="45">
        <v>511.18</v>
      </c>
      <c r="G33" s="46">
        <f t="shared" si="0"/>
        <v>47.069999999999993</v>
      </c>
      <c r="H33" s="45">
        <f>+G33*H10</f>
        <v>282.41999999999996</v>
      </c>
    </row>
    <row r="34" spans="1:9" x14ac:dyDescent="0.25">
      <c r="A34" s="43">
        <v>22</v>
      </c>
      <c r="B34" s="151" t="s">
        <v>215</v>
      </c>
      <c r="D34" s="45">
        <v>1182.6600000000001</v>
      </c>
      <c r="E34" s="45">
        <v>1302.5899999999999</v>
      </c>
      <c r="G34" s="46">
        <f t="shared" si="0"/>
        <v>119.92999999999984</v>
      </c>
      <c r="H34" s="45">
        <f>+G34*H10</f>
        <v>719.57999999999902</v>
      </c>
    </row>
    <row r="35" spans="1:9" x14ac:dyDescent="0.25">
      <c r="A35" s="43">
        <v>23</v>
      </c>
      <c r="B35" s="140" t="s">
        <v>508</v>
      </c>
      <c r="C35" s="129"/>
      <c r="D35" s="45">
        <v>581.76</v>
      </c>
      <c r="E35" s="45">
        <v>661.57</v>
      </c>
      <c r="F35" s="45">
        <v>32.74</v>
      </c>
      <c r="G35" s="46">
        <f>+E35-D35-F35</f>
        <v>47.070000000000057</v>
      </c>
      <c r="H35" s="45">
        <f>+G35*H10</f>
        <v>282.42000000000036</v>
      </c>
    </row>
    <row r="36" spans="1:9" x14ac:dyDescent="0.25">
      <c r="A36" s="43">
        <v>24</v>
      </c>
      <c r="B36" s="139" t="s">
        <v>216</v>
      </c>
      <c r="D36" s="45">
        <v>581.76</v>
      </c>
      <c r="E36" s="45">
        <v>661.57</v>
      </c>
      <c r="F36" s="45">
        <v>32.74</v>
      </c>
      <c r="G36" s="46">
        <f t="shared" si="0"/>
        <v>47.070000000000057</v>
      </c>
      <c r="H36" s="45">
        <f>+G36*H10</f>
        <v>282.42000000000036</v>
      </c>
    </row>
    <row r="37" spans="1:9" x14ac:dyDescent="0.25">
      <c r="A37" s="43">
        <v>25</v>
      </c>
      <c r="B37" s="151" t="s">
        <v>531</v>
      </c>
      <c r="D37" s="45">
        <v>464.11</v>
      </c>
      <c r="E37" s="45">
        <v>511.18</v>
      </c>
      <c r="G37" s="46">
        <f t="shared" ref="G37" si="4">+E37-D37-F37</f>
        <v>47.069999999999993</v>
      </c>
      <c r="H37" s="45">
        <f>+G37*H10</f>
        <v>282.41999999999996</v>
      </c>
    </row>
    <row r="38" spans="1:9" x14ac:dyDescent="0.25">
      <c r="A38" s="43">
        <v>26</v>
      </c>
      <c r="B38" s="151" t="s">
        <v>477</v>
      </c>
      <c r="D38" s="45">
        <v>464.11</v>
      </c>
      <c r="E38" s="45">
        <v>511.18</v>
      </c>
      <c r="G38" s="46">
        <f t="shared" si="0"/>
        <v>47.069999999999993</v>
      </c>
      <c r="H38" s="45">
        <f>+G38*H10</f>
        <v>282.41999999999996</v>
      </c>
    </row>
    <row r="39" spans="1:9" x14ac:dyDescent="0.25">
      <c r="A39" s="43">
        <v>27</v>
      </c>
      <c r="B39" s="151" t="s">
        <v>217</v>
      </c>
      <c r="D39" s="45">
        <v>951.4</v>
      </c>
      <c r="E39" s="45">
        <v>1047.8699999999999</v>
      </c>
      <c r="G39" s="46">
        <f t="shared" si="0"/>
        <v>96.469999999999914</v>
      </c>
      <c r="H39" s="45">
        <f>+G39*H10</f>
        <v>578.81999999999948</v>
      </c>
    </row>
    <row r="40" spans="1:9" x14ac:dyDescent="0.25">
      <c r="A40" s="43">
        <v>28</v>
      </c>
      <c r="B40" s="151" t="s">
        <v>509</v>
      </c>
      <c r="D40" s="45">
        <v>464.11</v>
      </c>
      <c r="E40" s="45">
        <v>511.18</v>
      </c>
      <c r="G40" s="46">
        <f t="shared" si="0"/>
        <v>47.069999999999993</v>
      </c>
      <c r="H40" s="45">
        <f>+G40*H10</f>
        <v>282.41999999999996</v>
      </c>
    </row>
    <row r="41" spans="1:9" x14ac:dyDescent="0.25">
      <c r="A41" s="43">
        <v>29</v>
      </c>
      <c r="B41" s="140" t="s">
        <v>197</v>
      </c>
      <c r="C41" s="129"/>
      <c r="D41" s="45">
        <v>1482.45</v>
      </c>
      <c r="E41" s="45">
        <v>1685.83</v>
      </c>
      <c r="F41" s="45">
        <v>83.45</v>
      </c>
      <c r="G41" s="46">
        <f t="shared" si="0"/>
        <v>119.92999999999988</v>
      </c>
      <c r="H41" s="45">
        <f>+G41*H10</f>
        <v>719.57999999999925</v>
      </c>
    </row>
    <row r="42" spans="1:9" x14ac:dyDescent="0.25">
      <c r="A42" s="43">
        <v>30</v>
      </c>
      <c r="B42" s="151" t="s">
        <v>533</v>
      </c>
      <c r="C42" s="129"/>
      <c r="D42" s="45">
        <v>464.11</v>
      </c>
      <c r="E42" s="45">
        <v>511.18</v>
      </c>
      <c r="G42" s="46">
        <f t="shared" ref="G42" si="5">+E42-D42-F42</f>
        <v>47.069999999999993</v>
      </c>
      <c r="H42" s="45">
        <f>+G42*H10</f>
        <v>282.41999999999996</v>
      </c>
    </row>
    <row r="43" spans="1:9" x14ac:dyDescent="0.25">
      <c r="A43" s="43">
        <v>31</v>
      </c>
      <c r="B43" s="139" t="s">
        <v>218</v>
      </c>
      <c r="D43" s="46">
        <v>581.76</v>
      </c>
      <c r="E43" s="46">
        <v>661.57</v>
      </c>
      <c r="F43" s="45">
        <v>32.74</v>
      </c>
      <c r="G43" s="46">
        <f t="shared" si="0"/>
        <v>47.070000000000057</v>
      </c>
      <c r="H43" s="45">
        <f>+G43*H10</f>
        <v>282.42000000000036</v>
      </c>
      <c r="I43" s="45"/>
    </row>
    <row r="44" spans="1:9" x14ac:dyDescent="0.25">
      <c r="A44" s="43">
        <v>32</v>
      </c>
      <c r="B44" s="151" t="s">
        <v>222</v>
      </c>
      <c r="D44" s="46">
        <v>1182.6600000000001</v>
      </c>
      <c r="E44" s="46">
        <v>1302.5899999999999</v>
      </c>
      <c r="G44" s="46">
        <f t="shared" si="0"/>
        <v>119.92999999999984</v>
      </c>
      <c r="H44" s="45">
        <f>+G44*H10</f>
        <v>719.57999999999902</v>
      </c>
      <c r="I44" s="45"/>
    </row>
    <row r="45" spans="1:9" x14ac:dyDescent="0.25">
      <c r="A45" s="43">
        <v>33</v>
      </c>
      <c r="B45" s="151" t="s">
        <v>476</v>
      </c>
      <c r="D45" s="46">
        <v>464.11</v>
      </c>
      <c r="E45" s="46">
        <v>511.18</v>
      </c>
      <c r="G45" s="46">
        <f t="shared" si="0"/>
        <v>47.069999999999993</v>
      </c>
      <c r="H45" s="45">
        <f>+G45*H10</f>
        <v>282.41999999999996</v>
      </c>
      <c r="I45" s="45"/>
    </row>
    <row r="46" spans="1:9" x14ac:dyDescent="0.25">
      <c r="A46" s="43">
        <v>34</v>
      </c>
      <c r="B46" s="140" t="s">
        <v>532</v>
      </c>
      <c r="D46" s="46">
        <v>581.76</v>
      </c>
      <c r="E46" s="46">
        <v>661.57</v>
      </c>
      <c r="F46" s="45">
        <v>32.74</v>
      </c>
      <c r="G46" s="46">
        <f t="shared" si="0"/>
        <v>47.070000000000057</v>
      </c>
      <c r="H46" s="45">
        <f>+G46*H10</f>
        <v>282.42000000000036</v>
      </c>
      <c r="I46" s="45"/>
    </row>
    <row r="47" spans="1:9" x14ac:dyDescent="0.25">
      <c r="A47" s="43">
        <v>35</v>
      </c>
      <c r="B47" s="151" t="s">
        <v>465</v>
      </c>
      <c r="D47" s="45">
        <v>951.4</v>
      </c>
      <c r="E47" s="45">
        <v>1047.8699999999999</v>
      </c>
      <c r="G47" s="46">
        <f t="shared" si="0"/>
        <v>96.469999999999914</v>
      </c>
      <c r="H47" s="45">
        <f>+G47*H10</f>
        <v>578.81999999999948</v>
      </c>
      <c r="I47" s="45"/>
    </row>
    <row r="48" spans="1:9" x14ac:dyDescent="0.25">
      <c r="A48" s="43">
        <v>36</v>
      </c>
      <c r="B48" s="151" t="s">
        <v>466</v>
      </c>
      <c r="D48" s="45">
        <v>1669.93</v>
      </c>
      <c r="E48" s="45">
        <v>1839.27</v>
      </c>
      <c r="G48" s="46">
        <f t="shared" si="0"/>
        <v>169.33999999999992</v>
      </c>
      <c r="H48" s="45">
        <f>+G48*H10</f>
        <v>1016.0399999999995</v>
      </c>
      <c r="I48" s="45"/>
    </row>
    <row r="49" spans="1:9" x14ac:dyDescent="0.25">
      <c r="A49" s="43">
        <v>37</v>
      </c>
      <c r="B49" s="151" t="s">
        <v>199</v>
      </c>
      <c r="D49" s="45">
        <v>1182.6600000000001</v>
      </c>
      <c r="E49" s="45">
        <v>1302.5899999999999</v>
      </c>
      <c r="G49" s="46">
        <f t="shared" si="0"/>
        <v>119.92999999999984</v>
      </c>
      <c r="H49" s="45">
        <f>+G49*H10</f>
        <v>719.57999999999902</v>
      </c>
      <c r="I49" s="45"/>
    </row>
    <row r="50" spans="1:9" x14ac:dyDescent="0.25">
      <c r="B50" s="139"/>
      <c r="D50" s="45"/>
      <c r="E50" s="45"/>
      <c r="G50" s="45"/>
      <c r="I50" s="45"/>
    </row>
    <row r="51" spans="1:9" ht="16.5" thickBot="1" x14ac:dyDescent="0.3">
      <c r="D51" s="45"/>
      <c r="E51" s="45"/>
      <c r="G51" s="45"/>
      <c r="H51" s="47">
        <f>SUM(H13:H49)</f>
        <v>22075.439999999988</v>
      </c>
      <c r="I51" s="45"/>
    </row>
    <row r="52" spans="1:9" ht="16.5" thickTop="1" x14ac:dyDescent="0.25">
      <c r="D52" s="45"/>
      <c r="E52" s="45"/>
      <c r="G52" s="45"/>
      <c r="I52" s="45"/>
    </row>
    <row r="53" spans="1:9" ht="16.5" thickBot="1" x14ac:dyDescent="0.3">
      <c r="C53" s="44" t="s">
        <v>107</v>
      </c>
      <c r="D53" s="45"/>
      <c r="E53" s="45"/>
      <c r="G53" s="45"/>
      <c r="H53" s="47">
        <f>+H51</f>
        <v>22075.439999999988</v>
      </c>
      <c r="I53" s="45"/>
    </row>
    <row r="54" spans="1:9" ht="16.5" thickTop="1" x14ac:dyDescent="0.25">
      <c r="D54" s="45"/>
      <c r="E54" s="45"/>
      <c r="G54" s="45"/>
      <c r="I54" s="45"/>
    </row>
    <row r="55" spans="1:9" x14ac:dyDescent="0.25">
      <c r="D55" s="45"/>
      <c r="E55" s="45"/>
      <c r="G55" s="45"/>
      <c r="I55" s="45"/>
    </row>
    <row r="56" spans="1:9" x14ac:dyDescent="0.25">
      <c r="D56" s="45"/>
      <c r="E56" s="45"/>
      <c r="G56" s="45"/>
      <c r="I56" s="45"/>
    </row>
    <row r="57" spans="1:9" x14ac:dyDescent="0.25">
      <c r="D57" s="45"/>
      <c r="E57" s="45"/>
      <c r="G57" s="45"/>
      <c r="I57" s="45"/>
    </row>
    <row r="58" spans="1:9" x14ac:dyDescent="0.25">
      <c r="D58" s="45"/>
      <c r="E58" s="45"/>
      <c r="G58" s="45"/>
      <c r="I58" s="45"/>
    </row>
    <row r="59" spans="1:9" x14ac:dyDescent="0.25">
      <c r="D59" s="45"/>
      <c r="E59" s="45"/>
      <c r="G59" s="45"/>
      <c r="I59" s="45"/>
    </row>
    <row r="60" spans="1:9" x14ac:dyDescent="0.25">
      <c r="D60" s="45"/>
      <c r="E60" s="45"/>
      <c r="G60" s="45"/>
      <c r="I60" s="45"/>
    </row>
    <row r="61" spans="1:9" x14ac:dyDescent="0.25">
      <c r="D61" s="45"/>
      <c r="E61" s="45"/>
      <c r="G61" s="45"/>
      <c r="I61" s="45"/>
    </row>
    <row r="62" spans="1:9" x14ac:dyDescent="0.25">
      <c r="D62" s="45"/>
      <c r="E62" s="45"/>
      <c r="G62" s="45"/>
      <c r="I62" s="45"/>
    </row>
    <row r="63" spans="1:9" x14ac:dyDescent="0.25">
      <c r="D63" s="45"/>
      <c r="E63" s="45"/>
      <c r="G63" s="45"/>
      <c r="I63" s="45"/>
    </row>
    <row r="64" spans="1:9" x14ac:dyDescent="0.25">
      <c r="D64" s="45"/>
      <c r="E64" s="45"/>
      <c r="G64" s="45"/>
      <c r="I64" s="45"/>
    </row>
    <row r="65" spans="4:9" x14ac:dyDescent="0.25">
      <c r="D65" s="45"/>
      <c r="E65" s="45"/>
      <c r="G65" s="45"/>
      <c r="I65" s="45"/>
    </row>
    <row r="66" spans="4:9" x14ac:dyDescent="0.25">
      <c r="D66" s="45"/>
      <c r="E66" s="45"/>
      <c r="G66" s="45"/>
      <c r="I66" s="45"/>
    </row>
    <row r="67" spans="4:9" x14ac:dyDescent="0.25">
      <c r="D67" s="45"/>
      <c r="E67" s="45"/>
      <c r="G67" s="45"/>
      <c r="I67" s="45"/>
    </row>
    <row r="68" spans="4:9" x14ac:dyDescent="0.25">
      <c r="D68" s="45"/>
      <c r="E68" s="45"/>
      <c r="G68" s="45"/>
      <c r="I68" s="45"/>
    </row>
    <row r="69" spans="4:9" x14ac:dyDescent="0.25">
      <c r="D69" s="45"/>
      <c r="E69" s="45"/>
      <c r="G69" s="45"/>
      <c r="I69" s="45"/>
    </row>
    <row r="70" spans="4:9" x14ac:dyDescent="0.25">
      <c r="D70" s="45"/>
      <c r="E70" s="45"/>
      <c r="G70" s="45"/>
      <c r="I70" s="45"/>
    </row>
    <row r="71" spans="4:9" x14ac:dyDescent="0.25">
      <c r="D71" s="45"/>
      <c r="E71" s="45"/>
      <c r="G71" s="45"/>
      <c r="I71" s="45"/>
    </row>
    <row r="72" spans="4:9" x14ac:dyDescent="0.25">
      <c r="D72" s="45"/>
      <c r="E72" s="45"/>
      <c r="G72" s="45"/>
      <c r="I72" s="45"/>
    </row>
    <row r="73" spans="4:9" x14ac:dyDescent="0.25">
      <c r="D73" s="45"/>
      <c r="E73" s="45"/>
      <c r="G73" s="45"/>
      <c r="I73" s="45"/>
    </row>
    <row r="74" spans="4:9" x14ac:dyDescent="0.25">
      <c r="D74" s="45"/>
      <c r="E74" s="45"/>
      <c r="G74" s="45"/>
      <c r="I74" s="45"/>
    </row>
    <row r="75" spans="4:9" x14ac:dyDescent="0.25">
      <c r="D75" s="45"/>
      <c r="E75" s="45"/>
      <c r="G75" s="45"/>
      <c r="I75" s="45"/>
    </row>
    <row r="76" spans="4:9" x14ac:dyDescent="0.25">
      <c r="D76" s="45"/>
      <c r="E76" s="45"/>
      <c r="G76" s="45"/>
      <c r="I76" s="45"/>
    </row>
    <row r="77" spans="4:9" x14ac:dyDescent="0.25">
      <c r="D77" s="45"/>
      <c r="E77" s="45"/>
      <c r="G77" s="45"/>
      <c r="I77" s="45"/>
    </row>
    <row r="78" spans="4:9" x14ac:dyDescent="0.25">
      <c r="D78" s="45"/>
      <c r="E78" s="45"/>
      <c r="G78" s="45"/>
      <c r="I78" s="45"/>
    </row>
    <row r="79" spans="4:9" x14ac:dyDescent="0.25">
      <c r="D79" s="45"/>
      <c r="E79" s="45"/>
      <c r="G79" s="45"/>
      <c r="I79" s="45"/>
    </row>
    <row r="80" spans="4:9" x14ac:dyDescent="0.25">
      <c r="D80" s="45"/>
      <c r="E80" s="45"/>
      <c r="G80" s="45"/>
      <c r="I80" s="45"/>
    </row>
    <row r="81" spans="4:9" x14ac:dyDescent="0.25">
      <c r="D81" s="45"/>
      <c r="E81" s="45"/>
      <c r="G81" s="45"/>
      <c r="I81" s="45"/>
    </row>
    <row r="82" spans="4:9" x14ac:dyDescent="0.25">
      <c r="D82" s="45"/>
      <c r="E82" s="45"/>
      <c r="G82" s="45"/>
      <c r="I82" s="45"/>
    </row>
    <row r="83" spans="4:9" x14ac:dyDescent="0.25">
      <c r="D83" s="45"/>
      <c r="E83" s="45"/>
      <c r="G83" s="45"/>
      <c r="I83" s="45"/>
    </row>
    <row r="84" spans="4:9" x14ac:dyDescent="0.25">
      <c r="D84" s="45"/>
      <c r="E84" s="45"/>
      <c r="G84" s="45"/>
      <c r="I84" s="45"/>
    </row>
    <row r="85" spans="4:9" x14ac:dyDescent="0.25">
      <c r="D85" s="45"/>
      <c r="E85" s="45"/>
      <c r="G85" s="45"/>
      <c r="I85" s="45"/>
    </row>
    <row r="86" spans="4:9" x14ac:dyDescent="0.25">
      <c r="D86" s="45"/>
      <c r="E86" s="45"/>
      <c r="G86" s="45"/>
      <c r="I86" s="45"/>
    </row>
    <row r="87" spans="4:9" x14ac:dyDescent="0.25">
      <c r="D87" s="45"/>
      <c r="E87" s="45"/>
      <c r="G87" s="45"/>
      <c r="I87" s="45"/>
    </row>
    <row r="88" spans="4:9" x14ac:dyDescent="0.25">
      <c r="D88" s="45"/>
      <c r="E88" s="45"/>
      <c r="G88" s="45"/>
      <c r="I88" s="45"/>
    </row>
    <row r="89" spans="4:9" x14ac:dyDescent="0.25">
      <c r="D89" s="45"/>
      <c r="E89" s="45"/>
      <c r="G89" s="45"/>
    </row>
    <row r="90" spans="4:9" x14ac:dyDescent="0.25">
      <c r="D90" s="45"/>
      <c r="E90" s="45"/>
      <c r="G90" s="45"/>
    </row>
    <row r="91" spans="4:9" x14ac:dyDescent="0.25">
      <c r="D91" s="45"/>
      <c r="E91" s="45"/>
      <c r="G91" s="45"/>
    </row>
    <row r="92" spans="4:9" x14ac:dyDescent="0.25">
      <c r="D92" s="45"/>
      <c r="E92" s="45"/>
      <c r="G92" s="45"/>
    </row>
    <row r="93" spans="4:9" x14ac:dyDescent="0.25">
      <c r="D93" s="45"/>
      <c r="E93" s="45"/>
      <c r="G93" s="45"/>
    </row>
    <row r="94" spans="4:9" x14ac:dyDescent="0.25">
      <c r="D94" s="45"/>
      <c r="E94" s="45"/>
      <c r="G94" s="45"/>
    </row>
    <row r="95" spans="4:9" x14ac:dyDescent="0.25">
      <c r="D95" s="45"/>
      <c r="E95" s="45"/>
      <c r="G95" s="45"/>
    </row>
    <row r="96" spans="4:9" x14ac:dyDescent="0.25">
      <c r="D96" s="45"/>
      <c r="E96" s="45"/>
      <c r="G96" s="45"/>
    </row>
    <row r="97" spans="4:7" x14ac:dyDescent="0.25">
      <c r="D97" s="45"/>
      <c r="E97" s="45"/>
      <c r="G97" s="45"/>
    </row>
    <row r="98" spans="4:7" x14ac:dyDescent="0.25">
      <c r="D98" s="45"/>
      <c r="E98" s="45"/>
      <c r="G98" s="45"/>
    </row>
    <row r="99" spans="4:7" x14ac:dyDescent="0.25">
      <c r="D99" s="45"/>
      <c r="E99" s="45"/>
      <c r="G99" s="45"/>
    </row>
    <row r="100" spans="4:7" x14ac:dyDescent="0.25">
      <c r="D100" s="45"/>
      <c r="E100" s="45"/>
      <c r="G100" s="45"/>
    </row>
    <row r="101" spans="4:7" x14ac:dyDescent="0.25">
      <c r="D101" s="45"/>
      <c r="E101" s="45"/>
      <c r="G101" s="45"/>
    </row>
    <row r="102" spans="4:7" x14ac:dyDescent="0.25">
      <c r="D102" s="45"/>
      <c r="E102" s="45"/>
      <c r="G102" s="45"/>
    </row>
    <row r="103" spans="4:7" x14ac:dyDescent="0.25">
      <c r="D103" s="45"/>
      <c r="E103" s="45"/>
      <c r="G103" s="45"/>
    </row>
    <row r="104" spans="4:7" x14ac:dyDescent="0.25">
      <c r="D104" s="45"/>
      <c r="E104" s="45"/>
      <c r="G104" s="45"/>
    </row>
    <row r="105" spans="4:7" x14ac:dyDescent="0.25">
      <c r="D105" s="45"/>
      <c r="E105" s="45"/>
      <c r="G105" s="45"/>
    </row>
    <row r="106" spans="4:7" x14ac:dyDescent="0.25">
      <c r="D106" s="45"/>
      <c r="E106" s="45"/>
      <c r="G106" s="45"/>
    </row>
    <row r="107" spans="4:7" x14ac:dyDescent="0.25">
      <c r="D107" s="45"/>
      <c r="E107" s="45"/>
      <c r="G107" s="45"/>
    </row>
    <row r="108" spans="4:7" x14ac:dyDescent="0.25">
      <c r="D108" s="45"/>
      <c r="E108" s="45"/>
      <c r="G108" s="45"/>
    </row>
    <row r="109" spans="4:7" x14ac:dyDescent="0.25">
      <c r="D109" s="45"/>
      <c r="E109" s="45"/>
      <c r="G109" s="45"/>
    </row>
    <row r="110" spans="4:7" x14ac:dyDescent="0.25">
      <c r="D110" s="45"/>
      <c r="E110" s="45"/>
      <c r="G110" s="45"/>
    </row>
    <row r="111" spans="4:7" x14ac:dyDescent="0.25">
      <c r="D111" s="45"/>
      <c r="E111" s="45"/>
      <c r="G111" s="45"/>
    </row>
    <row r="112" spans="4:7" x14ac:dyDescent="0.25">
      <c r="D112" s="45"/>
      <c r="E112" s="45"/>
      <c r="G112" s="45"/>
    </row>
    <row r="113" spans="4:7" x14ac:dyDescent="0.25">
      <c r="D113" s="45"/>
      <c r="E113" s="45"/>
      <c r="G113" s="45"/>
    </row>
    <row r="114" spans="4:7" x14ac:dyDescent="0.25">
      <c r="D114" s="45"/>
      <c r="E114" s="45"/>
      <c r="G114" s="45"/>
    </row>
    <row r="115" spans="4:7" x14ac:dyDescent="0.25">
      <c r="D115" s="45"/>
      <c r="E115" s="45"/>
      <c r="G115" s="45"/>
    </row>
    <row r="116" spans="4:7" x14ac:dyDescent="0.25">
      <c r="D116" s="45"/>
      <c r="E116" s="45"/>
      <c r="G116" s="45"/>
    </row>
    <row r="117" spans="4:7" x14ac:dyDescent="0.25">
      <c r="D117" s="45"/>
      <c r="E117" s="45"/>
      <c r="G117" s="45"/>
    </row>
    <row r="118" spans="4:7" x14ac:dyDescent="0.25">
      <c r="D118" s="45"/>
      <c r="E118" s="45"/>
      <c r="G118" s="45"/>
    </row>
    <row r="119" spans="4:7" x14ac:dyDescent="0.25">
      <c r="D119" s="45"/>
      <c r="E119" s="45"/>
      <c r="G119" s="45"/>
    </row>
    <row r="120" spans="4:7" x14ac:dyDescent="0.25">
      <c r="D120" s="45"/>
      <c r="E120" s="45"/>
      <c r="G120" s="45"/>
    </row>
    <row r="121" spans="4:7" x14ac:dyDescent="0.25">
      <c r="D121" s="45"/>
      <c r="E121" s="45"/>
      <c r="G121" s="45"/>
    </row>
    <row r="122" spans="4:7" x14ac:dyDescent="0.25">
      <c r="D122" s="45"/>
      <c r="E122" s="45"/>
      <c r="G122" s="45"/>
    </row>
    <row r="123" spans="4:7" x14ac:dyDescent="0.25">
      <c r="D123" s="45"/>
      <c r="E123" s="45"/>
      <c r="G123" s="45"/>
    </row>
    <row r="124" spans="4:7" x14ac:dyDescent="0.25">
      <c r="D124" s="45"/>
      <c r="E124" s="45"/>
      <c r="G124" s="45"/>
    </row>
    <row r="125" spans="4:7" x14ac:dyDescent="0.25">
      <c r="D125" s="45"/>
      <c r="E125" s="45"/>
      <c r="G125" s="45"/>
    </row>
    <row r="126" spans="4:7" x14ac:dyDescent="0.25">
      <c r="D126" s="45"/>
      <c r="E126" s="45"/>
      <c r="G126" s="45"/>
    </row>
    <row r="127" spans="4:7" x14ac:dyDescent="0.25">
      <c r="D127" s="45"/>
      <c r="E127" s="45"/>
      <c r="G127" s="45"/>
    </row>
    <row r="128" spans="4:7" x14ac:dyDescent="0.25">
      <c r="D128" s="45"/>
      <c r="E128" s="45"/>
      <c r="G128" s="45"/>
    </row>
    <row r="129" spans="4:7" x14ac:dyDescent="0.25">
      <c r="D129" s="45"/>
      <c r="E129" s="45"/>
      <c r="G129" s="45"/>
    </row>
    <row r="130" spans="4:7" x14ac:dyDescent="0.25">
      <c r="D130" s="45"/>
      <c r="E130" s="45"/>
      <c r="G130" s="45"/>
    </row>
    <row r="131" spans="4:7" x14ac:dyDescent="0.25">
      <c r="D131" s="45"/>
      <c r="E131" s="45"/>
      <c r="G131" s="45"/>
    </row>
    <row r="132" spans="4:7" x14ac:dyDescent="0.25">
      <c r="D132" s="45"/>
      <c r="E132" s="45"/>
      <c r="G132" s="45"/>
    </row>
    <row r="133" spans="4:7" x14ac:dyDescent="0.25">
      <c r="D133" s="45"/>
      <c r="E133" s="45"/>
      <c r="G133" s="45"/>
    </row>
    <row r="134" spans="4:7" x14ac:dyDescent="0.25">
      <c r="D134" s="45"/>
      <c r="E134" s="45"/>
      <c r="G134" s="45"/>
    </row>
    <row r="135" spans="4:7" x14ac:dyDescent="0.25">
      <c r="D135" s="45"/>
      <c r="E135" s="45"/>
      <c r="G135" s="45"/>
    </row>
    <row r="136" spans="4:7" x14ac:dyDescent="0.25">
      <c r="D136" s="45"/>
      <c r="E136" s="45"/>
      <c r="G136" s="45"/>
    </row>
    <row r="137" spans="4:7" x14ac:dyDescent="0.25">
      <c r="D137" s="45"/>
      <c r="E137" s="45"/>
      <c r="G137" s="45"/>
    </row>
    <row r="138" spans="4:7" x14ac:dyDescent="0.25">
      <c r="D138" s="45"/>
      <c r="E138" s="45"/>
      <c r="G138" s="45"/>
    </row>
    <row r="139" spans="4:7" x14ac:dyDescent="0.25">
      <c r="D139" s="45"/>
      <c r="E139" s="45"/>
      <c r="G139" s="45"/>
    </row>
    <row r="140" spans="4:7" x14ac:dyDescent="0.25">
      <c r="D140" s="45"/>
      <c r="E140" s="45"/>
      <c r="G140" s="45"/>
    </row>
    <row r="141" spans="4:7" x14ac:dyDescent="0.25">
      <c r="D141" s="45"/>
      <c r="E141" s="45"/>
      <c r="G141" s="45"/>
    </row>
    <row r="142" spans="4:7" x14ac:dyDescent="0.25">
      <c r="D142" s="45"/>
      <c r="E142" s="45"/>
      <c r="G142" s="45"/>
    </row>
    <row r="143" spans="4:7" x14ac:dyDescent="0.25">
      <c r="D143" s="45"/>
      <c r="E143" s="45"/>
      <c r="G143" s="45"/>
    </row>
    <row r="144" spans="4:7" x14ac:dyDescent="0.25">
      <c r="D144" s="45"/>
      <c r="E144" s="45"/>
      <c r="G144" s="45"/>
    </row>
    <row r="145" spans="4:7" x14ac:dyDescent="0.25">
      <c r="D145" s="45"/>
      <c r="E145" s="45"/>
      <c r="G145" s="45"/>
    </row>
    <row r="146" spans="4:7" x14ac:dyDescent="0.25">
      <c r="D146" s="45"/>
      <c r="E146" s="45"/>
      <c r="G146" s="45"/>
    </row>
    <row r="147" spans="4:7" x14ac:dyDescent="0.25">
      <c r="D147" s="45"/>
      <c r="E147" s="45"/>
      <c r="G147" s="45"/>
    </row>
    <row r="148" spans="4:7" x14ac:dyDescent="0.25">
      <c r="D148" s="45"/>
      <c r="E148" s="45"/>
      <c r="G148" s="45"/>
    </row>
    <row r="149" spans="4:7" x14ac:dyDescent="0.25">
      <c r="D149" s="45"/>
      <c r="E149" s="45"/>
      <c r="G149" s="45"/>
    </row>
  </sheetData>
  <phoneticPr fontId="0" type="noConversion"/>
  <pageMargins left="0.75" right="0.75" top="1" bottom="1" header="0.5" footer="0.5"/>
  <pageSetup scale="55" orientation="landscape" horizontalDpi="409" verticalDpi="409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6"/>
  <sheetViews>
    <sheetView view="pageBreakPreview" topLeftCell="A13" zoomScale="89" zoomScaleNormal="75" zoomScaleSheetLayoutView="89" workbookViewId="0">
      <selection sqref="A1:XFD7"/>
    </sheetView>
  </sheetViews>
  <sheetFormatPr defaultRowHeight="15.75" x14ac:dyDescent="0.25"/>
  <cols>
    <col min="1" max="1" width="3.5546875" customWidth="1"/>
    <col min="2" max="2" width="19.44140625" customWidth="1"/>
    <col min="4" max="4" width="9.44140625" bestFit="1" customWidth="1"/>
    <col min="5" max="5" width="9.77734375" bestFit="1" customWidth="1"/>
    <col min="6" max="6" width="10.77734375" customWidth="1"/>
    <col min="7" max="7" width="14.6640625" style="45" customWidth="1"/>
    <col min="8" max="8" width="9.44140625" bestFit="1" customWidth="1"/>
    <col min="9" max="9" width="9.77734375" bestFit="1" customWidth="1"/>
    <col min="10" max="10" width="10" bestFit="1" customWidth="1"/>
    <col min="11" max="11" width="15.44140625" bestFit="1" customWidth="1"/>
  </cols>
  <sheetData>
    <row r="1" spans="1:7" ht="20.25" x14ac:dyDescent="0.3">
      <c r="B1" s="40" t="s">
        <v>58</v>
      </c>
    </row>
    <row r="5" spans="1:7" x14ac:dyDescent="0.25">
      <c r="A5" t="s">
        <v>102</v>
      </c>
    </row>
    <row r="6" spans="1:7" x14ac:dyDescent="0.25">
      <c r="A6" t="s">
        <v>486</v>
      </c>
    </row>
    <row r="7" spans="1:7" x14ac:dyDescent="0.25">
      <c r="A7" t="s">
        <v>103</v>
      </c>
    </row>
    <row r="8" spans="1:7" x14ac:dyDescent="0.25">
      <c r="B8" s="24"/>
    </row>
    <row r="10" spans="1:7" x14ac:dyDescent="0.25">
      <c r="D10" s="115"/>
      <c r="E10" s="116"/>
      <c r="F10" s="41" t="s">
        <v>105</v>
      </c>
      <c r="G10" s="119">
        <v>6</v>
      </c>
    </row>
    <row r="11" spans="1:7" x14ac:dyDescent="0.25">
      <c r="D11" s="114" t="s">
        <v>90</v>
      </c>
      <c r="E11" s="117" t="s">
        <v>104</v>
      </c>
      <c r="F11" s="114" t="s">
        <v>91</v>
      </c>
      <c r="G11" s="120" t="s">
        <v>179</v>
      </c>
    </row>
    <row r="12" spans="1:7" x14ac:dyDescent="0.25">
      <c r="D12" s="42"/>
      <c r="E12" s="118">
        <v>42552</v>
      </c>
      <c r="F12" s="122" t="s">
        <v>180</v>
      </c>
      <c r="G12" s="121" t="s">
        <v>106</v>
      </c>
    </row>
    <row r="13" spans="1:7" x14ac:dyDescent="0.25">
      <c r="A13" s="141">
        <v>1</v>
      </c>
      <c r="B13" s="151" t="s">
        <v>188</v>
      </c>
      <c r="D13" s="45">
        <v>44.92</v>
      </c>
      <c r="E13" s="45">
        <v>44.92</v>
      </c>
      <c r="F13" s="46">
        <f>+E13-D13</f>
        <v>0</v>
      </c>
      <c r="G13" s="45">
        <f>+F13*G10</f>
        <v>0</v>
      </c>
    </row>
    <row r="14" spans="1:7" x14ac:dyDescent="0.25">
      <c r="A14" s="141">
        <v>2</v>
      </c>
      <c r="B14" s="151" t="s">
        <v>463</v>
      </c>
      <c r="D14" s="45">
        <v>44.92</v>
      </c>
      <c r="E14" s="45">
        <v>44.92</v>
      </c>
      <c r="F14" s="46">
        <f t="shared" ref="F14:F48" si="0">+E14-D14</f>
        <v>0</v>
      </c>
      <c r="G14" s="45">
        <f>+F14*G10</f>
        <v>0</v>
      </c>
    </row>
    <row r="15" spans="1:7" x14ac:dyDescent="0.25">
      <c r="A15" s="141">
        <v>3</v>
      </c>
      <c r="B15" s="151" t="s">
        <v>211</v>
      </c>
      <c r="D15" s="45">
        <v>6.2</v>
      </c>
      <c r="E15" s="45">
        <v>6.2</v>
      </c>
      <c r="F15" s="46">
        <f t="shared" si="0"/>
        <v>0</v>
      </c>
      <c r="G15" s="45">
        <f>+F15*G10</f>
        <v>0</v>
      </c>
    </row>
    <row r="16" spans="1:7" x14ac:dyDescent="0.25">
      <c r="A16" s="141">
        <v>4</v>
      </c>
      <c r="B16" s="151" t="s">
        <v>189</v>
      </c>
      <c r="D16" s="45">
        <v>165.61</v>
      </c>
      <c r="E16" s="45">
        <v>165.61</v>
      </c>
      <c r="F16" s="46">
        <f t="shared" si="0"/>
        <v>0</v>
      </c>
      <c r="G16" s="45">
        <f>+F16*G10</f>
        <v>0</v>
      </c>
    </row>
    <row r="17" spans="1:7" x14ac:dyDescent="0.25">
      <c r="A17" s="141">
        <v>5</v>
      </c>
      <c r="B17" s="151" t="s">
        <v>510</v>
      </c>
      <c r="D17" s="45">
        <v>44.92</v>
      </c>
      <c r="E17" s="45">
        <v>44.92</v>
      </c>
      <c r="F17" s="46">
        <f t="shared" si="0"/>
        <v>0</v>
      </c>
      <c r="G17" s="45">
        <f>+F17*G10</f>
        <v>0</v>
      </c>
    </row>
    <row r="18" spans="1:7" x14ac:dyDescent="0.25">
      <c r="A18" s="141">
        <v>6</v>
      </c>
      <c r="B18" s="151" t="s">
        <v>190</v>
      </c>
      <c r="D18" s="45">
        <v>165.61</v>
      </c>
      <c r="E18" s="45">
        <v>165.61</v>
      </c>
      <c r="F18" s="46">
        <f t="shared" si="0"/>
        <v>0</v>
      </c>
      <c r="G18" s="45">
        <f>+F18*G10</f>
        <v>0</v>
      </c>
    </row>
    <row r="19" spans="1:7" x14ac:dyDescent="0.25">
      <c r="A19" s="141">
        <v>7</v>
      </c>
      <c r="B19" s="151" t="s">
        <v>511</v>
      </c>
      <c r="D19" s="45">
        <v>44.92</v>
      </c>
      <c r="E19" s="45">
        <v>44.92</v>
      </c>
      <c r="F19" s="46">
        <f t="shared" si="0"/>
        <v>0</v>
      </c>
      <c r="G19" s="45">
        <f>+F19*G10</f>
        <v>0</v>
      </c>
    </row>
    <row r="20" spans="1:7" x14ac:dyDescent="0.25">
      <c r="A20" s="141">
        <v>8</v>
      </c>
      <c r="B20" s="151" t="s">
        <v>221</v>
      </c>
      <c r="C20" s="129"/>
      <c r="D20" s="45">
        <v>44.92</v>
      </c>
      <c r="E20" s="45">
        <v>44.92</v>
      </c>
      <c r="F20" s="46">
        <f t="shared" si="0"/>
        <v>0</v>
      </c>
      <c r="G20" s="45">
        <f>+F20*10</f>
        <v>0</v>
      </c>
    </row>
    <row r="21" spans="1:7" x14ac:dyDescent="0.25">
      <c r="A21" s="141">
        <v>9</v>
      </c>
      <c r="B21" s="151" t="s">
        <v>212</v>
      </c>
      <c r="D21" s="45">
        <v>44.92</v>
      </c>
      <c r="E21" s="45">
        <v>44.92</v>
      </c>
      <c r="F21" s="46">
        <f t="shared" si="0"/>
        <v>0</v>
      </c>
      <c r="G21" s="45">
        <f>+F21*G10</f>
        <v>0</v>
      </c>
    </row>
    <row r="22" spans="1:7" s="45" customFormat="1" x14ac:dyDescent="0.25">
      <c r="A22" s="141">
        <v>10</v>
      </c>
      <c r="B22" s="151" t="s">
        <v>191</v>
      </c>
      <c r="D22" s="45">
        <v>165.61</v>
      </c>
      <c r="E22" s="45">
        <v>165.61</v>
      </c>
      <c r="F22" s="46">
        <f t="shared" si="0"/>
        <v>0</v>
      </c>
      <c r="G22" s="45">
        <f>+F22*G10</f>
        <v>0</v>
      </c>
    </row>
    <row r="23" spans="1:7" x14ac:dyDescent="0.25">
      <c r="A23" s="141">
        <v>11</v>
      </c>
      <c r="B23" s="151" t="s">
        <v>192</v>
      </c>
      <c r="D23" s="45">
        <v>165.61</v>
      </c>
      <c r="E23" s="45">
        <v>165.61</v>
      </c>
      <c r="F23" s="46">
        <f t="shared" si="0"/>
        <v>0</v>
      </c>
      <c r="G23" s="45">
        <f>+F23*G10</f>
        <v>0</v>
      </c>
    </row>
    <row r="24" spans="1:7" x14ac:dyDescent="0.25">
      <c r="A24" s="141">
        <v>12</v>
      </c>
      <c r="B24" s="151" t="s">
        <v>213</v>
      </c>
      <c r="D24" s="45">
        <v>106.04</v>
      </c>
      <c r="E24" s="45">
        <v>106.04</v>
      </c>
      <c r="F24" s="46">
        <f t="shared" si="0"/>
        <v>0</v>
      </c>
      <c r="G24" s="45">
        <f>+F24*G10</f>
        <v>0</v>
      </c>
    </row>
    <row r="25" spans="1:7" x14ac:dyDescent="0.25">
      <c r="A25" s="141">
        <v>13</v>
      </c>
      <c r="B25" s="151" t="s">
        <v>193</v>
      </c>
      <c r="D25" s="45">
        <v>106.04</v>
      </c>
      <c r="E25" s="45">
        <v>106.04</v>
      </c>
      <c r="F25" s="46">
        <f t="shared" si="0"/>
        <v>0</v>
      </c>
      <c r="G25" s="45">
        <f>+F25*G10</f>
        <v>0</v>
      </c>
    </row>
    <row r="26" spans="1:7" x14ac:dyDescent="0.25">
      <c r="A26" s="141">
        <v>14</v>
      </c>
      <c r="B26" s="151" t="s">
        <v>474</v>
      </c>
      <c r="D26" s="45">
        <v>44.92</v>
      </c>
      <c r="E26" s="45">
        <v>44.92</v>
      </c>
      <c r="F26" s="46">
        <f t="shared" si="0"/>
        <v>0</v>
      </c>
      <c r="G26" s="45">
        <f>+F26*G10</f>
        <v>0</v>
      </c>
    </row>
    <row r="27" spans="1:7" x14ac:dyDescent="0.25">
      <c r="A27" s="141">
        <v>15</v>
      </c>
      <c r="B27" s="151" t="s">
        <v>194</v>
      </c>
      <c r="D27" s="45">
        <v>44.92</v>
      </c>
      <c r="E27" s="45">
        <v>44.92</v>
      </c>
      <c r="F27" s="46">
        <f t="shared" si="0"/>
        <v>0</v>
      </c>
      <c r="G27" s="45">
        <f>+F27*5</f>
        <v>0</v>
      </c>
    </row>
    <row r="28" spans="1:7" x14ac:dyDescent="0.25">
      <c r="A28" s="141">
        <v>16</v>
      </c>
      <c r="B28" s="151" t="s">
        <v>202</v>
      </c>
      <c r="D28" s="45">
        <v>106.04</v>
      </c>
      <c r="E28" s="45">
        <v>106.04</v>
      </c>
      <c r="F28" s="46">
        <f t="shared" si="0"/>
        <v>0</v>
      </c>
      <c r="G28" s="45">
        <f>+F28*G10</f>
        <v>0</v>
      </c>
    </row>
    <row r="29" spans="1:7" x14ac:dyDescent="0.25">
      <c r="A29" s="141">
        <v>17</v>
      </c>
      <c r="B29" s="151" t="s">
        <v>231</v>
      </c>
      <c r="D29" s="45">
        <v>44.92</v>
      </c>
      <c r="E29" s="45">
        <v>44.92</v>
      </c>
      <c r="F29" s="46">
        <f t="shared" si="0"/>
        <v>0</v>
      </c>
      <c r="G29" s="45">
        <f>+F29*G10</f>
        <v>0</v>
      </c>
    </row>
    <row r="30" spans="1:7" x14ac:dyDescent="0.25">
      <c r="A30" s="141">
        <v>18</v>
      </c>
      <c r="B30" s="151" t="s">
        <v>513</v>
      </c>
      <c r="D30" s="45">
        <v>44.92</v>
      </c>
      <c r="E30" s="45">
        <v>44.92</v>
      </c>
      <c r="F30" s="46">
        <f t="shared" si="0"/>
        <v>0</v>
      </c>
      <c r="G30" s="45">
        <f>+F30*G10</f>
        <v>0</v>
      </c>
    </row>
    <row r="31" spans="1:7" x14ac:dyDescent="0.25">
      <c r="A31" s="141">
        <v>19</v>
      </c>
      <c r="B31" s="151" t="s">
        <v>214</v>
      </c>
      <c r="D31" s="45">
        <v>165.61</v>
      </c>
      <c r="E31" s="45">
        <v>165.61</v>
      </c>
      <c r="F31" s="46">
        <f t="shared" si="0"/>
        <v>0</v>
      </c>
      <c r="G31" s="45">
        <f>+F31*G10</f>
        <v>0</v>
      </c>
    </row>
    <row r="32" spans="1:7" x14ac:dyDescent="0.25">
      <c r="A32" s="141">
        <v>20</v>
      </c>
      <c r="B32" s="151" t="s">
        <v>195</v>
      </c>
      <c r="D32" s="45">
        <v>44.92</v>
      </c>
      <c r="E32" s="45">
        <v>44.92</v>
      </c>
      <c r="F32" s="46">
        <f t="shared" si="0"/>
        <v>0</v>
      </c>
      <c r="G32" s="45">
        <f>+F32*G10</f>
        <v>0</v>
      </c>
    </row>
    <row r="33" spans="1:7" x14ac:dyDescent="0.25">
      <c r="A33" s="141">
        <v>21</v>
      </c>
      <c r="B33" s="151" t="s">
        <v>233</v>
      </c>
      <c r="D33" s="45">
        <v>44.92</v>
      </c>
      <c r="E33" s="45">
        <v>44.92</v>
      </c>
      <c r="F33" s="46">
        <f t="shared" ref="F33" si="1">+E33-D33</f>
        <v>0</v>
      </c>
      <c r="G33" s="45">
        <f>+F33*G10</f>
        <v>0</v>
      </c>
    </row>
    <row r="34" spans="1:7" x14ac:dyDescent="0.25">
      <c r="A34" s="141">
        <v>22</v>
      </c>
      <c r="B34" s="151" t="s">
        <v>196</v>
      </c>
      <c r="D34" s="45">
        <v>165.61</v>
      </c>
      <c r="E34" s="45">
        <v>165.61</v>
      </c>
      <c r="F34" s="46">
        <f t="shared" si="0"/>
        <v>0</v>
      </c>
      <c r="G34" s="45">
        <f>+F34*G10</f>
        <v>0</v>
      </c>
    </row>
    <row r="35" spans="1:7" x14ac:dyDescent="0.25">
      <c r="A35" s="141">
        <v>23</v>
      </c>
      <c r="B35" s="151" t="s">
        <v>514</v>
      </c>
      <c r="D35" s="45">
        <v>6.2</v>
      </c>
      <c r="E35" s="45">
        <v>6.2</v>
      </c>
      <c r="F35" s="46">
        <f t="shared" si="0"/>
        <v>0</v>
      </c>
      <c r="G35" s="45">
        <f>+F35*G10</f>
        <v>0</v>
      </c>
    </row>
    <row r="36" spans="1:7" x14ac:dyDescent="0.25">
      <c r="A36" s="141">
        <v>24</v>
      </c>
      <c r="B36" s="151" t="s">
        <v>215</v>
      </c>
      <c r="D36" s="45">
        <v>44.92</v>
      </c>
      <c r="E36" s="45">
        <v>44.92</v>
      </c>
      <c r="F36" s="46">
        <f t="shared" si="0"/>
        <v>0</v>
      </c>
      <c r="G36" s="45">
        <f>+F36*G10</f>
        <v>0</v>
      </c>
    </row>
    <row r="37" spans="1:7" x14ac:dyDescent="0.25">
      <c r="A37" s="141">
        <v>25</v>
      </c>
      <c r="B37" s="151" t="s">
        <v>508</v>
      </c>
      <c r="D37" s="45">
        <v>44.92</v>
      </c>
      <c r="E37" s="45">
        <v>44.92</v>
      </c>
      <c r="F37" s="46">
        <f t="shared" si="0"/>
        <v>0</v>
      </c>
      <c r="G37" s="45">
        <f>+F37*G10</f>
        <v>0</v>
      </c>
    </row>
    <row r="38" spans="1:7" x14ac:dyDescent="0.25">
      <c r="A38" s="141">
        <v>26</v>
      </c>
      <c r="B38" s="151" t="s">
        <v>216</v>
      </c>
      <c r="D38" s="45">
        <v>44.92</v>
      </c>
      <c r="E38" s="45">
        <v>44.92</v>
      </c>
      <c r="F38" s="46">
        <f t="shared" si="0"/>
        <v>0</v>
      </c>
      <c r="G38" s="45">
        <f>+F38*G10</f>
        <v>0</v>
      </c>
    </row>
    <row r="39" spans="1:7" x14ac:dyDescent="0.25">
      <c r="A39" s="141">
        <v>27</v>
      </c>
      <c r="B39" s="151" t="s">
        <v>477</v>
      </c>
      <c r="D39" s="45">
        <v>44.92</v>
      </c>
      <c r="E39" s="45">
        <v>44.92</v>
      </c>
      <c r="F39" s="46">
        <f t="shared" si="0"/>
        <v>0</v>
      </c>
      <c r="G39" s="45">
        <f>+F39*G10</f>
        <v>0</v>
      </c>
    </row>
    <row r="40" spans="1:7" x14ac:dyDescent="0.25">
      <c r="A40" s="141">
        <v>28</v>
      </c>
      <c r="B40" s="151" t="s">
        <v>217</v>
      </c>
      <c r="D40" s="45">
        <v>104.51</v>
      </c>
      <c r="E40" s="45">
        <v>104.51</v>
      </c>
      <c r="F40" s="46">
        <f t="shared" si="0"/>
        <v>0</v>
      </c>
      <c r="G40" s="45">
        <f>+F40*G10</f>
        <v>0</v>
      </c>
    </row>
    <row r="41" spans="1:7" x14ac:dyDescent="0.25">
      <c r="A41" s="141">
        <v>29</v>
      </c>
      <c r="B41" s="151" t="s">
        <v>509</v>
      </c>
      <c r="D41" s="45">
        <v>44.92</v>
      </c>
      <c r="E41" s="45">
        <v>44.92</v>
      </c>
      <c r="F41" s="46">
        <f t="shared" si="0"/>
        <v>0</v>
      </c>
      <c r="G41" s="45">
        <f>+F41*G10</f>
        <v>0</v>
      </c>
    </row>
    <row r="42" spans="1:7" x14ac:dyDescent="0.25">
      <c r="A42" s="141">
        <v>30</v>
      </c>
      <c r="B42" s="151" t="s">
        <v>197</v>
      </c>
      <c r="D42" s="45">
        <v>104.51</v>
      </c>
      <c r="E42" s="45">
        <v>104.51</v>
      </c>
      <c r="F42" s="46">
        <f t="shared" si="0"/>
        <v>0</v>
      </c>
      <c r="G42" s="45">
        <f>+F42*G10</f>
        <v>0</v>
      </c>
    </row>
    <row r="43" spans="1:7" x14ac:dyDescent="0.25">
      <c r="A43" s="141">
        <v>31</v>
      </c>
      <c r="B43" s="151" t="s">
        <v>512</v>
      </c>
      <c r="D43" s="45">
        <v>44.92</v>
      </c>
      <c r="E43" s="45">
        <v>44.92</v>
      </c>
      <c r="F43" s="46">
        <f t="shared" si="0"/>
        <v>0</v>
      </c>
      <c r="G43" s="45">
        <f>+F43*G10</f>
        <v>0</v>
      </c>
    </row>
    <row r="44" spans="1:7" x14ac:dyDescent="0.25">
      <c r="A44" s="141">
        <v>32</v>
      </c>
      <c r="B44" s="151" t="s">
        <v>475</v>
      </c>
      <c r="D44" s="45">
        <v>44.92</v>
      </c>
      <c r="E44" s="45">
        <v>44.92</v>
      </c>
      <c r="F44" s="46">
        <f t="shared" si="0"/>
        <v>0</v>
      </c>
      <c r="G44" s="45">
        <f>+F44*G10</f>
        <v>0</v>
      </c>
    </row>
    <row r="45" spans="1:7" x14ac:dyDescent="0.25">
      <c r="A45" s="141">
        <v>33</v>
      </c>
      <c r="B45" s="151" t="s">
        <v>198</v>
      </c>
      <c r="C45" s="129"/>
      <c r="D45" s="45">
        <v>42.12</v>
      </c>
      <c r="E45" s="45">
        <v>42.12</v>
      </c>
      <c r="F45" s="46">
        <f t="shared" si="0"/>
        <v>0</v>
      </c>
      <c r="G45" s="45">
        <f>+F45*G10</f>
        <v>0</v>
      </c>
    </row>
    <row r="46" spans="1:7" x14ac:dyDescent="0.25">
      <c r="A46" s="141">
        <v>34</v>
      </c>
      <c r="B46" s="151" t="s">
        <v>218</v>
      </c>
      <c r="D46" s="45">
        <v>42.12</v>
      </c>
      <c r="E46" s="45">
        <v>42.12</v>
      </c>
      <c r="F46" s="46">
        <f t="shared" si="0"/>
        <v>0</v>
      </c>
      <c r="G46" s="45">
        <f>+F46*G10</f>
        <v>0</v>
      </c>
    </row>
    <row r="47" spans="1:7" x14ac:dyDescent="0.25">
      <c r="A47" s="141">
        <v>35</v>
      </c>
      <c r="B47" s="151" t="s">
        <v>222</v>
      </c>
      <c r="D47" s="45">
        <v>44.92</v>
      </c>
      <c r="E47" s="45">
        <v>44.92</v>
      </c>
      <c r="F47" s="46">
        <f t="shared" si="0"/>
        <v>0</v>
      </c>
      <c r="G47" s="45">
        <f>+F47*G10</f>
        <v>0</v>
      </c>
    </row>
    <row r="48" spans="1:7" x14ac:dyDescent="0.25">
      <c r="A48" s="141">
        <v>36</v>
      </c>
      <c r="B48" s="151" t="s">
        <v>476</v>
      </c>
      <c r="D48" s="45">
        <v>44.92</v>
      </c>
      <c r="E48" s="45">
        <v>44.92</v>
      </c>
      <c r="F48" s="46">
        <f t="shared" si="0"/>
        <v>0</v>
      </c>
      <c r="G48" s="45">
        <f>+F48*G10</f>
        <v>0</v>
      </c>
    </row>
    <row r="49" spans="1:8" x14ac:dyDescent="0.25">
      <c r="A49" s="141">
        <v>37</v>
      </c>
      <c r="B49" s="151" t="s">
        <v>465</v>
      </c>
      <c r="D49" s="45">
        <v>44.92</v>
      </c>
      <c r="E49" s="45">
        <v>44.92</v>
      </c>
      <c r="F49" s="46">
        <f t="shared" ref="F49:F50" si="2">+E49-D49</f>
        <v>0</v>
      </c>
      <c r="G49" s="45">
        <f>+F49*G10</f>
        <v>0</v>
      </c>
    </row>
    <row r="50" spans="1:8" x14ac:dyDescent="0.25">
      <c r="A50" s="141">
        <v>38</v>
      </c>
      <c r="B50" s="151" t="s">
        <v>466</v>
      </c>
      <c r="D50" s="45">
        <v>44.92</v>
      </c>
      <c r="E50" s="45">
        <v>44.92</v>
      </c>
      <c r="F50" s="46">
        <f t="shared" si="2"/>
        <v>0</v>
      </c>
      <c r="G50" s="45">
        <f>+F50*G10</f>
        <v>0</v>
      </c>
    </row>
    <row r="51" spans="1:8" x14ac:dyDescent="0.25">
      <c r="A51" s="141">
        <v>39</v>
      </c>
      <c r="B51" s="151" t="s">
        <v>199</v>
      </c>
      <c r="D51" s="45">
        <v>106.04</v>
      </c>
      <c r="E51" s="45">
        <v>106.04</v>
      </c>
      <c r="F51" s="46">
        <f t="shared" ref="F51:F52" si="3">+E51-D51</f>
        <v>0</v>
      </c>
      <c r="G51" s="45">
        <f>+F51*G10</f>
        <v>0</v>
      </c>
    </row>
    <row r="52" spans="1:8" x14ac:dyDescent="0.25">
      <c r="A52" s="141">
        <v>40</v>
      </c>
      <c r="B52" s="151" t="s">
        <v>232</v>
      </c>
      <c r="D52" s="45">
        <v>6.2</v>
      </c>
      <c r="E52" s="45">
        <v>6.2</v>
      </c>
      <c r="F52" s="46">
        <f t="shared" si="3"/>
        <v>0</v>
      </c>
      <c r="G52" s="45">
        <f>+F52*G10</f>
        <v>0</v>
      </c>
    </row>
    <row r="53" spans="1:8" x14ac:dyDescent="0.25">
      <c r="A53" s="43"/>
      <c r="B53" s="151"/>
      <c r="D53" s="45"/>
      <c r="E53" s="45"/>
      <c r="F53" s="46"/>
    </row>
    <row r="54" spans="1:8" ht="16.5" thickBot="1" x14ac:dyDescent="0.3">
      <c r="D54" s="45"/>
      <c r="G54" s="47">
        <f>SUM(G13:G52)</f>
        <v>0</v>
      </c>
    </row>
    <row r="55" spans="1:8" ht="16.5" thickTop="1" x14ac:dyDescent="0.25">
      <c r="D55" s="45"/>
      <c r="E55" s="45"/>
      <c r="F55" s="45"/>
      <c r="H55" s="45"/>
    </row>
    <row r="56" spans="1:8" ht="16.5" thickBot="1" x14ac:dyDescent="0.3">
      <c r="C56" s="44" t="s">
        <v>185</v>
      </c>
      <c r="D56" s="45"/>
      <c r="E56" s="45"/>
      <c r="F56" s="45"/>
      <c r="G56" s="47">
        <f>+G54</f>
        <v>0</v>
      </c>
      <c r="H56" s="45"/>
    </row>
    <row r="57" spans="1:8" ht="16.5" thickTop="1" x14ac:dyDescent="0.25">
      <c r="C57" s="44"/>
      <c r="D57" s="45"/>
      <c r="E57" s="45"/>
      <c r="F57" s="45"/>
      <c r="G57" s="185"/>
      <c r="H57" s="45"/>
    </row>
    <row r="58" spans="1:8" x14ac:dyDescent="0.25">
      <c r="D58" s="45"/>
      <c r="E58" s="45"/>
      <c r="F58" s="45"/>
      <c r="H58" s="45"/>
    </row>
    <row r="59" spans="1:8" x14ac:dyDescent="0.25">
      <c r="D59" s="45"/>
      <c r="E59" s="45"/>
      <c r="F59" s="45"/>
      <c r="H59" s="45"/>
    </row>
    <row r="60" spans="1:8" x14ac:dyDescent="0.25">
      <c r="D60" s="45"/>
      <c r="E60" s="45"/>
      <c r="F60" s="45"/>
      <c r="H60" s="45"/>
    </row>
    <row r="61" spans="1:8" x14ac:dyDescent="0.25">
      <c r="D61" s="45"/>
      <c r="E61" s="45"/>
      <c r="F61" s="45"/>
      <c r="H61" s="45"/>
    </row>
    <row r="62" spans="1:8" x14ac:dyDescent="0.25">
      <c r="D62" s="45"/>
      <c r="E62" s="45"/>
      <c r="F62" s="45"/>
      <c r="H62" s="45"/>
    </row>
    <row r="63" spans="1:8" x14ac:dyDescent="0.25">
      <c r="D63" s="45"/>
      <c r="E63" s="45"/>
      <c r="F63" s="45"/>
      <c r="H63" s="45"/>
    </row>
    <row r="64" spans="1:8" x14ac:dyDescent="0.25">
      <c r="D64" s="45"/>
      <c r="E64" s="45"/>
      <c r="F64" s="45"/>
      <c r="H64" s="45"/>
    </row>
    <row r="65" spans="4:8" x14ac:dyDescent="0.25">
      <c r="D65" s="45"/>
      <c r="E65" s="45"/>
      <c r="F65" s="45"/>
      <c r="H65" s="45"/>
    </row>
    <row r="66" spans="4:8" x14ac:dyDescent="0.25">
      <c r="D66" s="45"/>
      <c r="E66" s="45"/>
      <c r="F66" s="45"/>
      <c r="H66" s="45"/>
    </row>
    <row r="67" spans="4:8" x14ac:dyDescent="0.25">
      <c r="D67" s="45"/>
      <c r="E67" s="45"/>
      <c r="F67" s="45"/>
      <c r="H67" s="45"/>
    </row>
    <row r="68" spans="4:8" x14ac:dyDescent="0.25">
      <c r="D68" s="45"/>
      <c r="E68" s="45"/>
      <c r="F68" s="45"/>
      <c r="H68" s="45"/>
    </row>
    <row r="69" spans="4:8" x14ac:dyDescent="0.25">
      <c r="D69" s="45"/>
      <c r="E69" s="45"/>
      <c r="F69" s="45"/>
      <c r="H69" s="45"/>
    </row>
    <row r="70" spans="4:8" x14ac:dyDescent="0.25">
      <c r="D70" s="45"/>
      <c r="E70" s="45"/>
      <c r="F70" s="45"/>
      <c r="H70" s="45"/>
    </row>
    <row r="71" spans="4:8" x14ac:dyDescent="0.25">
      <c r="D71" s="45"/>
      <c r="E71" s="45"/>
      <c r="F71" s="45"/>
      <c r="H71" s="45"/>
    </row>
    <row r="72" spans="4:8" x14ac:dyDescent="0.25">
      <c r="D72" s="45"/>
      <c r="E72" s="45"/>
      <c r="F72" s="45"/>
      <c r="H72" s="45"/>
    </row>
    <row r="73" spans="4:8" x14ac:dyDescent="0.25">
      <c r="D73" s="45"/>
      <c r="E73" s="45"/>
      <c r="F73" s="45"/>
      <c r="H73" s="45"/>
    </row>
    <row r="74" spans="4:8" x14ac:dyDescent="0.25">
      <c r="D74" s="45"/>
      <c r="E74" s="45"/>
      <c r="F74" s="45"/>
      <c r="H74" s="45"/>
    </row>
    <row r="75" spans="4:8" x14ac:dyDescent="0.25">
      <c r="D75" s="45"/>
      <c r="E75" s="45"/>
      <c r="F75" s="45"/>
      <c r="H75" s="45"/>
    </row>
    <row r="76" spans="4:8" x14ac:dyDescent="0.25">
      <c r="D76" s="45"/>
      <c r="E76" s="45"/>
      <c r="F76" s="45"/>
      <c r="H76" s="45"/>
    </row>
    <row r="77" spans="4:8" x14ac:dyDescent="0.25">
      <c r="D77" s="45"/>
      <c r="E77" s="45"/>
      <c r="F77" s="45"/>
      <c r="H77" s="45"/>
    </row>
    <row r="78" spans="4:8" x14ac:dyDescent="0.25">
      <c r="D78" s="45"/>
      <c r="E78" s="45"/>
      <c r="F78" s="45"/>
      <c r="H78" s="45"/>
    </row>
    <row r="79" spans="4:8" x14ac:dyDescent="0.25">
      <c r="D79" s="45"/>
      <c r="E79" s="45"/>
      <c r="F79" s="45"/>
      <c r="H79" s="45"/>
    </row>
    <row r="80" spans="4:8" x14ac:dyDescent="0.25">
      <c r="D80" s="45"/>
      <c r="E80" s="45"/>
      <c r="F80" s="45"/>
      <c r="H80" s="45"/>
    </row>
    <row r="81" spans="4:8" x14ac:dyDescent="0.25">
      <c r="D81" s="45"/>
      <c r="E81" s="45"/>
      <c r="F81" s="45"/>
      <c r="H81" s="45"/>
    </row>
    <row r="82" spans="4:8" x14ac:dyDescent="0.25">
      <c r="D82" s="45"/>
      <c r="E82" s="45"/>
      <c r="F82" s="45"/>
      <c r="H82" s="45"/>
    </row>
    <row r="83" spans="4:8" x14ac:dyDescent="0.25">
      <c r="D83" s="45"/>
      <c r="E83" s="45"/>
      <c r="F83" s="45"/>
      <c r="H83" s="45"/>
    </row>
    <row r="84" spans="4:8" x14ac:dyDescent="0.25">
      <c r="D84" s="45"/>
      <c r="E84" s="45"/>
      <c r="F84" s="45"/>
      <c r="H84" s="45"/>
    </row>
    <row r="85" spans="4:8" x14ac:dyDescent="0.25">
      <c r="D85" s="45"/>
      <c r="E85" s="45"/>
      <c r="F85" s="45"/>
      <c r="H85" s="45"/>
    </row>
    <row r="86" spans="4:8" x14ac:dyDescent="0.25">
      <c r="D86" s="45"/>
      <c r="E86" s="45"/>
      <c r="F86" s="45"/>
      <c r="H86" s="45"/>
    </row>
    <row r="87" spans="4:8" x14ac:dyDescent="0.25">
      <c r="D87" s="45"/>
      <c r="E87" s="45"/>
      <c r="F87" s="45"/>
      <c r="H87" s="45"/>
    </row>
    <row r="88" spans="4:8" x14ac:dyDescent="0.25">
      <c r="D88" s="45"/>
      <c r="E88" s="45"/>
      <c r="F88" s="45"/>
      <c r="H88" s="45"/>
    </row>
    <row r="89" spans="4:8" x14ac:dyDescent="0.25">
      <c r="D89" s="45"/>
      <c r="E89" s="45"/>
      <c r="F89" s="45"/>
      <c r="H89" s="45"/>
    </row>
    <row r="90" spans="4:8" x14ac:dyDescent="0.25">
      <c r="D90" s="45"/>
      <c r="E90" s="45"/>
      <c r="F90" s="45"/>
      <c r="H90" s="45"/>
    </row>
    <row r="91" spans="4:8" x14ac:dyDescent="0.25">
      <c r="D91" s="45"/>
      <c r="E91" s="45"/>
      <c r="F91" s="45"/>
      <c r="H91" s="45"/>
    </row>
    <row r="92" spans="4:8" x14ac:dyDescent="0.25">
      <c r="D92" s="45"/>
      <c r="E92" s="45"/>
      <c r="F92" s="45"/>
      <c r="H92" s="45"/>
    </row>
    <row r="93" spans="4:8" x14ac:dyDescent="0.25">
      <c r="D93" s="45"/>
      <c r="E93" s="45"/>
      <c r="F93" s="45"/>
      <c r="H93" s="45"/>
    </row>
    <row r="94" spans="4:8" x14ac:dyDescent="0.25">
      <c r="D94" s="45"/>
      <c r="E94" s="45"/>
      <c r="F94" s="45"/>
      <c r="H94" s="45"/>
    </row>
    <row r="95" spans="4:8" x14ac:dyDescent="0.25">
      <c r="D95" s="45"/>
      <c r="E95" s="45"/>
      <c r="F95" s="45"/>
      <c r="H95" s="45"/>
    </row>
    <row r="96" spans="4:8" x14ac:dyDescent="0.25">
      <c r="D96" s="45"/>
      <c r="E96" s="45"/>
      <c r="F96" s="45"/>
    </row>
    <row r="97" spans="4:6" x14ac:dyDescent="0.25">
      <c r="D97" s="45"/>
      <c r="E97" s="45"/>
      <c r="F97" s="45"/>
    </row>
    <row r="98" spans="4:6" x14ac:dyDescent="0.25">
      <c r="D98" s="45"/>
      <c r="E98" s="45"/>
      <c r="F98" s="45"/>
    </row>
    <row r="99" spans="4:6" x14ac:dyDescent="0.25">
      <c r="D99" s="45"/>
      <c r="E99" s="45"/>
      <c r="F99" s="45"/>
    </row>
    <row r="100" spans="4:6" x14ac:dyDescent="0.25">
      <c r="D100" s="45"/>
      <c r="E100" s="45"/>
      <c r="F100" s="45"/>
    </row>
    <row r="101" spans="4:6" x14ac:dyDescent="0.25">
      <c r="D101" s="45"/>
      <c r="E101" s="45"/>
      <c r="F101" s="45"/>
    </row>
    <row r="102" spans="4:6" x14ac:dyDescent="0.25">
      <c r="D102" s="45"/>
      <c r="E102" s="45"/>
      <c r="F102" s="45"/>
    </row>
    <row r="103" spans="4:6" x14ac:dyDescent="0.25">
      <c r="D103" s="45"/>
      <c r="E103" s="45"/>
      <c r="F103" s="45"/>
    </row>
    <row r="104" spans="4:6" x14ac:dyDescent="0.25">
      <c r="D104" s="45"/>
      <c r="E104" s="45"/>
      <c r="F104" s="45"/>
    </row>
    <row r="105" spans="4:6" x14ac:dyDescent="0.25">
      <c r="D105" s="45"/>
      <c r="E105" s="45"/>
      <c r="F105" s="45"/>
    </row>
    <row r="106" spans="4:6" x14ac:dyDescent="0.25">
      <c r="D106" s="45"/>
      <c r="E106" s="45"/>
      <c r="F106" s="45"/>
    </row>
    <row r="107" spans="4:6" x14ac:dyDescent="0.25">
      <c r="D107" s="45"/>
      <c r="E107" s="45"/>
      <c r="F107" s="45"/>
    </row>
    <row r="108" spans="4:6" x14ac:dyDescent="0.25">
      <c r="D108" s="45"/>
      <c r="E108" s="45"/>
      <c r="F108" s="45"/>
    </row>
    <row r="109" spans="4:6" x14ac:dyDescent="0.25">
      <c r="D109" s="45"/>
      <c r="E109" s="45"/>
      <c r="F109" s="45"/>
    </row>
    <row r="110" spans="4:6" x14ac:dyDescent="0.25">
      <c r="D110" s="45"/>
      <c r="E110" s="45"/>
      <c r="F110" s="45"/>
    </row>
    <row r="111" spans="4:6" x14ac:dyDescent="0.25">
      <c r="D111" s="45"/>
      <c r="E111" s="45"/>
      <c r="F111" s="45"/>
    </row>
    <row r="112" spans="4:6" x14ac:dyDescent="0.25">
      <c r="D112" s="45"/>
      <c r="E112" s="45"/>
      <c r="F112" s="45"/>
    </row>
    <row r="113" spans="4:6" x14ac:dyDescent="0.25">
      <c r="D113" s="45"/>
      <c r="E113" s="45"/>
      <c r="F113" s="45"/>
    </row>
    <row r="114" spans="4:6" x14ac:dyDescent="0.25">
      <c r="D114" s="45"/>
      <c r="E114" s="45"/>
      <c r="F114" s="45"/>
    </row>
    <row r="115" spans="4:6" x14ac:dyDescent="0.25">
      <c r="D115" s="45"/>
      <c r="E115" s="45"/>
      <c r="F115" s="45"/>
    </row>
    <row r="116" spans="4:6" x14ac:dyDescent="0.25">
      <c r="D116" s="45"/>
      <c r="E116" s="45"/>
      <c r="F116" s="45"/>
    </row>
    <row r="117" spans="4:6" x14ac:dyDescent="0.25">
      <c r="D117" s="45"/>
      <c r="E117" s="45"/>
      <c r="F117" s="45"/>
    </row>
    <row r="118" spans="4:6" x14ac:dyDescent="0.25">
      <c r="D118" s="45"/>
      <c r="E118" s="45"/>
      <c r="F118" s="45"/>
    </row>
    <row r="119" spans="4:6" x14ac:dyDescent="0.25">
      <c r="D119" s="45"/>
      <c r="E119" s="45"/>
      <c r="F119" s="45"/>
    </row>
    <row r="120" spans="4:6" x14ac:dyDescent="0.25">
      <c r="D120" s="45"/>
      <c r="E120" s="45"/>
      <c r="F120" s="45"/>
    </row>
    <row r="121" spans="4:6" x14ac:dyDescent="0.25">
      <c r="D121" s="45"/>
      <c r="E121" s="45"/>
      <c r="F121" s="45"/>
    </row>
    <row r="122" spans="4:6" x14ac:dyDescent="0.25">
      <c r="D122" s="45"/>
      <c r="E122" s="45"/>
      <c r="F122" s="45"/>
    </row>
    <row r="123" spans="4:6" x14ac:dyDescent="0.25">
      <c r="D123" s="45"/>
      <c r="E123" s="45"/>
      <c r="F123" s="45"/>
    </row>
    <row r="124" spans="4:6" x14ac:dyDescent="0.25">
      <c r="D124" s="45"/>
      <c r="E124" s="45"/>
      <c r="F124" s="45"/>
    </row>
    <row r="125" spans="4:6" x14ac:dyDescent="0.25">
      <c r="D125" s="45"/>
      <c r="E125" s="45"/>
      <c r="F125" s="45"/>
    </row>
    <row r="126" spans="4:6" x14ac:dyDescent="0.25">
      <c r="D126" s="45"/>
      <c r="E126" s="45"/>
      <c r="F126" s="45"/>
    </row>
    <row r="127" spans="4:6" x14ac:dyDescent="0.25">
      <c r="D127" s="45"/>
      <c r="E127" s="45"/>
      <c r="F127" s="45"/>
    </row>
    <row r="128" spans="4:6" x14ac:dyDescent="0.25">
      <c r="D128" s="45"/>
      <c r="E128" s="45"/>
      <c r="F128" s="45"/>
    </row>
    <row r="129" spans="4:6" x14ac:dyDescent="0.25">
      <c r="D129" s="45"/>
      <c r="E129" s="45"/>
      <c r="F129" s="45"/>
    </row>
    <row r="130" spans="4:6" x14ac:dyDescent="0.25">
      <c r="D130" s="45"/>
      <c r="E130" s="45"/>
      <c r="F130" s="45"/>
    </row>
    <row r="131" spans="4:6" x14ac:dyDescent="0.25">
      <c r="D131" s="45"/>
      <c r="E131" s="45"/>
      <c r="F131" s="45"/>
    </row>
    <row r="132" spans="4:6" x14ac:dyDescent="0.25">
      <c r="D132" s="45"/>
      <c r="E132" s="45"/>
      <c r="F132" s="45"/>
    </row>
    <row r="133" spans="4:6" x14ac:dyDescent="0.25">
      <c r="D133" s="45"/>
      <c r="E133" s="45"/>
      <c r="F133" s="45"/>
    </row>
    <row r="134" spans="4:6" x14ac:dyDescent="0.25">
      <c r="D134" s="45"/>
      <c r="E134" s="45"/>
      <c r="F134" s="45"/>
    </row>
    <row r="135" spans="4:6" x14ac:dyDescent="0.25">
      <c r="D135" s="45"/>
      <c r="E135" s="45"/>
      <c r="F135" s="45"/>
    </row>
    <row r="136" spans="4:6" x14ac:dyDescent="0.25">
      <c r="D136" s="45"/>
      <c r="E136" s="45"/>
      <c r="F136" s="45"/>
    </row>
    <row r="137" spans="4:6" x14ac:dyDescent="0.25">
      <c r="D137" s="45"/>
      <c r="E137" s="45"/>
      <c r="F137" s="45"/>
    </row>
    <row r="138" spans="4:6" x14ac:dyDescent="0.25">
      <c r="D138" s="45"/>
      <c r="E138" s="45"/>
      <c r="F138" s="45"/>
    </row>
    <row r="139" spans="4:6" x14ac:dyDescent="0.25">
      <c r="D139" s="45"/>
      <c r="E139" s="45"/>
      <c r="F139" s="45"/>
    </row>
    <row r="140" spans="4:6" x14ac:dyDescent="0.25">
      <c r="D140" s="45"/>
      <c r="E140" s="45"/>
      <c r="F140" s="45"/>
    </row>
    <row r="141" spans="4:6" x14ac:dyDescent="0.25">
      <c r="D141" s="45"/>
      <c r="E141" s="45"/>
      <c r="F141" s="45"/>
    </row>
    <row r="142" spans="4:6" x14ac:dyDescent="0.25">
      <c r="D142" s="45"/>
      <c r="E142" s="45"/>
      <c r="F142" s="45"/>
    </row>
    <row r="143" spans="4:6" x14ac:dyDescent="0.25">
      <c r="D143" s="45"/>
      <c r="E143" s="45"/>
      <c r="F143" s="45"/>
    </row>
    <row r="144" spans="4:6" x14ac:dyDescent="0.25">
      <c r="D144" s="45"/>
      <c r="E144" s="45"/>
      <c r="F144" s="45"/>
    </row>
    <row r="145" spans="4:6" x14ac:dyDescent="0.25">
      <c r="D145" s="45"/>
      <c r="E145" s="45"/>
      <c r="F145" s="45"/>
    </row>
    <row r="146" spans="4:6" x14ac:dyDescent="0.25">
      <c r="D146" s="45"/>
      <c r="E146" s="45"/>
      <c r="F146" s="45"/>
    </row>
    <row r="147" spans="4:6" x14ac:dyDescent="0.25">
      <c r="D147" s="45"/>
      <c r="E147" s="45"/>
      <c r="F147" s="45"/>
    </row>
    <row r="148" spans="4:6" x14ac:dyDescent="0.25">
      <c r="D148" s="45"/>
      <c r="E148" s="45"/>
      <c r="F148" s="45"/>
    </row>
    <row r="149" spans="4:6" x14ac:dyDescent="0.25">
      <c r="D149" s="45"/>
      <c r="E149" s="45"/>
      <c r="F149" s="45"/>
    </row>
    <row r="150" spans="4:6" x14ac:dyDescent="0.25">
      <c r="D150" s="45"/>
      <c r="E150" s="45"/>
      <c r="F150" s="45"/>
    </row>
    <row r="151" spans="4:6" x14ac:dyDescent="0.25">
      <c r="D151" s="45"/>
      <c r="E151" s="45"/>
      <c r="F151" s="45"/>
    </row>
    <row r="152" spans="4:6" x14ac:dyDescent="0.25">
      <c r="D152" s="45"/>
      <c r="E152" s="45"/>
      <c r="F152" s="45"/>
    </row>
    <row r="153" spans="4:6" x14ac:dyDescent="0.25">
      <c r="D153" s="45"/>
      <c r="E153" s="45"/>
      <c r="F153" s="45"/>
    </row>
    <row r="154" spans="4:6" x14ac:dyDescent="0.25">
      <c r="D154" s="45"/>
      <c r="E154" s="45"/>
      <c r="F154" s="45"/>
    </row>
    <row r="155" spans="4:6" x14ac:dyDescent="0.25">
      <c r="D155" s="45"/>
      <c r="E155" s="45"/>
      <c r="F155" s="45"/>
    </row>
    <row r="156" spans="4:6" x14ac:dyDescent="0.25">
      <c r="D156" s="45"/>
      <c r="E156" s="45"/>
      <c r="F156" s="45"/>
    </row>
  </sheetData>
  <phoneticPr fontId="0" type="noConversion"/>
  <pageMargins left="0.75" right="0.75" top="1" bottom="1" header="0.5" footer="0.5"/>
  <pageSetup scale="77" orientation="portrait" horizontalDpi="409" verticalDpi="409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3F5864F4B06E04EA53C126AE6AFDD9E" ma:contentTypeVersion="56" ma:contentTypeDescription="" ma:contentTypeScope="" ma:versionID="a0346dc81d2a01391ef44ecceba217a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2019-05-31T07:00:00+00:00</OpenedDate>
    <SignificantOrder xmlns="dc463f71-b30c-4ab2-9473-d307f9d35888">false</SignificantOrder>
    <Date1 xmlns="dc463f71-b30c-4ab2-9473-d307f9d35888">2019-05-31T07:00:00+00:00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Rainier View Water Company, Inc.</CaseCompanyNames>
    <Nickname xmlns="http://schemas.microsoft.com/sharepoint/v3" xsi:nil="true"/>
    <DocketNumber xmlns="dc463f71-b30c-4ab2-9473-d307f9d35888">190447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99C234C-E190-4244-8182-2CFEF5AE1801}"/>
</file>

<file path=customXml/itemProps2.xml><?xml version="1.0" encoding="utf-8"?>
<ds:datastoreItem xmlns:ds="http://schemas.openxmlformats.org/officeDocument/2006/customXml" ds:itemID="{949EB81A-5981-4F93-867A-93DCDB9E4D71}"/>
</file>

<file path=customXml/itemProps3.xml><?xml version="1.0" encoding="utf-8"?>
<ds:datastoreItem xmlns:ds="http://schemas.openxmlformats.org/officeDocument/2006/customXml" ds:itemID="{4CF3F7A1-3114-40DE-AAD6-619537B79085}"/>
</file>

<file path=customXml/itemProps4.xml><?xml version="1.0" encoding="utf-8"?>
<ds:datastoreItem xmlns:ds="http://schemas.openxmlformats.org/officeDocument/2006/customXml" ds:itemID="{D423AD07-4B95-4E0C-B412-CB0DAFC4DE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RATES</vt:lpstr>
      <vt:lpstr>FIT</vt:lpstr>
      <vt:lpstr>RESTATE</vt:lpstr>
      <vt:lpstr>13-PT AVERAGE</vt:lpstr>
      <vt:lpstr>PROFORMA</vt:lpstr>
      <vt:lpstr>RETURN</vt:lpstr>
      <vt:lpstr>PA-1 SALARY2018</vt:lpstr>
      <vt:lpstr>PA-2 MEDICAL INCREASE</vt:lpstr>
      <vt:lpstr>PA-3 DENTAL INCREASE</vt:lpstr>
      <vt:lpstr>PA-4 TACOMA BACK BILL</vt:lpstr>
      <vt:lpstr>PA-5 PROPERTY TAX INCREASE</vt:lpstr>
      <vt:lpstr>PA-5 RATE CASE COST 2019</vt:lpstr>
      <vt:lpstr>PA-6 RATE CASE COSTS PREVIOUS</vt:lpstr>
      <vt:lpstr>PA-7 DOH OP PERMIT FEE INCREASE</vt:lpstr>
      <vt:lpstr>PA-8 UCMR3 WATER TESTING</vt:lpstr>
      <vt:lpstr>_PG1</vt:lpstr>
      <vt:lpstr>_PG3</vt:lpstr>
      <vt:lpstr>_PG4</vt:lpstr>
      <vt:lpstr>_PGE2</vt:lpstr>
      <vt:lpstr>'PA-1 SALARY2018'!Print_Area</vt:lpstr>
      <vt:lpstr>'PA-2 MEDICAL INCREASE'!Print_Area</vt:lpstr>
      <vt:lpstr>RATES!Print_Area</vt:lpstr>
      <vt:lpstr>RESTATE!Print_Area</vt:lpstr>
      <vt:lpstr>RETURN!Print_Area</vt:lpstr>
      <vt:lpstr>Print_Area_MI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Fisher</dc:creator>
  <cp:lastModifiedBy>Richard Finnigan</cp:lastModifiedBy>
  <cp:lastPrinted>2019-04-05T23:03:38Z</cp:lastPrinted>
  <dcterms:created xsi:type="dcterms:W3CDTF">2001-06-01T21:18:46Z</dcterms:created>
  <dcterms:modified xsi:type="dcterms:W3CDTF">2019-05-24T16:45:03Z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0x0101006E56B4D1795A2E4DB2F0B01679ED314A0003F5864F4B06E04EA53C126AE6AFDD9E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