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_TO_E\BAD0735 - Bainbridge Disposal\Rate Case\2019 Disposal fee only\Workpapers\Submission\"/>
    </mc:Choice>
  </mc:AlternateContent>
  <xr:revisionPtr revIDLastSave="0" documentId="13_ncr:1_{D883F5B8-4CA5-4D6D-A00A-F6FFABB184C8}" xr6:coauthVersionLast="43" xr6:coauthVersionMax="43" xr10:uidLastSave="{00000000-0000-0000-0000-000000000000}"/>
  <bookViews>
    <workbookView xWindow="-28920" yWindow="1800" windowWidth="29040" windowHeight="15840" activeTab="1" xr2:uid="{00000000-000D-0000-FFFF-FFFF00000000}"/>
  </bookViews>
  <sheets>
    <sheet name="Notes" sheetId="8" r:id="rId1"/>
    <sheet name="References" sheetId="4" r:id="rId2"/>
    <sheet name="Staff calcs 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>[2]Hidden!#REF!</definedName>
    <definedName name="_ACT2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">#REF!</definedName>
    <definedName name="ACCT">[2]Hidden!#REF!</definedName>
    <definedName name="ACCT.ConsolSum">[1]Hidden!$Q$11</definedName>
    <definedName name="ACT_CUR">[2]Hidden!#REF!</definedName>
    <definedName name="ACT_YTD">[2]Hidden!#REF!</definedName>
    <definedName name="AmountCount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>#REF!</definedName>
    <definedName name="BUD_CUR">[2]Hidden!#REF!</definedName>
    <definedName name="BUD_YTD">[2]Hidden!#REF!</definedName>
    <definedName name="CheckTotals">#REF!</definedName>
    <definedName name="colgroup">[1]Orientation!$G$6</definedName>
    <definedName name="colsegment">[1]Orientation!$F$6</definedName>
    <definedName name="CRCTable">#REF!</definedName>
    <definedName name="CRCTableOLD">#REF!</definedName>
    <definedName name="CriteriaType">[4]ControlPanel!$Z$2:$Z$5</definedName>
    <definedName name="Cutomers">#REF!</definedName>
    <definedName name="_xlnm.Database">#REF!</definedName>
    <definedName name="Database1">#REF!</definedName>
    <definedName name="DEPT">[2]Hidden!#REF!</definedName>
    <definedName name="District">'[5]Vashon BS'!#REF!</definedName>
    <definedName name="DistrictNum">#REF!</definedName>
    <definedName name="drlFilter">[1]Settings!$D$27</definedName>
    <definedName name="End">#REF!</definedName>
    <definedName name="ExcludeIC">'[5]Vashon BS'!#REF!</definedName>
    <definedName name="FBTable">#REF!</definedName>
    <definedName name="FBTableOld">#REF!</definedName>
    <definedName name="filter">[1]Settings!$B$14:$H$25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MemoAttachment">#REF!</definedName>
    <definedName name="MetaSet">[1]Orientation!$C$22</definedName>
    <definedName name="NewOnlyOrg">#N/A</definedName>
    <definedName name="NOTES">#REF!</definedName>
    <definedName name="NR">#REF!</definedName>
    <definedName name="OfficerSalary">#N/A</definedName>
    <definedName name="OffsetAcctBil">[6]JEexport!$L$10</definedName>
    <definedName name="OffsetAcctPmt">[6]JEexport!$L$9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Print1">#REF!</definedName>
    <definedName name="Print2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>[4]ControlPanel!$X$2:$X$8</definedName>
    <definedName name="ReportVersion">[1]Settings!$D$5</definedName>
    <definedName name="RetainedEarnings">#REF!</definedName>
    <definedName name="RevCust">[7]RevenuesCust!#REF!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>#REF!</definedName>
    <definedName name="sSRCDate">'[8]Feb''12 FAR Data'!#REF!</definedName>
    <definedName name="Supplemental_filter">[1]Settings!$C$31</definedName>
    <definedName name="SWDisposal">#N/A</definedName>
    <definedName name="System">[9]BS_Close!$V$8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ransactions">#REF!</definedName>
    <definedName name="WTable">#REF!</definedName>
    <definedName name="WTableOld">#REF!</definedName>
    <definedName name="ww">#REF!</definedName>
    <definedName name="xperiod">[1]Orientation!$G$15</definedName>
    <definedName name="xtabin">[2]Hidden!#REF!</definedName>
    <definedName name="xx">#REF!</definedName>
    <definedName name="xxx">#REF!</definedName>
    <definedName name="xxxx">#REF!</definedName>
    <definedName name="YearMonth">'[5]Vashon BS'!#REF!</definedName>
    <definedName name="YWMedWasteDisp">#N/A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7" l="1"/>
  <c r="I12" i="7" s="1"/>
  <c r="H12" i="7"/>
  <c r="R12" i="7" l="1"/>
  <c r="Q12" i="7"/>
  <c r="S12" i="7" l="1"/>
  <c r="P47" i="4"/>
  <c r="P48" i="4" s="1"/>
  <c r="Q47" i="4"/>
  <c r="R47" i="4"/>
  <c r="S47" i="4"/>
  <c r="O47" i="4"/>
  <c r="O48" i="4" s="1"/>
  <c r="T36" i="4"/>
  <c r="T37" i="4"/>
  <c r="T38" i="4"/>
  <c r="T39" i="4"/>
  <c r="T40" i="4"/>
  <c r="T41" i="4"/>
  <c r="T42" i="4"/>
  <c r="T43" i="4"/>
  <c r="T44" i="4"/>
  <c r="T45" i="4"/>
  <c r="T46" i="4"/>
  <c r="T35" i="4"/>
  <c r="T47" i="4" l="1"/>
  <c r="G31" i="7"/>
  <c r="Q31" i="7" s="1"/>
  <c r="G30" i="7"/>
  <c r="G27" i="7"/>
  <c r="I27" i="7" s="1"/>
  <c r="Q27" i="7"/>
  <c r="B22" i="4"/>
  <c r="I31" i="7" l="1"/>
  <c r="Q30" i="7"/>
  <c r="I30" i="7"/>
  <c r="E71" i="7"/>
  <c r="Q26" i="7" l="1"/>
  <c r="G26" i="7"/>
  <c r="I26" i="7" s="1"/>
  <c r="G41" i="7" l="1"/>
  <c r="E20" i="7"/>
  <c r="E28" i="7"/>
  <c r="E21" i="7"/>
  <c r="F52" i="4" l="1"/>
  <c r="K48" i="4" l="1"/>
  <c r="T48" i="4" s="1"/>
  <c r="F47" i="4" l="1"/>
  <c r="G47" i="4"/>
  <c r="G49" i="4" s="1"/>
  <c r="H47" i="4"/>
  <c r="H49" i="4" s="1"/>
  <c r="I47" i="4"/>
  <c r="I49" i="4" s="1"/>
  <c r="E47" i="4"/>
  <c r="E49" i="4" s="1"/>
  <c r="F49" i="4" l="1"/>
  <c r="K46" i="4" l="1"/>
  <c r="K45" i="4"/>
  <c r="K44" i="4"/>
  <c r="K43" i="4"/>
  <c r="K42" i="4"/>
  <c r="K41" i="4"/>
  <c r="K40" i="4"/>
  <c r="K39" i="4"/>
  <c r="K38" i="4"/>
  <c r="K37" i="4"/>
  <c r="K36" i="4" l="1"/>
  <c r="K35" i="4"/>
  <c r="K47" i="4" l="1"/>
  <c r="K49" i="4" s="1"/>
  <c r="N37" i="7"/>
  <c r="N36" i="7"/>
  <c r="N35" i="7"/>
  <c r="N33" i="7"/>
  <c r="N32" i="7"/>
  <c r="D6" i="4"/>
  <c r="G6" i="4" s="1"/>
  <c r="F35" i="7" l="1"/>
  <c r="E6" i="4"/>
  <c r="F36" i="7" s="1"/>
  <c r="G36" i="7" s="1"/>
  <c r="F6" i="4"/>
  <c r="F37" i="7" s="1"/>
  <c r="G37" i="7" s="1"/>
  <c r="Q37" i="7" s="1"/>
  <c r="Q36" i="7" l="1"/>
  <c r="E72" i="7"/>
  <c r="R68" i="7"/>
  <c r="Q68" i="7"/>
  <c r="G68" i="7"/>
  <c r="I68" i="7" s="1"/>
  <c r="R67" i="7"/>
  <c r="Q67" i="7"/>
  <c r="G67" i="7"/>
  <c r="I67" i="7" s="1"/>
  <c r="R66" i="7"/>
  <c r="Q66" i="7"/>
  <c r="G66" i="7"/>
  <c r="I66" i="7" s="1"/>
  <c r="R65" i="7"/>
  <c r="Q65" i="7"/>
  <c r="G65" i="7"/>
  <c r="I65" i="7" s="1"/>
  <c r="R64" i="7"/>
  <c r="Q64" i="7"/>
  <c r="G64" i="7"/>
  <c r="I64" i="7" s="1"/>
  <c r="R63" i="7"/>
  <c r="Q63" i="7"/>
  <c r="G63" i="7"/>
  <c r="I63" i="7" s="1"/>
  <c r="R62" i="7"/>
  <c r="Q62" i="7"/>
  <c r="F62" i="7"/>
  <c r="G62" i="7" s="1"/>
  <c r="I62" i="7" s="1"/>
  <c r="R61" i="7"/>
  <c r="Q61" i="7"/>
  <c r="G61" i="7"/>
  <c r="I61" i="7" s="1"/>
  <c r="R60" i="7"/>
  <c r="Q60" i="7"/>
  <c r="F60" i="7"/>
  <c r="G60" i="7" s="1"/>
  <c r="I60" i="7" s="1"/>
  <c r="R59" i="7"/>
  <c r="Q59" i="7"/>
  <c r="G59" i="7"/>
  <c r="I59" i="7" s="1"/>
  <c r="R58" i="7"/>
  <c r="Q58" i="7"/>
  <c r="F58" i="7"/>
  <c r="G58" i="7" s="1"/>
  <c r="I58" i="7" s="1"/>
  <c r="R57" i="7"/>
  <c r="Q57" i="7"/>
  <c r="G57" i="7"/>
  <c r="I57" i="7" s="1"/>
  <c r="R56" i="7"/>
  <c r="Q56" i="7"/>
  <c r="G56" i="7"/>
  <c r="I56" i="7" s="1"/>
  <c r="R55" i="7"/>
  <c r="Q55" i="7"/>
  <c r="G55" i="7"/>
  <c r="I55" i="7" s="1"/>
  <c r="R54" i="7"/>
  <c r="Q54" i="7"/>
  <c r="F54" i="7"/>
  <c r="G54" i="7" s="1"/>
  <c r="I54" i="7" s="1"/>
  <c r="Q49" i="7"/>
  <c r="Q48" i="7"/>
  <c r="Q47" i="7"/>
  <c r="Q44" i="7"/>
  <c r="Q43" i="7"/>
  <c r="Q42" i="7"/>
  <c r="E39" i="7"/>
  <c r="I37" i="7"/>
  <c r="I36" i="7"/>
  <c r="G35" i="7"/>
  <c r="Q25" i="7"/>
  <c r="H25" i="7"/>
  <c r="Q24" i="7"/>
  <c r="Q23" i="7"/>
  <c r="H23" i="7"/>
  <c r="Q22" i="7"/>
  <c r="H22" i="7"/>
  <c r="Q21" i="7"/>
  <c r="Q19" i="7"/>
  <c r="Q18" i="7"/>
  <c r="Q6" i="7"/>
  <c r="Q15" i="7"/>
  <c r="Q14" i="7"/>
  <c r="Q13" i="7"/>
  <c r="Q11" i="7"/>
  <c r="Q10" i="7"/>
  <c r="Q9" i="7"/>
  <c r="Q8" i="7"/>
  <c r="Q7" i="7"/>
  <c r="G45" i="7" l="1"/>
  <c r="G50" i="7"/>
  <c r="S55" i="7"/>
  <c r="S57" i="7"/>
  <c r="S61" i="7"/>
  <c r="I35" i="7"/>
  <c r="Q35" i="7"/>
  <c r="I42" i="7"/>
  <c r="S54" i="7"/>
  <c r="I49" i="7"/>
  <c r="I44" i="7"/>
  <c r="I41" i="7"/>
  <c r="R42" i="7"/>
  <c r="S42" i="7" s="1"/>
  <c r="I43" i="7"/>
  <c r="R44" i="7"/>
  <c r="S44" i="7" s="1"/>
  <c r="I46" i="7"/>
  <c r="R47" i="7"/>
  <c r="S47" i="7" s="1"/>
  <c r="I48" i="7"/>
  <c r="R43" i="7"/>
  <c r="S43" i="7" s="1"/>
  <c r="R46" i="7"/>
  <c r="I47" i="7"/>
  <c r="S56" i="7"/>
  <c r="S60" i="7"/>
  <c r="E51" i="7"/>
  <c r="Q41" i="7"/>
  <c r="Q45" i="7" s="1"/>
  <c r="Q46" i="7"/>
  <c r="Q50" i="7" s="1"/>
  <c r="R48" i="7"/>
  <c r="R49" i="7"/>
  <c r="S58" i="7"/>
  <c r="S59" i="7"/>
  <c r="S62" i="7"/>
  <c r="S63" i="7"/>
  <c r="S64" i="7"/>
  <c r="S65" i="7"/>
  <c r="S66" i="7"/>
  <c r="S67" i="7"/>
  <c r="S68" i="7"/>
  <c r="I50" i="7" l="1"/>
  <c r="I45" i="7"/>
  <c r="S46" i="7"/>
  <c r="S48" i="7"/>
  <c r="R50" i="7"/>
  <c r="S49" i="7"/>
  <c r="S50" i="7" l="1"/>
  <c r="F15" i="4"/>
  <c r="B17" i="4"/>
  <c r="B20" i="4" s="1"/>
  <c r="C16" i="4"/>
  <c r="C15" i="4"/>
  <c r="D9" i="4"/>
  <c r="D8" i="4"/>
  <c r="D7" i="4"/>
  <c r="F29" i="7" s="1"/>
  <c r="G29" i="7" s="1"/>
  <c r="I29" i="7" l="1"/>
  <c r="Q29" i="7"/>
  <c r="F17" i="4"/>
  <c r="F18" i="4" s="1"/>
  <c r="B21" i="4" s="1"/>
  <c r="B23" i="4" s="1"/>
  <c r="G8" i="4"/>
  <c r="F8" i="4"/>
  <c r="E8" i="4"/>
  <c r="F25" i="7"/>
  <c r="G25" i="7" s="1"/>
  <c r="I25" i="7" s="1"/>
  <c r="F14" i="7"/>
  <c r="G14" i="7" s="1"/>
  <c r="I14" i="7" s="1"/>
  <c r="F34" i="7"/>
  <c r="G34" i="7" s="1"/>
  <c r="F24" i="7"/>
  <c r="G24" i="7" s="1"/>
  <c r="I24" i="7" s="1"/>
  <c r="F13" i="7"/>
  <c r="G13" i="7" s="1"/>
  <c r="I13" i="7" s="1"/>
  <c r="G7" i="4"/>
  <c r="F33" i="7" s="1"/>
  <c r="G33" i="7" s="1"/>
  <c r="F7" i="4"/>
  <c r="E7" i="4"/>
  <c r="F32" i="7" s="1"/>
  <c r="G32" i="7" s="1"/>
  <c r="F19" i="7"/>
  <c r="G19" i="7" s="1"/>
  <c r="I19" i="7" s="1"/>
  <c r="F28" i="7"/>
  <c r="G28" i="7" s="1"/>
  <c r="F21" i="7"/>
  <c r="G21" i="7" s="1"/>
  <c r="F17" i="7"/>
  <c r="G17" i="7" s="1"/>
  <c r="F6" i="7"/>
  <c r="G6" i="7" s="1"/>
  <c r="F11" i="7"/>
  <c r="G11" i="7" s="1"/>
  <c r="I11" i="7" s="1"/>
  <c r="F9" i="7"/>
  <c r="G9" i="7" s="1"/>
  <c r="I9" i="7" s="1"/>
  <c r="F7" i="7"/>
  <c r="G7" i="7" s="1"/>
  <c r="F23" i="7"/>
  <c r="G23" i="7" s="1"/>
  <c r="I23" i="7" s="1"/>
  <c r="F22" i="7"/>
  <c r="G22" i="7" s="1"/>
  <c r="I22" i="7" s="1"/>
  <c r="F10" i="7"/>
  <c r="G10" i="7" s="1"/>
  <c r="I10" i="7" s="1"/>
  <c r="F8" i="7"/>
  <c r="G8" i="7" s="1"/>
  <c r="I8" i="7" s="1"/>
  <c r="G9" i="4"/>
  <c r="F9" i="4"/>
  <c r="E9" i="4"/>
  <c r="F38" i="7"/>
  <c r="G38" i="7" s="1"/>
  <c r="F18" i="7"/>
  <c r="G18" i="7" s="1"/>
  <c r="I18" i="7" s="1"/>
  <c r="F16" i="7"/>
  <c r="G16" i="7" s="1"/>
  <c r="F15" i="7"/>
  <c r="G15" i="7" s="1"/>
  <c r="I15" i="7" s="1"/>
  <c r="C17" i="4"/>
  <c r="I6" i="7" l="1"/>
  <c r="G20" i="7"/>
  <c r="I21" i="7"/>
  <c r="G39" i="7"/>
  <c r="I34" i="7"/>
  <c r="Q34" i="7"/>
  <c r="Q16" i="7"/>
  <c r="I16" i="7"/>
  <c r="I38" i="7"/>
  <c r="Q38" i="7"/>
  <c r="R38" i="7"/>
  <c r="I7" i="7"/>
  <c r="I17" i="7"/>
  <c r="Q17" i="7"/>
  <c r="I28" i="7"/>
  <c r="Q28" i="7"/>
  <c r="I32" i="7"/>
  <c r="Q32" i="7"/>
  <c r="I33" i="7"/>
  <c r="Q33" i="7"/>
  <c r="Q20" i="7" l="1"/>
  <c r="I20" i="7"/>
  <c r="Q39" i="7"/>
  <c r="S38" i="7"/>
  <c r="I39" i="7"/>
  <c r="E73" i="7"/>
  <c r="G51" i="7"/>
  <c r="Q51" i="7" l="1"/>
  <c r="I51" i="7"/>
  <c r="E74" i="7" s="1"/>
  <c r="J31" i="7" l="1"/>
  <c r="K31" i="7" s="1"/>
  <c r="L31" i="7" s="1"/>
  <c r="M31" i="7" s="1"/>
  <c r="O31" i="7" s="1"/>
  <c r="T31" i="7" s="1"/>
  <c r="U31" i="7" s="1"/>
  <c r="J12" i="7"/>
  <c r="K12" i="7" s="1"/>
  <c r="L12" i="7" s="1"/>
  <c r="M12" i="7" s="1"/>
  <c r="O12" i="7" s="1"/>
  <c r="T12" i="7" s="1"/>
  <c r="U12" i="7" s="1"/>
  <c r="J29" i="7"/>
  <c r="K29" i="7" s="1"/>
  <c r="L29" i="7" s="1"/>
  <c r="M29" i="7" s="1"/>
  <c r="O29" i="7" s="1"/>
  <c r="P29" i="7" s="1"/>
  <c r="R29" i="7" s="1"/>
  <c r="S29" i="7" s="1"/>
  <c r="J30" i="7"/>
  <c r="K30" i="7" s="1"/>
  <c r="L30" i="7" s="1"/>
  <c r="M30" i="7" s="1"/>
  <c r="O30" i="7" s="1"/>
  <c r="J26" i="7"/>
  <c r="K26" i="7" s="1"/>
  <c r="L26" i="7" s="1"/>
  <c r="M26" i="7" s="1"/>
  <c r="O26" i="7" s="1"/>
  <c r="T26" i="7" s="1"/>
  <c r="U26" i="7" s="1"/>
  <c r="J27" i="7"/>
  <c r="K27" i="7" s="1"/>
  <c r="L27" i="7" s="1"/>
  <c r="M27" i="7" s="1"/>
  <c r="O27" i="7" s="1"/>
  <c r="J38" i="7"/>
  <c r="K38" i="7" s="1"/>
  <c r="L38" i="7" s="1"/>
  <c r="M38" i="7" s="1"/>
  <c r="O38" i="7" s="1"/>
  <c r="J6" i="7"/>
  <c r="J68" i="7"/>
  <c r="K68" i="7" s="1"/>
  <c r="L68" i="7" s="1"/>
  <c r="O68" i="7" s="1"/>
  <c r="T68" i="7" s="1"/>
  <c r="J7" i="7"/>
  <c r="K7" i="7" s="1"/>
  <c r="L7" i="7" s="1"/>
  <c r="M7" i="7" s="1"/>
  <c r="O7" i="7" s="1"/>
  <c r="P7" i="7" s="1"/>
  <c r="R7" i="7" s="1"/>
  <c r="J15" i="7"/>
  <c r="K15" i="7" s="1"/>
  <c r="L15" i="7" s="1"/>
  <c r="M15" i="7" s="1"/>
  <c r="O15" i="7" s="1"/>
  <c r="P15" i="7" s="1"/>
  <c r="R15" i="7" s="1"/>
  <c r="S15" i="7" s="1"/>
  <c r="J18" i="7"/>
  <c r="K18" i="7" s="1"/>
  <c r="L18" i="7" s="1"/>
  <c r="M18" i="7" s="1"/>
  <c r="O18" i="7" s="1"/>
  <c r="R18" i="7" s="1"/>
  <c r="S18" i="7" s="1"/>
  <c r="J36" i="7"/>
  <c r="K36" i="7" s="1"/>
  <c r="L36" i="7" s="1"/>
  <c r="M36" i="7" s="1"/>
  <c r="O36" i="7" s="1"/>
  <c r="R36" i="7" s="1"/>
  <c r="S36" i="7" s="1"/>
  <c r="J34" i="7"/>
  <c r="K34" i="7" s="1"/>
  <c r="L34" i="7" s="1"/>
  <c r="M34" i="7" s="1"/>
  <c r="J25" i="7"/>
  <c r="K25" i="7" s="1"/>
  <c r="L25" i="7" s="1"/>
  <c r="M25" i="7" s="1"/>
  <c r="O25" i="7" s="1"/>
  <c r="R25" i="7" s="1"/>
  <c r="S25" i="7" s="1"/>
  <c r="J65" i="7"/>
  <c r="K65" i="7" s="1"/>
  <c r="L65" i="7" s="1"/>
  <c r="O65" i="7" s="1"/>
  <c r="T65" i="7" s="1"/>
  <c r="J21" i="7"/>
  <c r="K21" i="7" s="1"/>
  <c r="L21" i="7" s="1"/>
  <c r="M21" i="7" s="1"/>
  <c r="O21" i="7" s="1"/>
  <c r="P21" i="7" s="1"/>
  <c r="R21" i="7" s="1"/>
  <c r="J11" i="7"/>
  <c r="K11" i="7" s="1"/>
  <c r="L11" i="7" s="1"/>
  <c r="M11" i="7" s="1"/>
  <c r="O11" i="7" s="1"/>
  <c r="P11" i="7" s="1"/>
  <c r="R11" i="7" s="1"/>
  <c r="S11" i="7" s="1"/>
  <c r="J66" i="7"/>
  <c r="K66" i="7" s="1"/>
  <c r="L66" i="7" s="1"/>
  <c r="O66" i="7" s="1"/>
  <c r="T66" i="7" s="1"/>
  <c r="J44" i="7"/>
  <c r="K44" i="7" s="1"/>
  <c r="L44" i="7" s="1"/>
  <c r="M44" i="7" s="1"/>
  <c r="J32" i="7"/>
  <c r="K32" i="7" s="1"/>
  <c r="L32" i="7" s="1"/>
  <c r="M32" i="7" s="1"/>
  <c r="O32" i="7" s="1"/>
  <c r="R32" i="7" s="1"/>
  <c r="S32" i="7" s="1"/>
  <c r="J22" i="7"/>
  <c r="K22" i="7" s="1"/>
  <c r="L22" i="7" s="1"/>
  <c r="M22" i="7" s="1"/>
  <c r="O22" i="7" s="1"/>
  <c r="R22" i="7" s="1"/>
  <c r="S22" i="7" s="1"/>
  <c r="J54" i="7"/>
  <c r="K54" i="7" s="1"/>
  <c r="L54" i="7" s="1"/>
  <c r="J35" i="7"/>
  <c r="K35" i="7" s="1"/>
  <c r="L35" i="7" s="1"/>
  <c r="M35" i="7" s="1"/>
  <c r="O35" i="7" s="1"/>
  <c r="R35" i="7" s="1"/>
  <c r="S35" i="7" s="1"/>
  <c r="J62" i="7"/>
  <c r="K62" i="7" s="1"/>
  <c r="L62" i="7" s="1"/>
  <c r="O62" i="7" s="1"/>
  <c r="T62" i="7" s="1"/>
  <c r="J9" i="7"/>
  <c r="K9" i="7" s="1"/>
  <c r="L9" i="7" s="1"/>
  <c r="M9" i="7" s="1"/>
  <c r="O9" i="7" s="1"/>
  <c r="P9" i="7" s="1"/>
  <c r="R9" i="7" s="1"/>
  <c r="S9" i="7" s="1"/>
  <c r="J10" i="7"/>
  <c r="K10" i="7" s="1"/>
  <c r="L10" i="7" s="1"/>
  <c r="M10" i="7" s="1"/>
  <c r="O10" i="7" s="1"/>
  <c r="P10" i="7" s="1"/>
  <c r="R10" i="7" s="1"/>
  <c r="S10" i="7" s="1"/>
  <c r="J23" i="7"/>
  <c r="K23" i="7" s="1"/>
  <c r="L23" i="7" s="1"/>
  <c r="M23" i="7" s="1"/>
  <c r="O23" i="7" s="1"/>
  <c r="J33" i="7"/>
  <c r="K33" i="7" s="1"/>
  <c r="L33" i="7" s="1"/>
  <c r="M33" i="7" s="1"/>
  <c r="O33" i="7" s="1"/>
  <c r="R33" i="7" s="1"/>
  <c r="S33" i="7" s="1"/>
  <c r="J64" i="7"/>
  <c r="K64" i="7" s="1"/>
  <c r="L64" i="7" s="1"/>
  <c r="O64" i="7" s="1"/>
  <c r="T64" i="7" s="1"/>
  <c r="J48" i="7"/>
  <c r="K48" i="7" s="1"/>
  <c r="L48" i="7" s="1"/>
  <c r="M48" i="7" s="1"/>
  <c r="J47" i="7"/>
  <c r="J14" i="7"/>
  <c r="K14" i="7" s="1"/>
  <c r="L14" i="7" s="1"/>
  <c r="M14" i="7" s="1"/>
  <c r="O14" i="7" s="1"/>
  <c r="R14" i="7" s="1"/>
  <c r="S14" i="7" s="1"/>
  <c r="J28" i="7"/>
  <c r="K28" i="7" s="1"/>
  <c r="L28" i="7" s="1"/>
  <c r="M28" i="7" s="1"/>
  <c r="O28" i="7" s="1"/>
  <c r="J8" i="7"/>
  <c r="K8" i="7" s="1"/>
  <c r="L8" i="7" s="1"/>
  <c r="M8" i="7" s="1"/>
  <c r="O8" i="7" s="1"/>
  <c r="J19" i="7"/>
  <c r="K19" i="7" s="1"/>
  <c r="L19" i="7" s="1"/>
  <c r="M19" i="7" s="1"/>
  <c r="O19" i="7" s="1"/>
  <c r="R19" i="7" s="1"/>
  <c r="S19" i="7" s="1"/>
  <c r="J67" i="7"/>
  <c r="K67" i="7" s="1"/>
  <c r="L67" i="7" s="1"/>
  <c r="O67" i="7" s="1"/>
  <c r="T67" i="7" s="1"/>
  <c r="J46" i="7"/>
  <c r="K46" i="7" s="1"/>
  <c r="L46" i="7" s="1"/>
  <c r="J56" i="7"/>
  <c r="K56" i="7" s="1"/>
  <c r="L56" i="7" s="1"/>
  <c r="O56" i="7" s="1"/>
  <c r="T56" i="7" s="1"/>
  <c r="J43" i="7"/>
  <c r="K43" i="7" s="1"/>
  <c r="L43" i="7" s="1"/>
  <c r="M43" i="7" s="1"/>
  <c r="J24" i="7"/>
  <c r="K24" i="7" s="1"/>
  <c r="L24" i="7" s="1"/>
  <c r="M24" i="7" s="1"/>
  <c r="O24" i="7" s="1"/>
  <c r="J13" i="7"/>
  <c r="K13" i="7" s="1"/>
  <c r="L13" i="7" s="1"/>
  <c r="M13" i="7" s="1"/>
  <c r="J37" i="7"/>
  <c r="K37" i="7" s="1"/>
  <c r="L37" i="7" s="1"/>
  <c r="M37" i="7" s="1"/>
  <c r="O37" i="7" s="1"/>
  <c r="J42" i="7"/>
  <c r="K42" i="7" s="1"/>
  <c r="L42" i="7" s="1"/>
  <c r="M42" i="7" s="1"/>
  <c r="J16" i="7"/>
  <c r="K16" i="7" s="1"/>
  <c r="L16" i="7" s="1"/>
  <c r="M16" i="7" s="1"/>
  <c r="O16" i="7" s="1"/>
  <c r="R16" i="7" s="1"/>
  <c r="S16" i="7" s="1"/>
  <c r="J60" i="7"/>
  <c r="K60" i="7" s="1"/>
  <c r="L60" i="7" s="1"/>
  <c r="O60" i="7" s="1"/>
  <c r="T60" i="7" s="1"/>
  <c r="J57" i="7"/>
  <c r="K57" i="7" s="1"/>
  <c r="L57" i="7" s="1"/>
  <c r="O57" i="7" s="1"/>
  <c r="T57" i="7" s="1"/>
  <c r="J63" i="7"/>
  <c r="K63" i="7" s="1"/>
  <c r="L63" i="7" s="1"/>
  <c r="O63" i="7" s="1"/>
  <c r="T63" i="7" s="1"/>
  <c r="J59" i="7"/>
  <c r="K59" i="7" s="1"/>
  <c r="L59" i="7" s="1"/>
  <c r="O59" i="7" s="1"/>
  <c r="T59" i="7" s="1"/>
  <c r="J61" i="7"/>
  <c r="K61" i="7" s="1"/>
  <c r="L61" i="7" s="1"/>
  <c r="O61" i="7" s="1"/>
  <c r="T61" i="7" s="1"/>
  <c r="J49" i="7"/>
  <c r="K49" i="7" s="1"/>
  <c r="L49" i="7" s="1"/>
  <c r="M49" i="7" s="1"/>
  <c r="J41" i="7"/>
  <c r="K41" i="7" s="1"/>
  <c r="L41" i="7" s="1"/>
  <c r="J17" i="7"/>
  <c r="K17" i="7" s="1"/>
  <c r="L17" i="7" s="1"/>
  <c r="M17" i="7" s="1"/>
  <c r="O17" i="7" s="1"/>
  <c r="J55" i="7"/>
  <c r="K55" i="7" s="1"/>
  <c r="L55" i="7" s="1"/>
  <c r="O55" i="7" s="1"/>
  <c r="T55" i="7" s="1"/>
  <c r="J58" i="7"/>
  <c r="K58" i="7" s="1"/>
  <c r="L58" i="7" s="1"/>
  <c r="O58" i="7" s="1"/>
  <c r="T58" i="7" s="1"/>
  <c r="K47" i="7"/>
  <c r="L47" i="7" s="1"/>
  <c r="M47" i="7" s="1"/>
  <c r="U32" i="7"/>
  <c r="U36" i="7"/>
  <c r="U19" i="7"/>
  <c r="U35" i="7"/>
  <c r="U38" i="7"/>
  <c r="U14" i="7"/>
  <c r="O54" i="7" l="1"/>
  <c r="T54" i="7" s="1"/>
  <c r="P31" i="7"/>
  <c r="R31" i="7" s="1"/>
  <c r="S31" i="7" s="1"/>
  <c r="O34" i="7"/>
  <c r="P34" i="7" s="1"/>
  <c r="R34" i="7" s="1"/>
  <c r="S34" i="7" s="1"/>
  <c r="R13" i="7"/>
  <c r="S13" i="7" s="1"/>
  <c r="O13" i="7"/>
  <c r="P30" i="7"/>
  <c r="R30" i="7" s="1"/>
  <c r="S30" i="7" s="1"/>
  <c r="T30" i="7"/>
  <c r="U30" i="7" s="1"/>
  <c r="T29" i="7"/>
  <c r="U29" i="7" s="1"/>
  <c r="P26" i="7"/>
  <c r="R26" i="7" s="1"/>
  <c r="S26" i="7" s="1"/>
  <c r="P27" i="7"/>
  <c r="R27" i="7" s="1"/>
  <c r="S27" i="7" s="1"/>
  <c r="T27" i="7"/>
  <c r="U27" i="7" s="1"/>
  <c r="T15" i="7"/>
  <c r="U15" i="7" s="1"/>
  <c r="T9" i="7"/>
  <c r="U9" i="7" s="1"/>
  <c r="T11" i="7"/>
  <c r="U11" i="7" s="1"/>
  <c r="U25" i="7"/>
  <c r="U22" i="7"/>
  <c r="U18" i="7"/>
  <c r="K6" i="7"/>
  <c r="L6" i="7" s="1"/>
  <c r="M6" i="7" s="1"/>
  <c r="O6" i="7" s="1"/>
  <c r="P6" i="7" s="1"/>
  <c r="R6" i="7" s="1"/>
  <c r="J20" i="7"/>
  <c r="U13" i="7"/>
  <c r="T10" i="7"/>
  <c r="U10" i="7" s="1"/>
  <c r="J39" i="7"/>
  <c r="U33" i="7"/>
  <c r="U16" i="7"/>
  <c r="U17" i="7"/>
  <c r="R17" i="7"/>
  <c r="S17" i="7" s="1"/>
  <c r="U24" i="7"/>
  <c r="R24" i="7"/>
  <c r="S24" i="7" s="1"/>
  <c r="U23" i="7"/>
  <c r="R23" i="7"/>
  <c r="S23" i="7" s="1"/>
  <c r="S21" i="7"/>
  <c r="U37" i="7"/>
  <c r="R37" i="7"/>
  <c r="S37" i="7" s="1"/>
  <c r="P8" i="7"/>
  <c r="R8" i="7" s="1"/>
  <c r="T28" i="7"/>
  <c r="U28" i="7" s="1"/>
  <c r="P28" i="7"/>
  <c r="R28" i="7" s="1"/>
  <c r="S28" i="7" s="1"/>
  <c r="J45" i="7"/>
  <c r="T8" i="7"/>
  <c r="U8" i="7" s="1"/>
  <c r="J50" i="7"/>
  <c r="S7" i="7"/>
  <c r="O48" i="7"/>
  <c r="U48" i="7" s="1"/>
  <c r="O42" i="7"/>
  <c r="U42" i="7" s="1"/>
  <c r="O49" i="7"/>
  <c r="U49" i="7" s="1"/>
  <c r="O43" i="7"/>
  <c r="U43" i="7" s="1"/>
  <c r="O44" i="7"/>
  <c r="U44" i="7" s="1"/>
  <c r="O47" i="7"/>
  <c r="U47" i="7" s="1"/>
  <c r="M46" i="7"/>
  <c r="O46" i="7" s="1"/>
  <c r="U46" i="7" s="1"/>
  <c r="M41" i="7"/>
  <c r="T7" i="7"/>
  <c r="U7" i="7" s="1"/>
  <c r="T21" i="7"/>
  <c r="U21" i="7" s="1"/>
  <c r="T34" i="7" l="1"/>
  <c r="U34" i="7" s="1"/>
  <c r="U39" i="7" s="1"/>
  <c r="T6" i="7"/>
  <c r="S6" i="7"/>
  <c r="R20" i="7"/>
  <c r="S39" i="7"/>
  <c r="R39" i="7"/>
  <c r="S8" i="7"/>
  <c r="J51" i="7"/>
  <c r="O41" i="7"/>
  <c r="T50" i="7"/>
  <c r="T20" i="7"/>
  <c r="U50" i="7"/>
  <c r="U6" i="7" l="1"/>
  <c r="U20" i="7" s="1"/>
  <c r="T39" i="7"/>
  <c r="T41" i="7"/>
  <c r="T45" i="7" s="1"/>
  <c r="P41" i="7"/>
  <c r="R41" i="7" s="1"/>
  <c r="S20" i="7"/>
  <c r="T51" i="7" l="1"/>
  <c r="U41" i="7"/>
  <c r="U45" i="7" s="1"/>
  <c r="U51" i="7" s="1"/>
  <c r="B28" i="4" s="1"/>
  <c r="B29" i="4" s="1"/>
  <c r="C29" i="4" s="1"/>
  <c r="R45" i="7"/>
  <c r="R51" i="7" s="1"/>
  <c r="S41" i="7"/>
  <c r="S45" i="7" s="1"/>
  <c r="S51" i="7" s="1"/>
  <c r="B25" i="4" s="1"/>
  <c r="B2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Young</author>
  </authors>
  <commentList>
    <comment ref="O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rounded here</t>
        </r>
      </text>
    </comment>
    <comment ref="H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not on Meeks wieght list</t>
        </r>
      </text>
    </comment>
    <comment ref="H1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Not on Meeks weights list; uses same interval as 3-4 cans</t>
        </r>
      </text>
    </comment>
    <comment ref="N28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Tariff states per pick up rate</t>
        </r>
      </text>
    </comment>
    <comment ref="N6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current tariff does not offer this service</t>
        </r>
      </text>
    </comment>
    <comment ref="H64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not on Meeks weight list</t>
        </r>
      </text>
    </comment>
    <comment ref="E71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from rate case</t>
        </r>
      </text>
    </comment>
  </commentList>
</comments>
</file>

<file path=xl/sharedStrings.xml><?xml version="1.0" encoding="utf-8"?>
<sst xmlns="http://schemas.openxmlformats.org/spreadsheetml/2006/main" count="207" uniqueCount="172">
  <si>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</si>
  <si>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</si>
  <si>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</si>
  <si>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</si>
  <si>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</si>
  <si>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</si>
  <si>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</si>
  <si>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</si>
  <si>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>Increase</t>
  </si>
  <si>
    <t>Disposal fee</t>
  </si>
  <si>
    <t>Meeks Weights</t>
  </si>
  <si>
    <t>Adjustment factor</t>
  </si>
  <si>
    <t>Collected Revenue Excess/(Deficiency)</t>
  </si>
  <si>
    <t>3 cans week</t>
  </si>
  <si>
    <t>4 cans week</t>
  </si>
  <si>
    <t>5 cans week</t>
  </si>
  <si>
    <t>1 can EOW</t>
  </si>
  <si>
    <t>2 cans EOW</t>
  </si>
  <si>
    <t>1 can per month</t>
  </si>
  <si>
    <t>1 minican week</t>
  </si>
  <si>
    <t>1 container mo</t>
  </si>
  <si>
    <t>1 container week</t>
  </si>
  <si>
    <t>2 cans week</t>
  </si>
  <si>
    <t>Residential</t>
  </si>
  <si>
    <t>Commercial</t>
  </si>
  <si>
    <t>1 can week</t>
  </si>
  <si>
    <t>2 cont week</t>
  </si>
  <si>
    <t>4 cont week</t>
  </si>
  <si>
    <t>1 cont 2x week</t>
  </si>
  <si>
    <t>2 cont 2x week</t>
  </si>
  <si>
    <t>3 cont 2x week</t>
  </si>
  <si>
    <t>1 cont month</t>
  </si>
  <si>
    <t>on call cont dumps</t>
  </si>
  <si>
    <t>mini can EOW</t>
  </si>
  <si>
    <t>mini can MG</t>
  </si>
  <si>
    <t>2 cans MG</t>
  </si>
  <si>
    <t>3 cans MG</t>
  </si>
  <si>
    <t>4 can EOW</t>
  </si>
  <si>
    <t>4 cans MG</t>
  </si>
  <si>
    <t>64 gal cart EOW</t>
  </si>
  <si>
    <t>64 gal cart MG</t>
  </si>
  <si>
    <t>96 gal cart EOW</t>
  </si>
  <si>
    <t>96 gal cart MG</t>
  </si>
  <si>
    <t>temp cont dumps</t>
  </si>
  <si>
    <t>Extra cans</t>
  </si>
  <si>
    <t>Extra minican</t>
  </si>
  <si>
    <t>Exatra 64 gal cart</t>
  </si>
  <si>
    <t>Exatra 96 gal cart</t>
  </si>
  <si>
    <t>Extra bag</t>
  </si>
  <si>
    <t>on call can</t>
  </si>
  <si>
    <t>Tariff Page</t>
  </si>
  <si>
    <t>Temporary containers</t>
  </si>
  <si>
    <t>On-call containers</t>
  </si>
  <si>
    <t>Extra Containers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</si>
  <si>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</si>
  <si>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</si>
  <si>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</si>
  <si>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</si>
  <si>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</si>
  <si>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</si>
  <si>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</si>
  <si>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</si>
  <si>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</si>
  <si>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</si>
  <si>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</si>
  <si>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</si>
  <si>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</si>
  <si>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</si>
  <si>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</si>
  <si>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64 gal cart monthly</t>
  </si>
  <si>
    <t>Extras</t>
  </si>
  <si>
    <t>Bags-on call</t>
  </si>
  <si>
    <t>Total Tonnage</t>
  </si>
  <si>
    <t>Total Pounds</t>
  </si>
  <si>
    <t>Calculated Annual Pounds</t>
  </si>
  <si>
    <t>Adjusted Annual Pounds</t>
  </si>
  <si>
    <t>No Current Customers</t>
  </si>
  <si>
    <t>Staff Calculated Rate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</si>
  <si>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</si>
  <si>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</si>
  <si>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</si>
  <si>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</si>
  <si>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</si>
  <si>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</si>
  <si>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>Tariff Rate Increase</t>
  </si>
  <si>
    <t>96 gal cart weekly</t>
  </si>
  <si>
    <t>Company Increased Revenue</t>
  </si>
  <si>
    <t xml:space="preserve">Twice Weekly Pickup </t>
  </si>
  <si>
    <t>1 unit</t>
  </si>
  <si>
    <t>2 units</t>
  </si>
  <si>
    <t>3 units</t>
  </si>
  <si>
    <t>n/a</t>
  </si>
  <si>
    <t>Revenue from Company Rates</t>
  </si>
  <si>
    <t>Revenue from Revised Rates</t>
  </si>
  <si>
    <t>4 units</t>
  </si>
  <si>
    <t>Current Rate</t>
  </si>
  <si>
    <t>New Rate</t>
  </si>
  <si>
    <t>Staff Revenue Increase</t>
  </si>
  <si>
    <t>Rounding Factor</t>
  </si>
  <si>
    <t>Disposal Fee Increases</t>
  </si>
  <si>
    <t>Based on previous rate case (including disposal fee filing)</t>
  </si>
  <si>
    <t>disposal tons</t>
  </si>
  <si>
    <t>Commission's own motion or Company request</t>
  </si>
  <si>
    <t>order templates</t>
  </si>
  <si>
    <t>Order required granting exemption from work paper filing requirements WAC 480-07-520 (4)</t>
  </si>
  <si>
    <t>note: Include bad debt if it was included in Lurito model</t>
  </si>
  <si>
    <t>Order language:</t>
  </si>
  <si>
    <t>fees are set by the county and are expenses of the company…</t>
  </si>
  <si>
    <t>no significant changes since the last rate case i.e. customer counts, tonnage, collection methods</t>
  </si>
  <si>
    <t>company's financial information supports the increase</t>
  </si>
  <si>
    <t>Staff's conclusion is rate increase is fair, just, and reasonable</t>
  </si>
  <si>
    <t>Customer count/price out</t>
  </si>
  <si>
    <t>Allocation of regulated and non-regulated</t>
  </si>
  <si>
    <t>Tariff complies with tariff requirements</t>
  </si>
  <si>
    <t>Other language changes  or new rates</t>
  </si>
  <si>
    <t>Based on Meeks weights, or allowed company alternative (used in last rate case)</t>
  </si>
  <si>
    <t>container size or service offering not on Meeks list</t>
  </si>
  <si>
    <t>Tariff Changes</t>
  </si>
  <si>
    <t>only weight based rates are changed</t>
  </si>
  <si>
    <t xml:space="preserve">Item No. </t>
  </si>
  <si>
    <t>Use applicable disposal fee description for agenda</t>
  </si>
  <si>
    <t>Bad debt</t>
  </si>
  <si>
    <t>Olympic View Transfer Station</t>
  </si>
  <si>
    <t>Jan</t>
  </si>
  <si>
    <t>TS</t>
  </si>
  <si>
    <t>Reg</t>
  </si>
  <si>
    <t>Pass PL</t>
  </si>
  <si>
    <t>Pass BI</t>
  </si>
  <si>
    <t>Feb</t>
  </si>
  <si>
    <t>Bainbridge Disposal</t>
  </si>
  <si>
    <t>Kitsap County</t>
  </si>
  <si>
    <t>Mar</t>
  </si>
  <si>
    <t>Apr</t>
  </si>
  <si>
    <t>May</t>
  </si>
  <si>
    <t>Aug</t>
  </si>
  <si>
    <t>Sep</t>
  </si>
  <si>
    <t>Oct</t>
  </si>
  <si>
    <t>Nov</t>
  </si>
  <si>
    <t>Dec</t>
  </si>
  <si>
    <t>Jun</t>
  </si>
  <si>
    <t>Jul</t>
  </si>
  <si>
    <t>Price per ton</t>
  </si>
  <si>
    <t>Tons collected</t>
  </si>
  <si>
    <t>$</t>
  </si>
  <si>
    <t>Regulated</t>
  </si>
  <si>
    <t>Contractor DB</t>
  </si>
  <si>
    <t>Transfer Station</t>
  </si>
  <si>
    <t>Drop Box Bainbridge</t>
  </si>
  <si>
    <t>Drop Box Poulsbo</t>
  </si>
  <si>
    <t>Contractor</t>
  </si>
  <si>
    <t>Drop Box</t>
  </si>
  <si>
    <t>20-30 Gal big belly  solar</t>
  </si>
  <si>
    <t>1 cont week - 2yd</t>
  </si>
  <si>
    <t>1 cont EOW - 2yd</t>
  </si>
  <si>
    <t>Commercial/Mult-fam</t>
  </si>
  <si>
    <t>64 Gallon cart</t>
  </si>
  <si>
    <t>1 cont week - 2 yd temp</t>
  </si>
  <si>
    <t>1 cont week - 2 yd multi</t>
  </si>
  <si>
    <t>1 cont week - 2 yd cust owned</t>
  </si>
  <si>
    <t>Poulsbo TS</t>
  </si>
  <si>
    <t>Poulsbo Comm</t>
  </si>
  <si>
    <t>Port Gamble</t>
  </si>
  <si>
    <t>Increase from 2015</t>
  </si>
  <si>
    <t>6 cans week</t>
  </si>
  <si>
    <t>105, 245</t>
  </si>
  <si>
    <t>26, 36</t>
  </si>
  <si>
    <t>Regulated tons down from last year, although it is up from 2015 passing on increase as last year's regulated tons were higher and no action was taken.</t>
  </si>
  <si>
    <t>23,26,36</t>
  </si>
  <si>
    <t>26,35</t>
  </si>
  <si>
    <t>105/240</t>
  </si>
  <si>
    <t>all customers</t>
  </si>
  <si>
    <t>Bainbridge Disposal,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</si>
</sst>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.000_);_(* \(#,##0.000\);_(* &quot;-&quot;??_);_(@_)"/>
    <numFmt numFmtId="167" formatCode="_(* #,##0_);_(* \(#,##0\);_(* &quot;-&quot;??_);_(@_)"/>
    <numFmt numFmtId="168" formatCode="_(* #,##0.000000_);_(* \(#,##0.000000\);_(* &quot;-&quot;??_);_(@_)"/>
    <numFmt numFmtId="169" formatCode="0.000000"/>
    <numFmt numFmtId="170" formatCode="General_)"/>
    <numFmt numFmtId="171" formatCode="0.0%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SWISS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41" fontId="3" fillId="0" borderId="0"/>
    <xf numFmtId="0" fontId="13" fillId="10" borderId="0" applyNumberFormat="0" applyBorder="0" applyAlignment="0" applyProtection="0"/>
    <xf numFmtId="3" fontId="3" fillId="0" borderId="0"/>
    <xf numFmtId="0" fontId="14" fillId="11" borderId="6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5" fillId="0" borderId="0"/>
    <xf numFmtId="0" fontId="16" fillId="0" borderId="0"/>
    <xf numFmtId="0" fontId="16" fillId="0" borderId="0"/>
    <xf numFmtId="0" fontId="17" fillId="12" borderId="1" applyAlignment="0">
      <alignment horizontal="right"/>
      <protection locked="0"/>
    </xf>
    <xf numFmtId="44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8" fillId="13" borderId="0">
      <alignment horizontal="right"/>
      <protection locked="0"/>
    </xf>
    <xf numFmtId="2" fontId="18" fillId="13" borderId="0">
      <alignment horizontal="right"/>
      <protection locked="0"/>
    </xf>
    <xf numFmtId="0" fontId="19" fillId="14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3" fontId="25" fillId="15" borderId="0">
      <protection locked="0"/>
    </xf>
    <xf numFmtId="4" fontId="25" fillId="15" borderId="0">
      <protection locked="0"/>
    </xf>
    <xf numFmtId="0" fontId="26" fillId="0" borderId="10" applyNumberFormat="0" applyFill="0" applyAlignment="0" applyProtection="0"/>
    <xf numFmtId="0" fontId="27" fillId="4" borderId="0" applyNumberFormat="0" applyBorder="0" applyAlignment="0" applyProtection="0"/>
    <xf numFmtId="43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28" fillId="0" borderId="0"/>
    <xf numFmtId="0" fontId="29" fillId="0" borderId="0"/>
    <xf numFmtId="0" fontId="28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16" borderId="11" applyNumberFormat="0" applyFont="0" applyAlignment="0" applyProtection="0"/>
    <xf numFmtId="171" fontId="30" fillId="0" borderId="0" applyNumberFormat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17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1" fillId="0" borderId="0" applyNumberFormat="0" applyFont="0" applyFill="0" applyBorder="0" applyAlignment="0" applyProtection="0">
      <alignment horizontal="left"/>
    </xf>
    <xf numFmtId="0" fontId="32" fillId="0" borderId="5">
      <alignment horizontal="center"/>
    </xf>
    <xf numFmtId="0" fontId="15" fillId="0" borderId="0">
      <alignment vertical="top"/>
    </xf>
    <xf numFmtId="0" fontId="15" fillId="0" borderId="0" applyNumberFormat="0" applyBorder="0" applyAlignment="0"/>
    <xf numFmtId="0" fontId="33" fillId="0" borderId="12" applyNumberFormat="0" applyFill="0" applyAlignment="0" applyProtection="0"/>
  </cellStyleXfs>
  <cellXfs count="15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center" wrapText="1"/>
    </xf>
    <xf numFmtId="0" fontId="4" fillId="0" borderId="0" xfId="4" applyFont="1" applyFill="1" applyBorder="1" applyAlignment="1">
      <alignment horizontal="left"/>
    </xf>
    <xf numFmtId="44" fontId="0" fillId="0" borderId="0" xfId="0" applyNumberFormat="1" applyBorder="1"/>
    <xf numFmtId="164" fontId="0" fillId="0" borderId="0" xfId="2" applyNumberFormat="1" applyFont="1" applyBorder="1"/>
    <xf numFmtId="164" fontId="0" fillId="0" borderId="0" xfId="0" applyNumberFormat="1" applyBorder="1"/>
    <xf numFmtId="10" fontId="0" fillId="0" borderId="0" xfId="3" applyNumberFormat="1" applyFont="1" applyBorder="1"/>
    <xf numFmtId="10" fontId="0" fillId="0" borderId="0" xfId="3" applyNumberFormat="1" applyFont="1"/>
    <xf numFmtId="0" fontId="0" fillId="0" borderId="0" xfId="0" applyBorder="1" applyAlignment="1">
      <alignment horizontal="right"/>
    </xf>
    <xf numFmtId="43" fontId="0" fillId="0" borderId="0" xfId="0" applyNumberFormat="1" applyFill="1" applyBorder="1"/>
    <xf numFmtId="43" fontId="0" fillId="0" borderId="0" xfId="1" applyFont="1" applyFill="1" applyBorder="1"/>
    <xf numFmtId="0" fontId="0" fillId="0" borderId="0" xfId="0"/>
    <xf numFmtId="0" fontId="0" fillId="0" borderId="0" xfId="0" applyBorder="1"/>
    <xf numFmtId="0" fontId="3" fillId="0" borderId="0" xfId="4" applyFont="1" applyFill="1" applyBorder="1" applyAlignment="1">
      <alignment horizontal="left"/>
    </xf>
    <xf numFmtId="0" fontId="0" fillId="0" borderId="0" xfId="0" applyBorder="1" applyAlignment="1">
      <alignment wrapText="1"/>
    </xf>
    <xf numFmtId="3" fontId="0" fillId="0" borderId="0" xfId="0" applyNumberFormat="1" applyFill="1" applyBorder="1"/>
    <xf numFmtId="43" fontId="0" fillId="0" borderId="0" xfId="1" applyFont="1" applyFill="1" applyBorder="1" applyAlignment="1">
      <alignment horizontal="center" wrapText="1"/>
    </xf>
    <xf numFmtId="167" fontId="0" fillId="0" borderId="0" xfId="1" applyNumberFormat="1" applyFont="1" applyFill="1" applyBorder="1"/>
    <xf numFmtId="167" fontId="0" fillId="0" borderId="0" xfId="1" applyNumberFormat="1" applyFont="1" applyFill="1"/>
    <xf numFmtId="0" fontId="0" fillId="0" borderId="0" xfId="0" applyFill="1"/>
    <xf numFmtId="3" fontId="0" fillId="0" borderId="1" xfId="0" applyNumberFormat="1" applyFill="1" applyBorder="1"/>
    <xf numFmtId="43" fontId="0" fillId="0" borderId="1" xfId="1" applyFont="1" applyFill="1" applyBorder="1"/>
    <xf numFmtId="43" fontId="0" fillId="0" borderId="1" xfId="0" applyNumberFormat="1" applyFill="1" applyBorder="1"/>
    <xf numFmtId="43" fontId="0" fillId="0" borderId="1" xfId="1" applyFont="1" applyFill="1" applyBorder="1" applyAlignment="1">
      <alignment horizontal="center" wrapText="1"/>
    </xf>
    <xf numFmtId="43" fontId="0" fillId="0" borderId="0" xfId="1" applyFont="1" applyBorder="1" applyAlignment="1">
      <alignment horizontal="center" wrapText="1"/>
    </xf>
    <xf numFmtId="43" fontId="0" fillId="0" borderId="0" xfId="1" applyFont="1" applyBorder="1" applyAlignment="1">
      <alignment wrapText="1"/>
    </xf>
    <xf numFmtId="0" fontId="0" fillId="0" borderId="0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3" xfId="4" applyFont="1" applyFill="1" applyBorder="1" applyAlignment="1">
      <alignment horizontal="left"/>
    </xf>
    <xf numFmtId="3" fontId="0" fillId="0" borderId="3" xfId="0" applyNumberFormat="1" applyFill="1" applyBorder="1"/>
    <xf numFmtId="43" fontId="0" fillId="0" borderId="3" xfId="0" applyNumberFormat="1" applyFill="1" applyBorder="1"/>
    <xf numFmtId="43" fontId="0" fillId="0" borderId="3" xfId="1" applyFont="1" applyFill="1" applyBorder="1" applyAlignment="1">
      <alignment horizontal="center" wrapText="1"/>
    </xf>
    <xf numFmtId="43" fontId="0" fillId="0" borderId="3" xfId="1" applyFont="1" applyFill="1" applyBorder="1"/>
    <xf numFmtId="0" fontId="0" fillId="0" borderId="1" xfId="0" applyFill="1" applyBorder="1" applyAlignment="1">
      <alignment vertical="center"/>
    </xf>
    <xf numFmtId="0" fontId="3" fillId="0" borderId="1" xfId="4" applyFont="1" applyFill="1" applyBorder="1" applyAlignment="1">
      <alignment horizontal="left"/>
    </xf>
    <xf numFmtId="167" fontId="0" fillId="0" borderId="1" xfId="1" applyNumberFormat="1" applyFont="1" applyFill="1" applyBorder="1"/>
    <xf numFmtId="0" fontId="7" fillId="0" borderId="0" xfId="4" applyFont="1" applyFill="1" applyBorder="1" applyAlignment="1">
      <alignment horizontal="center"/>
    </xf>
    <xf numFmtId="43" fontId="0" fillId="0" borderId="0" xfId="1" applyFont="1" applyBorder="1"/>
    <xf numFmtId="43" fontId="0" fillId="0" borderId="0" xfId="0" applyNumberFormat="1" applyBorder="1"/>
    <xf numFmtId="167" fontId="0" fillId="0" borderId="0" xfId="1" applyNumberFormat="1" applyFont="1"/>
    <xf numFmtId="0" fontId="0" fillId="0" borderId="0" xfId="0" applyAlignment="1">
      <alignment horizontal="center"/>
    </xf>
    <xf numFmtId="0" fontId="6" fillId="0" borderId="1" xfId="0" applyFont="1" applyBorder="1"/>
    <xf numFmtId="0" fontId="6" fillId="0" borderId="0" xfId="0" applyFont="1"/>
    <xf numFmtId="0" fontId="0" fillId="0" borderId="0" xfId="0" applyBorder="1" applyAlignment="1">
      <alignment horizontal="left"/>
    </xf>
    <xf numFmtId="44" fontId="0" fillId="0" borderId="0" xfId="2" applyFont="1" applyBorder="1"/>
    <xf numFmtId="165" fontId="0" fillId="0" borderId="0" xfId="2" applyNumberFormat="1" applyFont="1" applyBorder="1"/>
    <xf numFmtId="166" fontId="0" fillId="0" borderId="0" xfId="0" applyNumberFormat="1" applyBorder="1"/>
    <xf numFmtId="0" fontId="2" fillId="0" borderId="0" xfId="0" applyFont="1" applyBorder="1"/>
    <xf numFmtId="168" fontId="2" fillId="0" borderId="0" xfId="1" applyNumberFormat="1" applyFont="1" applyBorder="1"/>
    <xf numFmtId="0" fontId="7" fillId="0" borderId="0" xfId="4" applyFont="1" applyFill="1" applyBorder="1" applyAlignment="1">
      <alignment horizontal="left"/>
    </xf>
    <xf numFmtId="3" fontId="6" fillId="0" borderId="0" xfId="0" applyNumberFormat="1" applyFont="1" applyFill="1" applyBorder="1"/>
    <xf numFmtId="44" fontId="0" fillId="0" borderId="3" xfId="1" applyNumberFormat="1" applyFont="1" applyFill="1" applyBorder="1"/>
    <xf numFmtId="44" fontId="0" fillId="0" borderId="0" xfId="1" applyNumberFormat="1" applyFont="1" applyFill="1" applyBorder="1"/>
    <xf numFmtId="44" fontId="0" fillId="0" borderId="1" xfId="1" applyNumberFormat="1" applyFont="1" applyFill="1" applyBorder="1"/>
    <xf numFmtId="164" fontId="0" fillId="0" borderId="0" xfId="1" applyNumberFormat="1" applyFont="1" applyFill="1" applyBorder="1"/>
    <xf numFmtId="164" fontId="0" fillId="0" borderId="1" xfId="1" applyNumberFormat="1" applyFont="1" applyFill="1" applyBorder="1"/>
    <xf numFmtId="164" fontId="6" fillId="0" borderId="0" xfId="0" applyNumberFormat="1" applyFont="1" applyFill="1" applyBorder="1"/>
    <xf numFmtId="3" fontId="6" fillId="0" borderId="1" xfId="0" applyNumberFormat="1" applyFont="1" applyFill="1" applyBorder="1"/>
    <xf numFmtId="164" fontId="0" fillId="0" borderId="0" xfId="0" applyNumberFormat="1"/>
    <xf numFmtId="43" fontId="0" fillId="0" borderId="2" xfId="1" applyFont="1" applyFill="1" applyBorder="1"/>
    <xf numFmtId="44" fontId="0" fillId="0" borderId="0" xfId="2" applyNumberFormat="1" applyFont="1" applyFill="1" applyBorder="1"/>
    <xf numFmtId="44" fontId="0" fillId="0" borderId="1" xfId="2" applyNumberFormat="1" applyFont="1" applyFill="1" applyBorder="1"/>
    <xf numFmtId="167" fontId="0" fillId="0" borderId="3" xfId="0" applyNumberFormat="1" applyFill="1" applyBorder="1"/>
    <xf numFmtId="167" fontId="0" fillId="0" borderId="0" xfId="0" applyNumberFormat="1" applyFill="1" applyBorder="1"/>
    <xf numFmtId="167" fontId="0" fillId="0" borderId="1" xfId="0" applyNumberFormat="1" applyFill="1" applyBorder="1"/>
    <xf numFmtId="167" fontId="6" fillId="0" borderId="1" xfId="0" applyNumberFormat="1" applyFont="1" applyFill="1" applyBorder="1"/>
    <xf numFmtId="43" fontId="0" fillId="0" borderId="1" xfId="1" applyFont="1" applyBorder="1" applyAlignment="1">
      <alignment wrapText="1"/>
    </xf>
    <xf numFmtId="43" fontId="0" fillId="0" borderId="1" xfId="1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43" fontId="6" fillId="0" borderId="0" xfId="1" applyFont="1" applyBorder="1" applyAlignment="1">
      <alignment horizontal="center" wrapText="1"/>
    </xf>
    <xf numFmtId="43" fontId="6" fillId="0" borderId="2" xfId="1" applyFont="1" applyFill="1" applyBorder="1" applyAlignment="1">
      <alignment wrapText="1"/>
    </xf>
    <xf numFmtId="0" fontId="0" fillId="0" borderId="2" xfId="0" applyFill="1" applyBorder="1"/>
    <xf numFmtId="0" fontId="7" fillId="0" borderId="2" xfId="4" applyFont="1" applyFill="1" applyBorder="1" applyAlignment="1">
      <alignment horizontal="left"/>
    </xf>
    <xf numFmtId="0" fontId="0" fillId="0" borderId="2" xfId="0" applyFill="1" applyBorder="1" applyAlignment="1">
      <alignment vertical="center" textRotation="90"/>
    </xf>
    <xf numFmtId="0" fontId="0" fillId="0" borderId="2" xfId="0" applyBorder="1"/>
    <xf numFmtId="0" fontId="7" fillId="0" borderId="2" xfId="4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167" fontId="6" fillId="0" borderId="2" xfId="0" applyNumberFormat="1" applyFont="1" applyBorder="1"/>
    <xf numFmtId="43" fontId="6" fillId="0" borderId="2" xfId="1" applyFont="1" applyBorder="1" applyAlignment="1">
      <alignment horizontal="center" wrapText="1"/>
    </xf>
    <xf numFmtId="0" fontId="7" fillId="0" borderId="0" xfId="4" applyFont="1" applyFill="1" applyBorder="1" applyAlignment="1">
      <alignment horizontal="center" vertical="center"/>
    </xf>
    <xf numFmtId="164" fontId="0" fillId="0" borderId="3" xfId="1" applyNumberFormat="1" applyFont="1" applyFill="1" applyBorder="1"/>
    <xf numFmtId="164" fontId="6" fillId="0" borderId="1" xfId="0" applyNumberFormat="1" applyFont="1" applyFill="1" applyBorder="1"/>
    <xf numFmtId="164" fontId="0" fillId="0" borderId="0" xfId="1" applyNumberFormat="1" applyFont="1" applyFill="1"/>
    <xf numFmtId="164" fontId="6" fillId="0" borderId="1" xfId="1" applyNumberFormat="1" applyFont="1" applyFill="1" applyBorder="1"/>
    <xf numFmtId="164" fontId="6" fillId="0" borderId="2" xfId="1" applyNumberFormat="1" applyFont="1" applyBorder="1" applyAlignment="1">
      <alignment horizontal="center" wrapText="1"/>
    </xf>
    <xf numFmtId="164" fontId="6" fillId="0" borderId="2" xfId="0" applyNumberFormat="1" applyFont="1" applyBorder="1"/>
    <xf numFmtId="44" fontId="0" fillId="0" borderId="0" xfId="1" applyNumberFormat="1" applyFont="1" applyFill="1" applyBorder="1" applyAlignment="1">
      <alignment horizontal="center" wrapText="1"/>
    </xf>
    <xf numFmtId="44" fontId="0" fillId="0" borderId="1" xfId="1" applyNumberFormat="1" applyFont="1" applyFill="1" applyBorder="1" applyAlignment="1">
      <alignment horizontal="center" wrapText="1"/>
    </xf>
    <xf numFmtId="44" fontId="6" fillId="0" borderId="2" xfId="1" applyNumberFormat="1" applyFont="1" applyFill="1" applyBorder="1" applyAlignment="1">
      <alignment horizontal="center" wrapText="1"/>
    </xf>
    <xf numFmtId="44" fontId="6" fillId="0" borderId="0" xfId="1" applyNumberFormat="1" applyFont="1" applyFill="1" applyBorder="1" applyAlignment="1">
      <alignment horizontal="center" wrapText="1"/>
    </xf>
    <xf numFmtId="0" fontId="0" fillId="0" borderId="4" xfId="0" applyBorder="1"/>
    <xf numFmtId="0" fontId="7" fillId="0" borderId="4" xfId="4" applyFont="1" applyFill="1" applyBorder="1" applyAlignment="1">
      <alignment horizontal="left"/>
    </xf>
    <xf numFmtId="3" fontId="6" fillId="0" borderId="4" xfId="0" applyNumberFormat="1" applyFont="1" applyBorder="1"/>
    <xf numFmtId="2" fontId="0" fillId="0" borderId="4" xfId="0" applyNumberFormat="1" applyBorder="1"/>
    <xf numFmtId="164" fontId="6" fillId="0" borderId="4" xfId="0" applyNumberFormat="1" applyFont="1" applyBorder="1"/>
    <xf numFmtId="0" fontId="0" fillId="0" borderId="0" xfId="0" applyFont="1"/>
    <xf numFmtId="0" fontId="6" fillId="0" borderId="1" xfId="0" applyFont="1" applyBorder="1" applyAlignment="1">
      <alignment horizontal="center" vertical="center"/>
    </xf>
    <xf numFmtId="164" fontId="0" fillId="0" borderId="0" xfId="2" applyNumberFormat="1" applyFont="1" applyFill="1" applyBorder="1"/>
    <xf numFmtId="164" fontId="0" fillId="0" borderId="0" xfId="0" applyNumberForma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43" fontId="0" fillId="0" borderId="0" xfId="1" applyFont="1" applyAlignment="1">
      <alignment horizontal="center"/>
    </xf>
    <xf numFmtId="164" fontId="6" fillId="0" borderId="2" xfId="0" applyNumberFormat="1" applyFont="1" applyFill="1" applyBorder="1"/>
    <xf numFmtId="164" fontId="0" fillId="0" borderId="1" xfId="0" applyNumberFormat="1" applyFill="1" applyBorder="1"/>
    <xf numFmtId="164" fontId="6" fillId="0" borderId="2" xfId="1" applyNumberFormat="1" applyFont="1" applyFill="1" applyBorder="1" applyAlignment="1">
      <alignment horizontal="center" wrapText="1"/>
    </xf>
    <xf numFmtId="164" fontId="6" fillId="0" borderId="4" xfId="0" applyNumberFormat="1" applyFont="1" applyFill="1" applyBorder="1"/>
    <xf numFmtId="0" fontId="0" fillId="0" borderId="0" xfId="0" applyBorder="1" applyAlignment="1"/>
    <xf numFmtId="0" fontId="9" fillId="0" borderId="0" xfId="0" applyFont="1" applyBorder="1"/>
    <xf numFmtId="0" fontId="0" fillId="0" borderId="0" xfId="0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textRotation="90"/>
    </xf>
    <xf numFmtId="43" fontId="0" fillId="0" borderId="0" xfId="1" applyFont="1"/>
    <xf numFmtId="0" fontId="0" fillId="0" borderId="0" xfId="0" applyAlignment="1">
      <alignment horizontal="center"/>
    </xf>
    <xf numFmtId="43" fontId="0" fillId="0" borderId="0" xfId="1" applyFont="1" applyFill="1"/>
    <xf numFmtId="0" fontId="0" fillId="0" borderId="0" xfId="0" applyAlignment="1">
      <alignment horizontal="right" indent="1"/>
    </xf>
    <xf numFmtId="43" fontId="0" fillId="0" borderId="0" xfId="0" applyNumberFormat="1" applyFill="1"/>
    <xf numFmtId="0" fontId="0" fillId="0" borderId="0" xfId="0" applyAlignment="1">
      <alignment horizontal="center"/>
    </xf>
    <xf numFmtId="0" fontId="0" fillId="17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3" fontId="6" fillId="0" borderId="2" xfId="0" applyNumberFormat="1" applyFont="1" applyFill="1" applyBorder="1"/>
    <xf numFmtId="43" fontId="0" fillId="0" borderId="0" xfId="1" applyFont="1" applyFill="1" applyAlignment="1">
      <alignment horizontal="right"/>
    </xf>
    <xf numFmtId="44" fontId="0" fillId="0" borderId="0" xfId="2" applyFont="1" applyFill="1"/>
    <xf numFmtId="43" fontId="0" fillId="0" borderId="0" xfId="1" applyFont="1" applyFill="1" applyAlignment="1">
      <alignment wrapText="1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1" applyFont="1" applyFill="1" applyAlignment="1">
      <alignment horizontal="center" wrapText="1"/>
    </xf>
    <xf numFmtId="0" fontId="0" fillId="0" borderId="0" xfId="0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center" vertical="center" textRotation="90"/>
    </xf>
    <xf numFmtId="0" fontId="0" fillId="0" borderId="3" xfId="0" applyFill="1" applyBorder="1" applyAlignment="1">
      <alignment horizontal="center" vertical="center" textRotation="90"/>
    </xf>
    <xf numFmtId="0" fontId="0" fillId="0" borderId="0" xfId="0" applyFill="1" applyAlignment="1">
      <alignment wrapText="1"/>
    </xf>
    <xf numFmtId="44" fontId="34" fillId="0" borderId="0" xfId="2" applyNumberFormat="1" applyFont="1" applyFill="1" applyBorder="1"/>
    <xf numFmtId="165" fontId="0" fillId="0" borderId="0" xfId="2" applyNumberFormat="1" applyFont="1" applyFill="1"/>
    <xf numFmtId="169" fontId="0" fillId="0" borderId="0" xfId="0" applyNumberFormat="1" applyFill="1"/>
    <xf numFmtId="44" fontId="0" fillId="0" borderId="1" xfId="2" applyFont="1" applyFill="1" applyBorder="1"/>
    <xf numFmtId="165" fontId="0" fillId="0" borderId="1" xfId="2" applyNumberFormat="1" applyFont="1" applyFill="1" applyBorder="1"/>
    <xf numFmtId="0" fontId="0" fillId="0" borderId="1" xfId="0" applyFill="1" applyBorder="1"/>
    <xf numFmtId="44" fontId="0" fillId="0" borderId="0" xfId="0" applyNumberFormat="1" applyFill="1"/>
    <xf numFmtId="44" fontId="6" fillId="0" borderId="0" xfId="0" applyNumberFormat="1" applyFont="1" applyFill="1"/>
    <xf numFmtId="0" fontId="6" fillId="0" borderId="1" xfId="0" applyFont="1" applyFill="1" applyBorder="1" applyAlignment="1">
      <alignment horizontal="left"/>
    </xf>
    <xf numFmtId="44" fontId="6" fillId="0" borderId="1" xfId="0" applyNumberFormat="1" applyFont="1" applyFill="1" applyBorder="1"/>
    <xf numFmtId="10" fontId="0" fillId="0" borderId="0" xfId="3" applyNumberFormat="1" applyFont="1" applyFill="1"/>
    <xf numFmtId="0" fontId="0" fillId="0" borderId="0" xfId="0" applyFill="1" applyAlignment="1">
      <alignment horizontal="right"/>
    </xf>
    <xf numFmtId="43" fontId="0" fillId="0" borderId="13" xfId="1" applyFont="1" applyFill="1" applyBorder="1"/>
  </cellXfs>
  <cellStyles count="129">
    <cellStyle name="20% - Accent1 2" xfId="7" xr:uid="{00000000-0005-0000-0000-000000000000}"/>
    <cellStyle name="20% - Accent4 2" xfId="8" xr:uid="{00000000-0005-0000-0000-000001000000}"/>
    <cellStyle name="40% - Accent1 2" xfId="9" xr:uid="{00000000-0005-0000-0000-000002000000}"/>
    <cellStyle name="40% - Accent4 2" xfId="10" xr:uid="{00000000-0005-0000-0000-000003000000}"/>
    <cellStyle name="40% - Accent5 2" xfId="11" xr:uid="{00000000-0005-0000-0000-000004000000}"/>
    <cellStyle name="40% - Accent6 2" xfId="12" xr:uid="{00000000-0005-0000-0000-000005000000}"/>
    <cellStyle name="60% - Accent1 2" xfId="13" xr:uid="{00000000-0005-0000-0000-000006000000}"/>
    <cellStyle name="60% - Accent2 2" xfId="14" xr:uid="{00000000-0005-0000-0000-000007000000}"/>
    <cellStyle name="60% - Accent3 2" xfId="15" xr:uid="{00000000-0005-0000-0000-000008000000}"/>
    <cellStyle name="60% - Accent4 2" xfId="16" xr:uid="{00000000-0005-0000-0000-000009000000}"/>
    <cellStyle name="60% - Accent5 2" xfId="17" xr:uid="{00000000-0005-0000-0000-00000A000000}"/>
    <cellStyle name="Accent1 2" xfId="18" xr:uid="{00000000-0005-0000-0000-00000B000000}"/>
    <cellStyle name="Accent2 2" xfId="19" xr:uid="{00000000-0005-0000-0000-00000C000000}"/>
    <cellStyle name="Accent3 2" xfId="20" xr:uid="{00000000-0005-0000-0000-00000D000000}"/>
    <cellStyle name="Accent6 2" xfId="21" xr:uid="{00000000-0005-0000-0000-00000E000000}"/>
    <cellStyle name="Accounting" xfId="22" xr:uid="{00000000-0005-0000-0000-00000F000000}"/>
    <cellStyle name="Bad 2" xfId="23" xr:uid="{00000000-0005-0000-0000-000010000000}"/>
    <cellStyle name="Budget" xfId="24" xr:uid="{00000000-0005-0000-0000-000011000000}"/>
    <cellStyle name="Calculation 2" xfId="25" xr:uid="{00000000-0005-0000-0000-000012000000}"/>
    <cellStyle name="Comma" xfId="1" builtinId="3"/>
    <cellStyle name="Comma 10" xfId="26" xr:uid="{00000000-0005-0000-0000-000014000000}"/>
    <cellStyle name="Comma 11" xfId="27" xr:uid="{00000000-0005-0000-0000-000015000000}"/>
    <cellStyle name="Comma 12" xfId="28" xr:uid="{00000000-0005-0000-0000-000016000000}"/>
    <cellStyle name="Comma 13" xfId="29" xr:uid="{00000000-0005-0000-0000-000017000000}"/>
    <cellStyle name="Comma 14" xfId="30" xr:uid="{00000000-0005-0000-0000-000018000000}"/>
    <cellStyle name="Comma 15" xfId="31" xr:uid="{00000000-0005-0000-0000-000019000000}"/>
    <cellStyle name="Comma 16" xfId="32" xr:uid="{00000000-0005-0000-0000-00001A000000}"/>
    <cellStyle name="Comma 17" xfId="33" xr:uid="{00000000-0005-0000-0000-00001B000000}"/>
    <cellStyle name="Comma 2" xfId="5" xr:uid="{00000000-0005-0000-0000-00001C000000}"/>
    <cellStyle name="Comma 2 2" xfId="34" xr:uid="{00000000-0005-0000-0000-00001D000000}"/>
    <cellStyle name="Comma 2 3" xfId="35" xr:uid="{00000000-0005-0000-0000-00001E000000}"/>
    <cellStyle name="Comma 3" xfId="36" xr:uid="{00000000-0005-0000-0000-00001F000000}"/>
    <cellStyle name="Comma 3 2" xfId="37" xr:uid="{00000000-0005-0000-0000-000020000000}"/>
    <cellStyle name="Comma 3 2 2" xfId="38" xr:uid="{00000000-0005-0000-0000-000021000000}"/>
    <cellStyle name="Comma 3 3" xfId="39" xr:uid="{00000000-0005-0000-0000-000022000000}"/>
    <cellStyle name="Comma 4" xfId="40" xr:uid="{00000000-0005-0000-0000-000023000000}"/>
    <cellStyle name="Comma 4 2" xfId="41" xr:uid="{00000000-0005-0000-0000-000024000000}"/>
    <cellStyle name="Comma 4 3" xfId="42" xr:uid="{00000000-0005-0000-0000-000025000000}"/>
    <cellStyle name="Comma 4 4" xfId="43" xr:uid="{00000000-0005-0000-0000-000026000000}"/>
    <cellStyle name="Comma 4 5" xfId="44" xr:uid="{00000000-0005-0000-0000-000027000000}"/>
    <cellStyle name="Comma 5" xfId="45" xr:uid="{00000000-0005-0000-0000-000028000000}"/>
    <cellStyle name="Comma 6" xfId="46" xr:uid="{00000000-0005-0000-0000-000029000000}"/>
    <cellStyle name="Comma 7" xfId="47" xr:uid="{00000000-0005-0000-0000-00002A000000}"/>
    <cellStyle name="Comma 8" xfId="48" xr:uid="{00000000-0005-0000-0000-00002B000000}"/>
    <cellStyle name="Comma 9" xfId="49" xr:uid="{00000000-0005-0000-0000-00002C000000}"/>
    <cellStyle name="Comma(2)" xfId="50" xr:uid="{00000000-0005-0000-0000-00002D000000}"/>
    <cellStyle name="Comma0 - Style2" xfId="51" xr:uid="{00000000-0005-0000-0000-00002E000000}"/>
    <cellStyle name="Comma1 - Style1" xfId="52" xr:uid="{00000000-0005-0000-0000-00002F000000}"/>
    <cellStyle name="Comments" xfId="53" xr:uid="{00000000-0005-0000-0000-000030000000}"/>
    <cellStyle name="Currency" xfId="2" builtinId="4"/>
    <cellStyle name="Currency 2" xfId="6" xr:uid="{00000000-0005-0000-0000-000032000000}"/>
    <cellStyle name="Currency 2 2" xfId="54" xr:uid="{00000000-0005-0000-0000-000033000000}"/>
    <cellStyle name="Currency 3" xfId="55" xr:uid="{00000000-0005-0000-0000-000034000000}"/>
    <cellStyle name="Currency 4" xfId="56" xr:uid="{00000000-0005-0000-0000-000035000000}"/>
    <cellStyle name="Currency 5" xfId="57" xr:uid="{00000000-0005-0000-0000-000036000000}"/>
    <cellStyle name="Currency 6" xfId="58" xr:uid="{00000000-0005-0000-0000-000037000000}"/>
    <cellStyle name="Currency 7" xfId="59" xr:uid="{00000000-0005-0000-0000-000038000000}"/>
    <cellStyle name="Currency 9" xfId="60" xr:uid="{00000000-0005-0000-0000-000039000000}"/>
    <cellStyle name="Data Enter" xfId="61" xr:uid="{00000000-0005-0000-0000-00003A000000}"/>
    <cellStyle name="FactSheet" xfId="62" xr:uid="{00000000-0005-0000-0000-00003B000000}"/>
    <cellStyle name="Good 2" xfId="63" xr:uid="{00000000-0005-0000-0000-00003C000000}"/>
    <cellStyle name="Heading 1 2" xfId="64" xr:uid="{00000000-0005-0000-0000-00003D000000}"/>
    <cellStyle name="Heading 2 2" xfId="65" xr:uid="{00000000-0005-0000-0000-00003E000000}"/>
    <cellStyle name="Heading 3 2" xfId="66" xr:uid="{00000000-0005-0000-0000-00003F000000}"/>
    <cellStyle name="Hyperlink 2" xfId="67" xr:uid="{00000000-0005-0000-0000-000040000000}"/>
    <cellStyle name="Hyperlink 3" xfId="68" xr:uid="{00000000-0005-0000-0000-000041000000}"/>
    <cellStyle name="input(0)" xfId="69" xr:uid="{00000000-0005-0000-0000-000042000000}"/>
    <cellStyle name="Input(2)" xfId="70" xr:uid="{00000000-0005-0000-0000-000043000000}"/>
    <cellStyle name="Linked Cell 2" xfId="71" xr:uid="{00000000-0005-0000-0000-000044000000}"/>
    <cellStyle name="Neutral 2" xfId="72" xr:uid="{00000000-0005-0000-0000-000045000000}"/>
    <cellStyle name="New_normal" xfId="73" xr:uid="{00000000-0005-0000-0000-000046000000}"/>
    <cellStyle name="Normal" xfId="0" builtinId="0"/>
    <cellStyle name="Normal - Style1" xfId="74" xr:uid="{00000000-0005-0000-0000-000048000000}"/>
    <cellStyle name="Normal - Style2" xfId="75" xr:uid="{00000000-0005-0000-0000-000049000000}"/>
    <cellStyle name="Normal - Style3" xfId="76" xr:uid="{00000000-0005-0000-0000-00004A000000}"/>
    <cellStyle name="Normal - Style4" xfId="77" xr:uid="{00000000-0005-0000-0000-00004B000000}"/>
    <cellStyle name="Normal - Style5" xfId="78" xr:uid="{00000000-0005-0000-0000-00004C000000}"/>
    <cellStyle name="Normal 10" xfId="79" xr:uid="{00000000-0005-0000-0000-00004D000000}"/>
    <cellStyle name="Normal 10 2" xfId="80" xr:uid="{00000000-0005-0000-0000-00004E000000}"/>
    <cellStyle name="Normal 11" xfId="81" xr:uid="{00000000-0005-0000-0000-00004F000000}"/>
    <cellStyle name="Normal 12" xfId="82" xr:uid="{00000000-0005-0000-0000-000050000000}"/>
    <cellStyle name="Normal 13" xfId="83" xr:uid="{00000000-0005-0000-0000-000051000000}"/>
    <cellStyle name="Normal 14" xfId="84" xr:uid="{00000000-0005-0000-0000-000052000000}"/>
    <cellStyle name="Normal 15" xfId="85" xr:uid="{00000000-0005-0000-0000-000053000000}"/>
    <cellStyle name="Normal 16" xfId="86" xr:uid="{00000000-0005-0000-0000-000054000000}"/>
    <cellStyle name="Normal 17" xfId="87" xr:uid="{00000000-0005-0000-0000-000055000000}"/>
    <cellStyle name="Normal 18" xfId="88" xr:uid="{00000000-0005-0000-0000-000056000000}"/>
    <cellStyle name="Normal 19" xfId="89" xr:uid="{00000000-0005-0000-0000-000057000000}"/>
    <cellStyle name="Normal 2" xfId="90" xr:uid="{00000000-0005-0000-0000-000058000000}"/>
    <cellStyle name="Normal 2 2" xfId="91" xr:uid="{00000000-0005-0000-0000-000059000000}"/>
    <cellStyle name="Normal 2 2 2" xfId="92" xr:uid="{00000000-0005-0000-0000-00005A000000}"/>
    <cellStyle name="Normal 2 2 3" xfId="93" xr:uid="{00000000-0005-0000-0000-00005B000000}"/>
    <cellStyle name="Normal 2 2_IS210PL" xfId="94" xr:uid="{00000000-0005-0000-0000-00005C000000}"/>
    <cellStyle name="Normal 2 3" xfId="95" xr:uid="{00000000-0005-0000-0000-00005D000000}"/>
    <cellStyle name="Normal 2 3 2" xfId="96" xr:uid="{00000000-0005-0000-0000-00005E000000}"/>
    <cellStyle name="Normal 2 3 3" xfId="97" xr:uid="{00000000-0005-0000-0000-00005F000000}"/>
    <cellStyle name="Normal 2 4" xfId="98" xr:uid="{00000000-0005-0000-0000-000060000000}"/>
    <cellStyle name="Normal 2 5" xfId="99" xr:uid="{00000000-0005-0000-0000-000061000000}"/>
    <cellStyle name="Normal 2_2180 Payroll Schedule 8-22-2011" xfId="100" xr:uid="{00000000-0005-0000-0000-000062000000}"/>
    <cellStyle name="Normal 20" xfId="101" xr:uid="{00000000-0005-0000-0000-000063000000}"/>
    <cellStyle name="Normal 3" xfId="102" xr:uid="{00000000-0005-0000-0000-000064000000}"/>
    <cellStyle name="Normal 3 2" xfId="103" xr:uid="{00000000-0005-0000-0000-000065000000}"/>
    <cellStyle name="Normal 3_2149 Depr 9-30-12" xfId="104" xr:uid="{00000000-0005-0000-0000-000066000000}"/>
    <cellStyle name="Normal 4" xfId="105" xr:uid="{00000000-0005-0000-0000-000067000000}"/>
    <cellStyle name="Normal 5" xfId="106" xr:uid="{00000000-0005-0000-0000-000068000000}"/>
    <cellStyle name="Normal 5 2" xfId="107" xr:uid="{00000000-0005-0000-0000-000069000000}"/>
    <cellStyle name="Normal 5_2183 UTC Depreciation 3 31 2012 Heather 6-6-2012" xfId="108" xr:uid="{00000000-0005-0000-0000-00006A000000}"/>
    <cellStyle name="Normal 6" xfId="109" xr:uid="{00000000-0005-0000-0000-00006B000000}"/>
    <cellStyle name="Normal 7" xfId="110" xr:uid="{00000000-0005-0000-0000-00006C000000}"/>
    <cellStyle name="Normal 8" xfId="111" xr:uid="{00000000-0005-0000-0000-00006D000000}"/>
    <cellStyle name="Normal 9" xfId="112" xr:uid="{00000000-0005-0000-0000-00006E000000}"/>
    <cellStyle name="Normal_Price out" xfId="4" xr:uid="{00000000-0005-0000-0000-00006F000000}"/>
    <cellStyle name="Note 2" xfId="113" xr:uid="{00000000-0005-0000-0000-000070000000}"/>
    <cellStyle name="Notes" xfId="114" xr:uid="{00000000-0005-0000-0000-000071000000}"/>
    <cellStyle name="Percent" xfId="3" builtinId="5"/>
    <cellStyle name="Percent 2" xfId="115" xr:uid="{00000000-0005-0000-0000-000073000000}"/>
    <cellStyle name="Percent 2 2" xfId="116" xr:uid="{00000000-0005-0000-0000-000074000000}"/>
    <cellStyle name="Percent 3" xfId="117" xr:uid="{00000000-0005-0000-0000-000075000000}"/>
    <cellStyle name="Percent 4" xfId="118" xr:uid="{00000000-0005-0000-0000-000076000000}"/>
    <cellStyle name="Percent 4 2" xfId="119" xr:uid="{00000000-0005-0000-0000-000077000000}"/>
    <cellStyle name="Percent 7" xfId="120" xr:uid="{00000000-0005-0000-0000-000078000000}"/>
    <cellStyle name="Percent(1)" xfId="121" xr:uid="{00000000-0005-0000-0000-000079000000}"/>
    <cellStyle name="Percent(2)" xfId="122" xr:uid="{00000000-0005-0000-0000-00007A000000}"/>
    <cellStyle name="PRM" xfId="123" xr:uid="{00000000-0005-0000-0000-00007B000000}"/>
    <cellStyle name="PSChar" xfId="124" xr:uid="{00000000-0005-0000-0000-00007C000000}"/>
    <cellStyle name="PSHeading" xfId="125" xr:uid="{00000000-0005-0000-0000-00007D000000}"/>
    <cellStyle name="Style 1" xfId="126" xr:uid="{00000000-0005-0000-0000-00007E000000}"/>
    <cellStyle name="STYLE1" xfId="127" xr:uid="{00000000-0005-0000-0000-00007F000000}"/>
    <cellStyle name="Total 2" xfId="128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3\ProForma%20Pacific%20Disposal_Staff%20Final%20outcome%2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CNX%20Stuff\Excel\Financials\Excel%20Financials\ExcelFinancia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7"/>
  <sheetViews>
    <sheetView workbookViewId="0">
      <selection activeCell="L8" sqref="L8"/>
    </sheetView>
  </sheetViews>
  <sheetFormatPr defaultRowHeight="15"/>
  <sheetData>
    <row r="2" spans="1:7">
      <c r="A2" s="118" t="s">
        <v>99</v>
      </c>
    </row>
    <row r="4" spans="1:7">
      <c r="B4" t="s">
        <v>100</v>
      </c>
      <c r="C4" s="27"/>
      <c r="D4" s="27"/>
    </row>
    <row r="5" spans="1:7">
      <c r="C5" s="27" t="s">
        <v>111</v>
      </c>
      <c r="D5" s="27"/>
      <c r="E5" s="27"/>
      <c r="F5" s="27"/>
      <c r="G5" s="27"/>
    </row>
    <row r="6" spans="1:7">
      <c r="C6" s="27" t="s">
        <v>101</v>
      </c>
      <c r="D6" s="27"/>
      <c r="E6" s="27"/>
      <c r="F6" s="27"/>
      <c r="G6" s="27"/>
    </row>
    <row r="7" spans="1:7" s="19" customFormat="1">
      <c r="C7" s="27" t="s">
        <v>112</v>
      </c>
      <c r="D7" s="27"/>
      <c r="E7" s="27"/>
      <c r="F7" s="27"/>
      <c r="G7" s="27"/>
    </row>
    <row r="8" spans="1:7" s="19" customFormat="1">
      <c r="C8" s="27"/>
      <c r="D8" s="27"/>
      <c r="E8" s="27"/>
      <c r="F8" s="27"/>
      <c r="G8" s="27"/>
    </row>
    <row r="9" spans="1:7" s="19" customFormat="1">
      <c r="B9" s="19" t="s">
        <v>115</v>
      </c>
    </row>
    <row r="10" spans="1:7" s="19" customFormat="1">
      <c r="C10" s="19" t="s">
        <v>116</v>
      </c>
    </row>
    <row r="11" spans="1:7" s="19" customFormat="1"/>
    <row r="12" spans="1:7">
      <c r="B12" t="s">
        <v>117</v>
      </c>
    </row>
    <row r="13" spans="1:7" s="19" customFormat="1">
      <c r="C13" s="19" t="s">
        <v>113</v>
      </c>
    </row>
    <row r="14" spans="1:7" s="19" customFormat="1">
      <c r="C14" s="19" t="s">
        <v>118</v>
      </c>
    </row>
    <row r="15" spans="1:7">
      <c r="C15" t="s">
        <v>114</v>
      </c>
    </row>
    <row r="17" spans="2:3">
      <c r="B17" t="s">
        <v>104</v>
      </c>
    </row>
    <row r="18" spans="2:3">
      <c r="C18" t="s">
        <v>102</v>
      </c>
    </row>
    <row r="19" spans="2:3">
      <c r="C19" t="s">
        <v>103</v>
      </c>
    </row>
    <row r="21" spans="2:3">
      <c r="B21" t="s">
        <v>106</v>
      </c>
    </row>
    <row r="22" spans="2:3">
      <c r="C22" t="s">
        <v>108</v>
      </c>
    </row>
    <row r="23" spans="2:3">
      <c r="C23" t="s">
        <v>107</v>
      </c>
    </row>
    <row r="24" spans="2:3">
      <c r="C24" t="s">
        <v>109</v>
      </c>
    </row>
    <row r="25" spans="2:3">
      <c r="C25" t="s">
        <v>110</v>
      </c>
    </row>
    <row r="27" spans="2:3">
      <c r="B27" t="s">
        <v>120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8"/>
  <sheetViews>
    <sheetView tabSelected="1" workbookViewId="0">
      <selection activeCell="B28" sqref="B28"/>
    </sheetView>
  </sheetViews>
  <sheetFormatPr defaultRowHeight="15"/>
  <cols>
    <col min="1" max="1" width="32.7109375" bestFit="1" customWidth="1"/>
    <col min="2" max="2" width="16.7109375" customWidth="1"/>
    <col min="3" max="3" width="9.28515625" bestFit="1" customWidth="1"/>
    <col min="4" max="4" width="5.7109375" bestFit="1" customWidth="1"/>
    <col min="5" max="5" width="12.7109375" customWidth="1"/>
    <col min="6" max="6" width="11.5703125" bestFit="1" customWidth="1"/>
    <col min="7" max="7" width="13.140625" customWidth="1"/>
    <col min="8" max="8" width="11.5703125" customWidth="1"/>
    <col min="9" max="9" width="11.42578125" customWidth="1"/>
    <col min="10" max="10" width="3.140625" customWidth="1"/>
    <col min="11" max="11" width="11.5703125" customWidth="1"/>
    <col min="12" max="13" width="11.5703125" style="19" customWidth="1"/>
    <col min="15" max="17" width="11.5703125" bestFit="1" customWidth="1"/>
    <col min="18" max="18" width="14.42578125" bestFit="1" customWidth="1"/>
    <col min="19" max="19" width="12" bestFit="1" customWidth="1"/>
    <col min="20" max="20" width="10.5703125" bestFit="1" customWidth="1"/>
    <col min="21" max="21" width="13.28515625" bestFit="1" customWidth="1"/>
  </cols>
  <sheetData>
    <row r="1" spans="1:11" s="19" customFormat="1">
      <c r="A1" s="50" t="s">
        <v>129</v>
      </c>
    </row>
    <row r="2" spans="1:11" s="19" customFormat="1">
      <c r="A2" s="50" t="s">
        <v>9</v>
      </c>
    </row>
    <row r="3" spans="1:11" s="19" customFormat="1">
      <c r="A3" s="50" t="s">
        <v>130</v>
      </c>
    </row>
    <row r="4" spans="1:11" s="19" customFormat="1">
      <c r="A4" s="50"/>
      <c r="D4" s="139" t="s">
        <v>56</v>
      </c>
      <c r="E4" s="139"/>
      <c r="F4" s="139"/>
      <c r="G4" s="139"/>
    </row>
    <row r="5" spans="1:11" s="19" customFormat="1">
      <c r="D5" s="110" t="s">
        <v>88</v>
      </c>
      <c r="E5" s="110" t="s">
        <v>89</v>
      </c>
      <c r="F5" s="110" t="s">
        <v>90</v>
      </c>
      <c r="G5" s="111" t="s">
        <v>94</v>
      </c>
    </row>
    <row r="6" spans="1:11" s="19" customFormat="1">
      <c r="A6" s="106" t="s">
        <v>87</v>
      </c>
      <c r="D6" s="112">
        <f>52*2/12</f>
        <v>8.6666666666666661</v>
      </c>
      <c r="E6" s="112">
        <f>D6*2</f>
        <v>17.333333333333332</v>
      </c>
      <c r="F6" s="112">
        <f>D6*3</f>
        <v>26</v>
      </c>
      <c r="G6" s="112">
        <f>D6*4</f>
        <v>34.666666666666664</v>
      </c>
    </row>
    <row r="7" spans="1:11">
      <c r="A7" t="s">
        <v>59</v>
      </c>
      <c r="D7" s="112">
        <f>52/12</f>
        <v>4.333333333333333</v>
      </c>
      <c r="E7" s="112">
        <f t="shared" ref="E7:E9" si="0">D7*2</f>
        <v>8.6666666666666661</v>
      </c>
      <c r="F7" s="112">
        <f t="shared" ref="F7:F9" si="1">D7*3</f>
        <v>13</v>
      </c>
      <c r="G7" s="112">
        <f t="shared" ref="G7:G9" si="2">D7*4</f>
        <v>17.333333333333332</v>
      </c>
    </row>
    <row r="8" spans="1:11">
      <c r="A8" t="s">
        <v>61</v>
      </c>
      <c r="D8" s="112">
        <f>26/12</f>
        <v>2.1666666666666665</v>
      </c>
      <c r="E8" s="112">
        <f t="shared" si="0"/>
        <v>4.333333333333333</v>
      </c>
      <c r="F8" s="112">
        <f t="shared" si="1"/>
        <v>6.5</v>
      </c>
      <c r="G8" s="112">
        <f t="shared" si="2"/>
        <v>8.6666666666666661</v>
      </c>
    </row>
    <row r="9" spans="1:11">
      <c r="A9" t="s">
        <v>60</v>
      </c>
      <c r="D9" s="112">
        <f>12/12</f>
        <v>1</v>
      </c>
      <c r="E9" s="112">
        <f t="shared" si="0"/>
        <v>2</v>
      </c>
      <c r="F9" s="112">
        <f t="shared" si="1"/>
        <v>3</v>
      </c>
      <c r="G9" s="112">
        <f t="shared" si="2"/>
        <v>4</v>
      </c>
    </row>
    <row r="11" spans="1:11">
      <c r="A11" t="s">
        <v>57</v>
      </c>
      <c r="B11">
        <v>2000</v>
      </c>
    </row>
    <row r="12" spans="1:11">
      <c r="A12" t="s">
        <v>58</v>
      </c>
      <c r="B12" s="48" t="s">
        <v>91</v>
      </c>
    </row>
    <row r="14" spans="1:11">
      <c r="A14" s="49" t="s">
        <v>122</v>
      </c>
      <c r="B14" s="110" t="s">
        <v>6</v>
      </c>
      <c r="C14" s="1" t="s">
        <v>7</v>
      </c>
      <c r="E14" s="49" t="s">
        <v>64</v>
      </c>
      <c r="F14" s="1"/>
      <c r="I14" s="117"/>
    </row>
    <row r="15" spans="1:11">
      <c r="A15" s="19" t="s">
        <v>95</v>
      </c>
      <c r="B15" s="135">
        <v>75</v>
      </c>
      <c r="C15" s="146">
        <f>B15/2000</f>
        <v>3.7499999999999999E-2</v>
      </c>
      <c r="D15" s="27"/>
      <c r="E15" s="27" t="s">
        <v>65</v>
      </c>
      <c r="F15" s="147">
        <f>0.015</f>
        <v>1.4999999999999999E-2</v>
      </c>
      <c r="G15" s="27"/>
      <c r="H15" s="27"/>
      <c r="I15" s="137"/>
      <c r="J15" s="27"/>
      <c r="K15" s="27"/>
    </row>
    <row r="16" spans="1:11">
      <c r="A16" s="19" t="s">
        <v>96</v>
      </c>
      <c r="B16" s="148">
        <v>80</v>
      </c>
      <c r="C16" s="149">
        <f>B16/2000</f>
        <v>0.04</v>
      </c>
      <c r="D16" s="27"/>
      <c r="E16" s="27" t="s">
        <v>66</v>
      </c>
      <c r="F16" s="150">
        <v>5.1000000000000004E-3</v>
      </c>
      <c r="G16" s="27"/>
      <c r="H16" s="27"/>
    </row>
    <row r="17" spans="1:8">
      <c r="A17" s="19" t="s">
        <v>8</v>
      </c>
      <c r="B17" s="135">
        <f>B16-B15</f>
        <v>5</v>
      </c>
      <c r="C17" s="146">
        <f>C16-C15</f>
        <v>2.5000000000000022E-3</v>
      </c>
      <c r="D17" s="27"/>
      <c r="E17" s="27" t="s">
        <v>54</v>
      </c>
      <c r="F17" s="147">
        <f>SUM(F15:F16)+G21</f>
        <v>2.1100000000000001E-2</v>
      </c>
      <c r="G17" s="27"/>
      <c r="H17" s="27"/>
    </row>
    <row r="18" spans="1:8">
      <c r="B18" s="27"/>
      <c r="C18" s="27"/>
      <c r="D18" s="27"/>
      <c r="E18" s="27" t="s">
        <v>67</v>
      </c>
      <c r="F18" s="27">
        <f>1-F17</f>
        <v>0.97889999999999999</v>
      </c>
      <c r="G18" s="27"/>
      <c r="H18" s="27"/>
    </row>
    <row r="19" spans="1:8">
      <c r="B19" s="27"/>
      <c r="C19" s="27"/>
      <c r="D19" s="27"/>
      <c r="E19" s="27"/>
      <c r="F19" s="27"/>
      <c r="G19" s="27"/>
      <c r="H19" s="27"/>
    </row>
    <row r="20" spans="1:8">
      <c r="A20" t="s">
        <v>4</v>
      </c>
      <c r="B20" s="151">
        <f>B17</f>
        <v>5</v>
      </c>
      <c r="C20" s="151"/>
      <c r="D20" s="27"/>
      <c r="E20" s="27" t="s">
        <v>105</v>
      </c>
      <c r="F20" s="27"/>
      <c r="G20" s="27"/>
      <c r="H20" s="27"/>
    </row>
    <row r="21" spans="1:8">
      <c r="A21" t="s">
        <v>63</v>
      </c>
      <c r="B21" s="151">
        <f>B20/F18</f>
        <v>5.1077740320768212</v>
      </c>
      <c r="C21" s="27"/>
      <c r="D21" s="27"/>
      <c r="E21" s="27" t="s">
        <v>121</v>
      </c>
      <c r="F21" s="27"/>
      <c r="G21" s="27">
        <v>1E-3</v>
      </c>
      <c r="H21" s="27"/>
    </row>
    <row r="22" spans="1:8">
      <c r="A22" t="s">
        <v>62</v>
      </c>
      <c r="B22" s="30">
        <f>+F48</f>
        <v>7156.9</v>
      </c>
      <c r="C22" s="27"/>
      <c r="D22" s="27"/>
      <c r="E22" s="27"/>
      <c r="F22" s="27"/>
      <c r="G22" s="27"/>
      <c r="H22" s="27"/>
    </row>
    <row r="23" spans="1:8">
      <c r="A23" s="50" t="s">
        <v>68</v>
      </c>
      <c r="B23" s="152">
        <f>B21*B22</f>
        <v>36555.827970170598</v>
      </c>
      <c r="C23" s="27"/>
      <c r="D23" s="27"/>
      <c r="E23" s="27"/>
      <c r="F23" s="27"/>
      <c r="G23" s="27"/>
      <c r="H23" s="27"/>
    </row>
    <row r="24" spans="1:8">
      <c r="B24" s="27"/>
      <c r="C24" s="27"/>
      <c r="D24" s="27"/>
      <c r="E24" s="27"/>
      <c r="F24" s="27"/>
      <c r="G24" s="27"/>
      <c r="H24" s="27"/>
    </row>
    <row r="25" spans="1:8">
      <c r="A25" t="s">
        <v>92</v>
      </c>
      <c r="B25" s="148">
        <f>'Staff calcs '!S51</f>
        <v>36591.68119439984</v>
      </c>
      <c r="C25" s="27"/>
      <c r="D25" s="27"/>
      <c r="E25" s="27"/>
      <c r="F25" s="27"/>
      <c r="G25" s="27"/>
      <c r="H25" s="27"/>
    </row>
    <row r="26" spans="1:8">
      <c r="A26" s="51" t="s">
        <v>12</v>
      </c>
      <c r="B26" s="151">
        <f>B25-B23</f>
        <v>35.853224229242187</v>
      </c>
      <c r="C26" s="27"/>
      <c r="D26" s="27"/>
      <c r="E26" s="27"/>
      <c r="F26" s="27"/>
      <c r="G26" s="27"/>
      <c r="H26" s="27"/>
    </row>
    <row r="27" spans="1:8">
      <c r="B27" s="27"/>
      <c r="C27" s="27"/>
      <c r="D27" s="27"/>
      <c r="E27" s="153" t="s">
        <v>98</v>
      </c>
      <c r="F27" s="150"/>
      <c r="G27" s="27"/>
      <c r="H27" s="27"/>
    </row>
    <row r="28" spans="1:8">
      <c r="A28" s="50" t="s">
        <v>93</v>
      </c>
      <c r="B28" s="154">
        <f>'Staff calcs '!U51</f>
        <v>36591.68119439984</v>
      </c>
      <c r="C28" s="27"/>
      <c r="D28" s="27"/>
      <c r="E28" s="27">
        <v>0.01</v>
      </c>
      <c r="F28" s="27"/>
      <c r="G28" s="27"/>
      <c r="H28" s="27"/>
    </row>
    <row r="29" spans="1:8">
      <c r="A29" s="51" t="s">
        <v>12</v>
      </c>
      <c r="B29" s="151">
        <f>B28-B23</f>
        <v>35.853224229242187</v>
      </c>
      <c r="C29" s="155">
        <f>B29/B23</f>
        <v>9.8077998010326199E-4</v>
      </c>
      <c r="D29" s="27"/>
      <c r="E29" s="27"/>
      <c r="F29" s="27"/>
      <c r="G29" s="27"/>
      <c r="H29" s="27"/>
    </row>
    <row r="33" spans="1:22">
      <c r="E33" s="139">
        <v>2015</v>
      </c>
      <c r="F33" s="139"/>
      <c r="G33" s="139"/>
      <c r="H33" s="139"/>
      <c r="I33" s="139"/>
      <c r="J33" s="139"/>
      <c r="K33" s="139"/>
      <c r="L33" s="132"/>
      <c r="M33" s="129"/>
      <c r="O33" s="139">
        <v>2018</v>
      </c>
      <c r="P33" s="139"/>
      <c r="Q33" s="139"/>
      <c r="R33" s="139"/>
      <c r="S33" s="139"/>
      <c r="T33" s="139"/>
      <c r="U33" s="139"/>
    </row>
    <row r="34" spans="1:22">
      <c r="E34" s="125" t="s">
        <v>124</v>
      </c>
      <c r="F34" s="131" t="s">
        <v>125</v>
      </c>
      <c r="G34" s="131" t="s">
        <v>127</v>
      </c>
      <c r="H34" s="131" t="s">
        <v>126</v>
      </c>
      <c r="I34" s="131" t="s">
        <v>145</v>
      </c>
      <c r="J34" s="131"/>
      <c r="K34" s="131" t="s">
        <v>54</v>
      </c>
      <c r="L34" s="131"/>
      <c r="M34" s="131"/>
      <c r="N34" s="27"/>
      <c r="O34" s="131" t="s">
        <v>125</v>
      </c>
      <c r="P34" s="131" t="s">
        <v>124</v>
      </c>
      <c r="Q34" s="131" t="s">
        <v>159</v>
      </c>
      <c r="R34" s="131" t="s">
        <v>160</v>
      </c>
      <c r="S34" s="131" t="s">
        <v>161</v>
      </c>
      <c r="T34" s="131" t="s">
        <v>54</v>
      </c>
      <c r="U34" s="131"/>
      <c r="V34" s="27"/>
    </row>
    <row r="35" spans="1:22">
      <c r="A35" t="s">
        <v>123</v>
      </c>
      <c r="D35" s="7" t="s">
        <v>143</v>
      </c>
      <c r="E35" s="124">
        <v>16596.080000000002</v>
      </c>
      <c r="F35" s="126">
        <v>40643.599999999999</v>
      </c>
      <c r="G35" s="126">
        <v>6364.52</v>
      </c>
      <c r="H35" s="126">
        <v>6961.84</v>
      </c>
      <c r="I35" s="126">
        <v>2955.08</v>
      </c>
      <c r="J35" s="126"/>
      <c r="K35" s="126">
        <f t="shared" ref="K35:K46" si="3">SUM(E35:J35)</f>
        <v>73521.119999999995</v>
      </c>
      <c r="L35" s="126"/>
      <c r="M35" s="126"/>
      <c r="N35" s="156"/>
      <c r="O35" s="126">
        <v>911</v>
      </c>
      <c r="P35" s="126">
        <v>279</v>
      </c>
      <c r="Q35" s="126">
        <v>436</v>
      </c>
      <c r="R35" s="126">
        <v>108</v>
      </c>
      <c r="S35" s="126">
        <v>11</v>
      </c>
      <c r="T35" s="126">
        <f>+O35+P35+Q35+R35+S35</f>
        <v>1745</v>
      </c>
      <c r="U35" s="126"/>
      <c r="V35" s="27"/>
    </row>
    <row r="36" spans="1:22">
      <c r="A36" t="s">
        <v>128</v>
      </c>
      <c r="D36" s="7" t="s">
        <v>143</v>
      </c>
      <c r="E36" s="124">
        <v>17074.12</v>
      </c>
      <c r="F36" s="126">
        <v>34442.68</v>
      </c>
      <c r="G36" s="126">
        <v>6253.28</v>
      </c>
      <c r="H36" s="126">
        <v>4932.1499999999996</v>
      </c>
      <c r="I36" s="126">
        <v>3525.12</v>
      </c>
      <c r="J36" s="126"/>
      <c r="K36" s="126">
        <f t="shared" si="3"/>
        <v>66227.350000000006</v>
      </c>
      <c r="L36" s="126"/>
      <c r="M36" s="126"/>
      <c r="N36" s="156"/>
      <c r="O36" s="126">
        <v>652</v>
      </c>
      <c r="P36" s="126">
        <v>313</v>
      </c>
      <c r="Q36" s="126">
        <v>347</v>
      </c>
      <c r="R36" s="126">
        <v>203</v>
      </c>
      <c r="S36" s="126">
        <v>7</v>
      </c>
      <c r="T36" s="126">
        <f t="shared" ref="T36:T46" si="4">+O36+P36+Q36+R36+S36</f>
        <v>1522</v>
      </c>
      <c r="U36" s="126"/>
      <c r="V36" s="27"/>
    </row>
    <row r="37" spans="1:22">
      <c r="A37" t="s">
        <v>131</v>
      </c>
      <c r="D37" s="7" t="s">
        <v>143</v>
      </c>
      <c r="E37" s="124">
        <v>19858.22</v>
      </c>
      <c r="F37" s="126">
        <v>41672.44</v>
      </c>
      <c r="G37" s="126">
        <v>8369.44</v>
      </c>
      <c r="H37" s="126">
        <v>4815.76</v>
      </c>
      <c r="I37" s="126">
        <v>2827.44</v>
      </c>
      <c r="J37" s="126"/>
      <c r="K37" s="126">
        <f t="shared" si="3"/>
        <v>77543.3</v>
      </c>
      <c r="L37" s="126"/>
      <c r="M37" s="126"/>
      <c r="N37" s="156"/>
      <c r="O37" s="126">
        <v>850</v>
      </c>
      <c r="P37" s="126">
        <v>341</v>
      </c>
      <c r="Q37" s="126">
        <v>400</v>
      </c>
      <c r="R37" s="126">
        <v>68</v>
      </c>
      <c r="S37" s="126">
        <v>35</v>
      </c>
      <c r="T37" s="126">
        <f t="shared" si="4"/>
        <v>1694</v>
      </c>
      <c r="U37" s="126"/>
      <c r="V37" s="27"/>
    </row>
    <row r="38" spans="1:22">
      <c r="A38" t="s">
        <v>132</v>
      </c>
      <c r="D38" s="7" t="s">
        <v>143</v>
      </c>
      <c r="E38" s="124">
        <v>19367.080000000002</v>
      </c>
      <c r="F38" s="126">
        <v>39791.56</v>
      </c>
      <c r="G38" s="126">
        <v>12167.92</v>
      </c>
      <c r="H38" s="126">
        <v>5656.92</v>
      </c>
      <c r="I38" s="126">
        <v>1682.32</v>
      </c>
      <c r="J38" s="126"/>
      <c r="K38" s="126">
        <f t="shared" si="3"/>
        <v>78665.8</v>
      </c>
      <c r="L38" s="126"/>
      <c r="M38" s="126"/>
      <c r="N38" s="156"/>
      <c r="O38" s="126">
        <v>795</v>
      </c>
      <c r="P38" s="126">
        <v>333</v>
      </c>
      <c r="Q38" s="126">
        <v>406</v>
      </c>
      <c r="R38" s="126">
        <v>126</v>
      </c>
      <c r="S38" s="126">
        <v>55</v>
      </c>
      <c r="T38" s="126">
        <f t="shared" si="4"/>
        <v>1715</v>
      </c>
      <c r="U38" s="126"/>
      <c r="V38" s="27"/>
    </row>
    <row r="39" spans="1:22">
      <c r="A39" t="s">
        <v>133</v>
      </c>
      <c r="D39" s="7" t="s">
        <v>143</v>
      </c>
      <c r="E39" s="124">
        <v>21241.84</v>
      </c>
      <c r="F39" s="126">
        <v>40453.879999999997</v>
      </c>
      <c r="G39" s="126">
        <v>8789.43</v>
      </c>
      <c r="H39" s="126">
        <v>4324.12</v>
      </c>
      <c r="I39" s="126">
        <v>2263.04</v>
      </c>
      <c r="J39" s="126"/>
      <c r="K39" s="126">
        <f t="shared" si="3"/>
        <v>77072.309999999983</v>
      </c>
      <c r="L39" s="126"/>
      <c r="M39" s="126"/>
      <c r="N39" s="156"/>
      <c r="O39" s="126">
        <v>915</v>
      </c>
      <c r="P39" s="126">
        <v>402</v>
      </c>
      <c r="Q39" s="126">
        <v>441</v>
      </c>
      <c r="R39" s="126">
        <v>143</v>
      </c>
      <c r="S39" s="126">
        <v>7</v>
      </c>
      <c r="T39" s="126">
        <f t="shared" si="4"/>
        <v>1908</v>
      </c>
      <c r="U39" s="126"/>
      <c r="V39" s="27"/>
    </row>
    <row r="40" spans="1:22">
      <c r="A40" t="s">
        <v>139</v>
      </c>
      <c r="D40" s="7" t="s">
        <v>143</v>
      </c>
      <c r="E40" s="124">
        <v>24840.400000000001</v>
      </c>
      <c r="F40" s="126">
        <v>38587.96</v>
      </c>
      <c r="G40" s="126">
        <v>10702.86</v>
      </c>
      <c r="H40" s="126">
        <v>4989.16</v>
      </c>
      <c r="I40" s="126">
        <v>2900.2</v>
      </c>
      <c r="J40" s="126"/>
      <c r="K40" s="126">
        <f t="shared" si="3"/>
        <v>82020.58</v>
      </c>
      <c r="L40" s="126"/>
      <c r="M40" s="126"/>
      <c r="N40" s="156"/>
      <c r="O40" s="126">
        <v>871</v>
      </c>
      <c r="P40" s="126">
        <v>396</v>
      </c>
      <c r="Q40" s="126">
        <v>403</v>
      </c>
      <c r="R40" s="126">
        <v>124</v>
      </c>
      <c r="S40" s="126">
        <v>5</v>
      </c>
      <c r="T40" s="126">
        <f t="shared" si="4"/>
        <v>1799</v>
      </c>
      <c r="U40" s="126"/>
      <c r="V40" s="27"/>
    </row>
    <row r="41" spans="1:22">
      <c r="A41" t="s">
        <v>140</v>
      </c>
      <c r="D41" s="7" t="s">
        <v>143</v>
      </c>
      <c r="E41" s="124">
        <v>24567.040000000001</v>
      </c>
      <c r="F41" s="126">
        <v>41062.480000000003</v>
      </c>
      <c r="G41" s="126">
        <v>16251.63</v>
      </c>
      <c r="H41" s="126">
        <v>5360.44</v>
      </c>
      <c r="I41" s="126">
        <v>2744.48</v>
      </c>
      <c r="J41" s="126"/>
      <c r="K41" s="126">
        <f t="shared" si="3"/>
        <v>89986.07</v>
      </c>
      <c r="L41" s="126"/>
      <c r="M41" s="126"/>
      <c r="N41" s="156"/>
      <c r="O41" s="126">
        <v>816</v>
      </c>
      <c r="P41" s="126">
        <v>416</v>
      </c>
      <c r="Q41" s="126">
        <v>409</v>
      </c>
      <c r="R41" s="126">
        <v>90</v>
      </c>
      <c r="S41" s="126">
        <v>3</v>
      </c>
      <c r="T41" s="126">
        <f t="shared" si="4"/>
        <v>1734</v>
      </c>
      <c r="U41" s="126"/>
      <c r="V41" s="27"/>
    </row>
    <row r="42" spans="1:22">
      <c r="A42" t="s">
        <v>134</v>
      </c>
      <c r="D42" s="7" t="s">
        <v>143</v>
      </c>
      <c r="E42" s="124">
        <v>21223.66</v>
      </c>
      <c r="F42" s="126">
        <v>41915.199999999997</v>
      </c>
      <c r="G42" s="126">
        <v>14806.4</v>
      </c>
      <c r="H42" s="126">
        <v>4863.3599999999997</v>
      </c>
      <c r="I42" s="126">
        <v>1629.28</v>
      </c>
      <c r="J42" s="126"/>
      <c r="K42" s="126">
        <f t="shared" si="3"/>
        <v>84437.9</v>
      </c>
      <c r="L42" s="126"/>
      <c r="M42" s="126"/>
      <c r="N42" s="156"/>
      <c r="O42" s="126">
        <v>808</v>
      </c>
      <c r="P42" s="126">
        <v>429</v>
      </c>
      <c r="Q42" s="126">
        <v>419</v>
      </c>
      <c r="R42" s="126">
        <v>91</v>
      </c>
      <c r="S42" s="126">
        <v>9</v>
      </c>
      <c r="T42" s="126">
        <f t="shared" si="4"/>
        <v>1756</v>
      </c>
      <c r="U42" s="126"/>
      <c r="V42" s="27"/>
    </row>
    <row r="43" spans="1:22">
      <c r="A43" t="s">
        <v>135</v>
      </c>
      <c r="D43" s="7" t="s">
        <v>143</v>
      </c>
      <c r="E43" s="124">
        <v>19591.48</v>
      </c>
      <c r="F43" s="126">
        <v>42640.08</v>
      </c>
      <c r="G43" s="126">
        <v>3346.28</v>
      </c>
      <c r="H43" s="126">
        <v>4338.3999999999996</v>
      </c>
      <c r="I43" s="126">
        <v>1381.08</v>
      </c>
      <c r="J43" s="126"/>
      <c r="K43" s="126">
        <f t="shared" si="3"/>
        <v>71297.319999999992</v>
      </c>
      <c r="L43" s="126"/>
      <c r="M43" s="126"/>
      <c r="N43" s="156"/>
      <c r="O43" s="126">
        <v>799</v>
      </c>
      <c r="P43" s="126">
        <v>386</v>
      </c>
      <c r="Q43" s="126">
        <v>387</v>
      </c>
      <c r="R43" s="126">
        <v>97</v>
      </c>
      <c r="S43" s="126">
        <v>0</v>
      </c>
      <c r="T43" s="126">
        <f t="shared" si="4"/>
        <v>1669</v>
      </c>
      <c r="U43" s="126"/>
      <c r="V43" s="27"/>
    </row>
    <row r="44" spans="1:22">
      <c r="A44" t="s">
        <v>136</v>
      </c>
      <c r="D44" s="7" t="s">
        <v>143</v>
      </c>
      <c r="E44" s="124">
        <v>14528.88</v>
      </c>
      <c r="F44" s="126">
        <v>42577.52</v>
      </c>
      <c r="G44" s="126">
        <v>5631.06</v>
      </c>
      <c r="H44" s="126">
        <v>5031.32</v>
      </c>
      <c r="I44" s="126">
        <v>1090.72</v>
      </c>
      <c r="J44" s="126"/>
      <c r="K44" s="126">
        <f t="shared" si="3"/>
        <v>68859.5</v>
      </c>
      <c r="L44" s="126"/>
      <c r="M44" s="126"/>
      <c r="N44" s="156"/>
      <c r="O44" s="126">
        <v>832</v>
      </c>
      <c r="P44" s="126">
        <v>291</v>
      </c>
      <c r="Q44" s="126">
        <v>422</v>
      </c>
      <c r="R44" s="126">
        <v>106</v>
      </c>
      <c r="S44" s="126">
        <v>2</v>
      </c>
      <c r="T44" s="126">
        <f t="shared" si="4"/>
        <v>1653</v>
      </c>
      <c r="U44" s="126"/>
      <c r="V44" s="27"/>
    </row>
    <row r="45" spans="1:22">
      <c r="A45" t="s">
        <v>137</v>
      </c>
      <c r="D45" s="7" t="s">
        <v>143</v>
      </c>
      <c r="E45" s="124">
        <v>15349.64</v>
      </c>
      <c r="F45" s="126">
        <v>37771.96</v>
      </c>
      <c r="G45" s="126">
        <v>5969.72</v>
      </c>
      <c r="H45" s="126">
        <v>4413.2</v>
      </c>
      <c r="I45" s="126">
        <v>2095.7600000000002</v>
      </c>
      <c r="J45" s="126"/>
      <c r="K45" s="126">
        <f t="shared" si="3"/>
        <v>65600.28</v>
      </c>
      <c r="L45" s="126"/>
      <c r="M45" s="126"/>
      <c r="N45" s="156"/>
      <c r="O45" s="126">
        <v>770</v>
      </c>
      <c r="P45" s="126">
        <v>353</v>
      </c>
      <c r="Q45" s="126">
        <v>410</v>
      </c>
      <c r="R45" s="126">
        <v>109</v>
      </c>
      <c r="S45" s="126">
        <v>2</v>
      </c>
      <c r="T45" s="126">
        <f t="shared" si="4"/>
        <v>1644</v>
      </c>
      <c r="U45" s="126"/>
      <c r="V45" s="27"/>
    </row>
    <row r="46" spans="1:22">
      <c r="A46" t="s">
        <v>138</v>
      </c>
      <c r="D46" s="7" t="s">
        <v>143</v>
      </c>
      <c r="E46" s="124">
        <v>15478.16</v>
      </c>
      <c r="F46" s="126">
        <v>42950.16</v>
      </c>
      <c r="G46" s="126">
        <v>6768.84</v>
      </c>
      <c r="H46" s="126">
        <v>6620.48</v>
      </c>
      <c r="I46" s="126">
        <v>2173.2800000000002</v>
      </c>
      <c r="J46" s="126"/>
      <c r="K46" s="126">
        <f t="shared" si="3"/>
        <v>73990.92</v>
      </c>
      <c r="L46" s="126"/>
      <c r="M46" s="126"/>
      <c r="N46" s="156"/>
      <c r="O46" s="29">
        <v>816</v>
      </c>
      <c r="P46" s="29">
        <v>307</v>
      </c>
      <c r="Q46" s="29">
        <v>395</v>
      </c>
      <c r="R46" s="29">
        <v>58</v>
      </c>
      <c r="S46" s="29">
        <v>0</v>
      </c>
      <c r="T46" s="29">
        <f t="shared" si="4"/>
        <v>1576</v>
      </c>
      <c r="U46" s="126"/>
      <c r="V46" s="27"/>
    </row>
    <row r="47" spans="1:22">
      <c r="D47" s="7" t="s">
        <v>143</v>
      </c>
      <c r="E47" s="6">
        <f>SUM(E35:E46)</f>
        <v>229716.6</v>
      </c>
      <c r="F47" s="128">
        <f t="shared" ref="F47:K47" si="5">SUM(F35:F46)</f>
        <v>484509.52</v>
      </c>
      <c r="G47" s="128">
        <f t="shared" si="5"/>
        <v>105421.37999999999</v>
      </c>
      <c r="H47" s="128">
        <f t="shared" si="5"/>
        <v>62307.149999999994</v>
      </c>
      <c r="I47" s="128">
        <f t="shared" si="5"/>
        <v>27267.800000000003</v>
      </c>
      <c r="J47" s="27"/>
      <c r="K47" s="128">
        <f t="shared" si="5"/>
        <v>909222.45000000007</v>
      </c>
      <c r="L47" s="128"/>
      <c r="M47" s="128"/>
      <c r="N47" s="156"/>
      <c r="O47" s="126">
        <f>SUM(O35:O46)</f>
        <v>9835</v>
      </c>
      <c r="P47" s="126">
        <f t="shared" ref="P47:T47" si="6">SUM(P35:P46)</f>
        <v>4246</v>
      </c>
      <c r="Q47" s="126">
        <f t="shared" si="6"/>
        <v>4875</v>
      </c>
      <c r="R47" s="126">
        <f t="shared" si="6"/>
        <v>1323</v>
      </c>
      <c r="S47" s="126">
        <f t="shared" si="6"/>
        <v>136</v>
      </c>
      <c r="T47" s="126">
        <f t="shared" si="6"/>
        <v>20415</v>
      </c>
      <c r="U47" s="126"/>
      <c r="V47" s="27"/>
    </row>
    <row r="48" spans="1:22">
      <c r="D48" s="7" t="s">
        <v>142</v>
      </c>
      <c r="E48" s="126">
        <v>3546.72</v>
      </c>
      <c r="F48" s="157">
        <v>7156.9</v>
      </c>
      <c r="G48" s="126">
        <v>1738.57</v>
      </c>
      <c r="H48" s="126">
        <v>953.15</v>
      </c>
      <c r="I48" s="126">
        <v>410.94</v>
      </c>
      <c r="J48" s="27"/>
      <c r="K48" s="126">
        <f>SUM(E48:I48)</f>
        <v>13806.279999999999</v>
      </c>
      <c r="L48" s="126"/>
      <c r="M48" s="126"/>
      <c r="N48" s="134" t="s">
        <v>162</v>
      </c>
      <c r="O48" s="126">
        <f>+O47-F48</f>
        <v>2678.1000000000004</v>
      </c>
      <c r="P48" s="126">
        <f>+P47-E48</f>
        <v>699.2800000000002</v>
      </c>
      <c r="Q48" s="126"/>
      <c r="R48" s="126"/>
      <c r="S48" s="126"/>
      <c r="T48" s="126">
        <f>+T47-K48</f>
        <v>6608.7200000000012</v>
      </c>
      <c r="U48" s="27"/>
      <c r="V48" s="27"/>
    </row>
    <row r="49" spans="3:22" ht="15" customHeight="1">
      <c r="D49" s="127" t="s">
        <v>141</v>
      </c>
      <c r="E49" s="128">
        <f>+E47/E48</f>
        <v>64.768744079036409</v>
      </c>
      <c r="F49" s="128">
        <f>+F47/F48</f>
        <v>67.698238063966244</v>
      </c>
      <c r="G49" s="128">
        <f>+G47/G48</f>
        <v>60.636833719666157</v>
      </c>
      <c r="H49" s="128">
        <f>+H47/H48</f>
        <v>65.369721449929173</v>
      </c>
      <c r="I49" s="128">
        <f>+I47/I48</f>
        <v>66.354698982819883</v>
      </c>
      <c r="J49" s="27"/>
      <c r="K49" s="128">
        <f>+K47/K48</f>
        <v>65.855715659830182</v>
      </c>
      <c r="L49" s="128"/>
      <c r="M49" s="128"/>
      <c r="N49" s="126"/>
      <c r="O49" s="140" t="s">
        <v>166</v>
      </c>
      <c r="P49" s="140"/>
      <c r="Q49" s="140"/>
      <c r="R49" s="140"/>
      <c r="S49" s="136"/>
      <c r="T49" s="136"/>
      <c r="U49" s="27"/>
      <c r="V49" s="27"/>
    </row>
    <row r="50" spans="3:22">
      <c r="F50" s="27"/>
      <c r="G50" s="27"/>
      <c r="H50" s="27"/>
      <c r="I50" s="27"/>
      <c r="J50" s="27"/>
      <c r="K50" s="27"/>
      <c r="L50" s="27"/>
      <c r="M50" s="27"/>
      <c r="N50" s="27"/>
      <c r="O50" s="140"/>
      <c r="P50" s="140"/>
      <c r="Q50" s="140"/>
      <c r="R50" s="140"/>
      <c r="S50" s="136"/>
      <c r="T50" s="136"/>
      <c r="U50" s="27"/>
      <c r="V50" s="27"/>
    </row>
    <row r="51" spans="3:22">
      <c r="F51" s="27"/>
      <c r="G51" s="27"/>
      <c r="H51" s="27"/>
      <c r="I51" s="27"/>
      <c r="J51" s="27"/>
      <c r="K51" s="27"/>
      <c r="L51" s="27"/>
      <c r="M51" s="27"/>
      <c r="N51" s="27"/>
      <c r="O51" s="140"/>
      <c r="P51" s="140"/>
      <c r="Q51" s="140"/>
      <c r="R51" s="140"/>
      <c r="S51" s="136"/>
      <c r="T51" s="136"/>
      <c r="U51" s="6"/>
    </row>
    <row r="52" spans="3:22">
      <c r="C52" t="s">
        <v>144</v>
      </c>
      <c r="F52" s="6">
        <f>SUM(F48:I48)</f>
        <v>10259.56</v>
      </c>
      <c r="O52" s="6"/>
    </row>
    <row r="54" spans="3:22">
      <c r="E54" t="s">
        <v>125</v>
      </c>
      <c r="F54" t="s">
        <v>144</v>
      </c>
    </row>
    <row r="55" spans="3:22">
      <c r="E55" t="s">
        <v>124</v>
      </c>
      <c r="F55" t="s">
        <v>146</v>
      </c>
    </row>
    <row r="56" spans="3:22">
      <c r="E56" t="s">
        <v>127</v>
      </c>
      <c r="F56" t="s">
        <v>147</v>
      </c>
    </row>
    <row r="57" spans="3:22">
      <c r="E57" t="s">
        <v>126</v>
      </c>
      <c r="F57" t="s">
        <v>148</v>
      </c>
    </row>
    <row r="58" spans="3:22">
      <c r="E58" t="s">
        <v>149</v>
      </c>
      <c r="F58" t="s">
        <v>150</v>
      </c>
    </row>
  </sheetData>
  <mergeCells count="4">
    <mergeCell ref="D4:G4"/>
    <mergeCell ref="E33:K33"/>
    <mergeCell ref="O33:U33"/>
    <mergeCell ref="O49:R51"/>
  </mergeCells>
  <pageMargins left="0.28000000000000003" right="0.52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L85"/>
  <sheetViews>
    <sheetView zoomScaleNormal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D2" sqref="D2"/>
    </sheetView>
  </sheetViews>
  <sheetFormatPr defaultColWidth="8.85546875" defaultRowHeight="15"/>
  <cols>
    <col min="1" max="1" width="4.5703125" style="19" bestFit="1" customWidth="1"/>
    <col min="2" max="2" width="7.140625" style="19" customWidth="1"/>
    <col min="3" max="3" width="5.5703125" style="19" bestFit="1" customWidth="1"/>
    <col min="4" max="4" width="27" style="19" bestFit="1" customWidth="1"/>
    <col min="5" max="5" width="14.140625" style="19" customWidth="1"/>
    <col min="6" max="6" width="9.28515625" style="19" bestFit="1" customWidth="1"/>
    <col min="7" max="7" width="12.85546875" style="19" bestFit="1" customWidth="1"/>
    <col min="8" max="8" width="13.42578125" style="19" bestFit="1" customWidth="1"/>
    <col min="9" max="9" width="15.7109375" style="19" bestFit="1" customWidth="1"/>
    <col min="10" max="10" width="15" style="19" bestFit="1" customWidth="1"/>
    <col min="11" max="11" width="12.42578125" style="19" customWidth="1"/>
    <col min="12" max="12" width="13" style="19" customWidth="1"/>
    <col min="13" max="13" width="7.85546875" style="19" bestFit="1" customWidth="1"/>
    <col min="14" max="14" width="9.28515625" style="19" bestFit="1" customWidth="1"/>
    <col min="15" max="15" width="9.5703125" style="19" bestFit="1" customWidth="1"/>
    <col min="16" max="16" width="9.28515625" style="19" bestFit="1" customWidth="1"/>
    <col min="17" max="17" width="15.7109375" style="19" bestFit="1" customWidth="1"/>
    <col min="18" max="18" width="16" style="19" bestFit="1" customWidth="1"/>
    <col min="19" max="19" width="12.85546875" style="19" bestFit="1" customWidth="1"/>
    <col min="20" max="20" width="16" style="19" bestFit="1" customWidth="1"/>
    <col min="21" max="21" width="12.28515625" style="19" customWidth="1"/>
    <col min="22" max="16384" width="8.85546875" style="19"/>
  </cols>
  <sheetData>
    <row r="1" spans="1:21" ht="15" customHeight="1">
      <c r="D1" s="50" t="s">
        <v>171</v>
      </c>
      <c r="F1" s="144"/>
      <c r="G1" s="144"/>
      <c r="H1" s="144"/>
      <c r="I1" s="144"/>
      <c r="J1" s="144"/>
      <c r="K1" s="138"/>
      <c r="L1" s="138"/>
      <c r="M1" s="56"/>
      <c r="O1" s="7"/>
    </row>
    <row r="2" spans="1:21">
      <c r="D2" s="50" t="s">
        <v>9</v>
      </c>
      <c r="F2" s="144"/>
      <c r="G2" s="144"/>
      <c r="H2" s="144"/>
      <c r="I2" s="144"/>
      <c r="J2" s="144"/>
      <c r="K2" s="138"/>
      <c r="L2" s="138"/>
      <c r="M2" s="56"/>
    </row>
    <row r="3" spans="1:21">
      <c r="D3" s="50" t="s">
        <v>170</v>
      </c>
      <c r="F3" s="144"/>
      <c r="G3" s="144"/>
      <c r="H3" s="144"/>
      <c r="I3" s="144"/>
      <c r="J3" s="144"/>
      <c r="K3" s="138"/>
      <c r="L3" s="138"/>
      <c r="M3" s="56"/>
    </row>
    <row r="4" spans="1:21">
      <c r="F4" s="138"/>
      <c r="G4" s="138"/>
      <c r="H4" s="138"/>
      <c r="I4" s="138"/>
      <c r="J4" s="138"/>
      <c r="K4" s="138"/>
      <c r="L4" s="138"/>
      <c r="M4" s="55"/>
    </row>
    <row r="5" spans="1:21" ht="60">
      <c r="A5" s="1"/>
      <c r="B5" s="2" t="s">
        <v>119</v>
      </c>
      <c r="C5" s="2" t="s">
        <v>50</v>
      </c>
      <c r="D5" s="107" t="s">
        <v>55</v>
      </c>
      <c r="E5" s="2" t="s">
        <v>83</v>
      </c>
      <c r="F5" s="2" t="s">
        <v>0</v>
      </c>
      <c r="G5" s="1" t="s">
        <v>1</v>
      </c>
      <c r="H5" s="3" t="s">
        <v>10</v>
      </c>
      <c r="I5" s="3" t="s">
        <v>74</v>
      </c>
      <c r="J5" s="3" t="s">
        <v>75</v>
      </c>
      <c r="K5" s="4" t="s">
        <v>8</v>
      </c>
      <c r="L5" s="5" t="s">
        <v>2</v>
      </c>
      <c r="M5" s="5" t="s">
        <v>84</v>
      </c>
      <c r="N5" s="5" t="s">
        <v>80</v>
      </c>
      <c r="O5" s="5" t="s">
        <v>77</v>
      </c>
      <c r="P5" s="5" t="s">
        <v>78</v>
      </c>
      <c r="Q5" s="5" t="s">
        <v>81</v>
      </c>
      <c r="R5" s="5" t="s">
        <v>79</v>
      </c>
      <c r="S5" s="5" t="s">
        <v>86</v>
      </c>
      <c r="T5" s="5" t="s">
        <v>82</v>
      </c>
      <c r="U5" s="5" t="s">
        <v>97</v>
      </c>
    </row>
    <row r="6" spans="1:21" s="27" customFormat="1">
      <c r="A6" s="141" t="s">
        <v>23</v>
      </c>
      <c r="B6" s="121">
        <v>100</v>
      </c>
      <c r="C6" s="34">
        <v>22</v>
      </c>
      <c r="D6" s="21" t="s">
        <v>19</v>
      </c>
      <c r="E6" s="23">
        <v>920</v>
      </c>
      <c r="F6" s="18">
        <f>References!$D$7</f>
        <v>4.333333333333333</v>
      </c>
      <c r="G6" s="71">
        <f>E6*F6*12</f>
        <v>47840</v>
      </c>
      <c r="H6" s="17">
        <v>20</v>
      </c>
      <c r="I6" s="17">
        <f>G6*H6</f>
        <v>956800</v>
      </c>
      <c r="J6" s="24">
        <f t="shared" ref="J6:J12" si="0">$E$74*I6</f>
        <v>658889.96333439939</v>
      </c>
      <c r="K6" s="60">
        <f>References!$C$17*J6</f>
        <v>1647.224908336</v>
      </c>
      <c r="L6" s="68">
        <f>K6/References!$F$18</f>
        <v>1682.7305223577484</v>
      </c>
      <c r="M6" s="68">
        <f>L6/G6*F6</f>
        <v>0.15242124296718734</v>
      </c>
      <c r="N6" s="60">
        <v>5.57</v>
      </c>
      <c r="O6" s="68">
        <f>MROUND(N6+M6,References!$E$28)</f>
        <v>5.72</v>
      </c>
      <c r="P6" s="60">
        <f>+O6</f>
        <v>5.72</v>
      </c>
      <c r="Q6" s="62">
        <f>E6*N6*12</f>
        <v>61492.800000000003</v>
      </c>
      <c r="R6" s="62">
        <f>E6*P6*12</f>
        <v>63148.799999999996</v>
      </c>
      <c r="S6" s="62">
        <f>R6-Q6</f>
        <v>1655.9999999999927</v>
      </c>
      <c r="T6" s="62">
        <f>E6*O6*12</f>
        <v>63148.799999999996</v>
      </c>
      <c r="U6" s="109">
        <f>T6-Q6</f>
        <v>1655.9999999999927</v>
      </c>
    </row>
    <row r="7" spans="1:21" s="27" customFormat="1" ht="15" customHeight="1">
      <c r="A7" s="141"/>
      <c r="B7" s="121">
        <v>100</v>
      </c>
      <c r="C7" s="34">
        <v>22</v>
      </c>
      <c r="D7" s="21" t="s">
        <v>25</v>
      </c>
      <c r="E7" s="23">
        <v>5264</v>
      </c>
      <c r="F7" s="18">
        <f>References!$D$7</f>
        <v>4.333333333333333</v>
      </c>
      <c r="G7" s="71">
        <f>E7*F7*12</f>
        <v>273728</v>
      </c>
      <c r="H7" s="17">
        <v>34</v>
      </c>
      <c r="I7" s="17">
        <f>G7*H7</f>
        <v>9306752</v>
      </c>
      <c r="J7" s="24">
        <f t="shared" si="0"/>
        <v>6408994.0259639928</v>
      </c>
      <c r="K7" s="60">
        <f>References!$C$17*J7</f>
        <v>16022.485064909997</v>
      </c>
      <c r="L7" s="68">
        <f>K7/References!$F$18</f>
        <v>16367.846628777195</v>
      </c>
      <c r="M7" s="68">
        <f>L7/G7*F7</f>
        <v>0.2591161130442185</v>
      </c>
      <c r="N7" s="68">
        <v>13.29</v>
      </c>
      <c r="O7" s="68">
        <f>MROUND(N7+M7,References!$E$28)</f>
        <v>13.55</v>
      </c>
      <c r="P7" s="68">
        <f>+O7</f>
        <v>13.55</v>
      </c>
      <c r="Q7" s="108">
        <f t="shared" ref="Q7:Q15" si="1">E7*N7*12</f>
        <v>839502.72</v>
      </c>
      <c r="R7" s="108">
        <f t="shared" ref="R7:R15" si="2">E7*P7*12</f>
        <v>855926.39999999991</v>
      </c>
      <c r="S7" s="108">
        <f>R7-Q7</f>
        <v>16423.679999999935</v>
      </c>
      <c r="T7" s="109">
        <f t="shared" ref="T7:T15" si="3">E7*O7*12</f>
        <v>855926.39999999991</v>
      </c>
      <c r="U7" s="109">
        <f t="shared" ref="U7:U19" si="4">T7-Q7</f>
        <v>16423.679999999935</v>
      </c>
    </row>
    <row r="8" spans="1:21" s="27" customFormat="1">
      <c r="A8" s="141"/>
      <c r="B8" s="121">
        <v>100</v>
      </c>
      <c r="C8" s="34">
        <v>22</v>
      </c>
      <c r="D8" s="21" t="s">
        <v>22</v>
      </c>
      <c r="E8" s="23">
        <v>130</v>
      </c>
      <c r="F8" s="18">
        <f>References!$D$7</f>
        <v>4.333333333333333</v>
      </c>
      <c r="G8" s="71">
        <f t="shared" ref="G8:G38" si="5">E8*F8*12</f>
        <v>6759.9999999999991</v>
      </c>
      <c r="H8" s="17">
        <v>51</v>
      </c>
      <c r="I8" s="17">
        <f t="shared" ref="I8:I38" si="6">G8*H8</f>
        <v>344759.99999999994</v>
      </c>
      <c r="J8" s="24">
        <f t="shared" si="0"/>
        <v>237415.24222321017</v>
      </c>
      <c r="K8" s="60">
        <f>References!$C$17*J8</f>
        <v>593.5381055580259</v>
      </c>
      <c r="L8" s="68">
        <f>K8/References!$F$18</f>
        <v>606.3317045234711</v>
      </c>
      <c r="M8" s="68">
        <f t="shared" ref="M8:M26" si="7">L8/G8*F8</f>
        <v>0.38867416956632767</v>
      </c>
      <c r="N8" s="60">
        <v>18.04</v>
      </c>
      <c r="O8" s="68">
        <f>MROUND(N8+M8,References!$E$28)</f>
        <v>18.43</v>
      </c>
      <c r="P8" s="68">
        <f t="shared" ref="P8:P15" si="8">+O8</f>
        <v>18.43</v>
      </c>
      <c r="Q8" s="62">
        <f t="shared" si="1"/>
        <v>28142.399999999998</v>
      </c>
      <c r="R8" s="62">
        <f t="shared" si="2"/>
        <v>28750.800000000003</v>
      </c>
      <c r="S8" s="62">
        <f t="shared" ref="S8:S38" si="9">R8-Q8</f>
        <v>608.40000000000509</v>
      </c>
      <c r="T8" s="62">
        <f t="shared" si="3"/>
        <v>28750.800000000003</v>
      </c>
      <c r="U8" s="109">
        <f t="shared" si="4"/>
        <v>608.40000000000509</v>
      </c>
    </row>
    <row r="9" spans="1:21" s="27" customFormat="1">
      <c r="A9" s="141"/>
      <c r="B9" s="121">
        <v>100</v>
      </c>
      <c r="C9" s="34">
        <v>22</v>
      </c>
      <c r="D9" s="21" t="s">
        <v>13</v>
      </c>
      <c r="E9" s="23">
        <v>61</v>
      </c>
      <c r="F9" s="18">
        <f>References!$D$7</f>
        <v>4.333333333333333</v>
      </c>
      <c r="G9" s="71">
        <f t="shared" si="5"/>
        <v>3172</v>
      </c>
      <c r="H9" s="17">
        <v>77</v>
      </c>
      <c r="I9" s="17">
        <f t="shared" si="6"/>
        <v>244244</v>
      </c>
      <c r="J9" s="24">
        <f t="shared" si="0"/>
        <v>168195.98683596053</v>
      </c>
      <c r="K9" s="60">
        <f>References!$C$17*J9</f>
        <v>420.48996708990171</v>
      </c>
      <c r="L9" s="68">
        <f>K9/References!$F$18</f>
        <v>429.55354693012742</v>
      </c>
      <c r="M9" s="68">
        <f t="shared" si="7"/>
        <v>0.58682178542367125</v>
      </c>
      <c r="N9" s="60">
        <v>22.66</v>
      </c>
      <c r="O9" s="68">
        <f>MROUND(N9+M9,References!$E$28)</f>
        <v>23.25</v>
      </c>
      <c r="P9" s="68">
        <f t="shared" si="8"/>
        <v>23.25</v>
      </c>
      <c r="Q9" s="62">
        <f t="shared" si="1"/>
        <v>16587.12</v>
      </c>
      <c r="R9" s="62">
        <f t="shared" si="2"/>
        <v>17019</v>
      </c>
      <c r="S9" s="62">
        <f t="shared" si="9"/>
        <v>431.88000000000102</v>
      </c>
      <c r="T9" s="62">
        <f t="shared" si="3"/>
        <v>17019</v>
      </c>
      <c r="U9" s="109">
        <f t="shared" si="4"/>
        <v>431.88000000000102</v>
      </c>
    </row>
    <row r="10" spans="1:21" s="27" customFormat="1">
      <c r="A10" s="141"/>
      <c r="B10" s="121">
        <v>100</v>
      </c>
      <c r="C10" s="34">
        <v>22</v>
      </c>
      <c r="D10" s="21" t="s">
        <v>14</v>
      </c>
      <c r="E10" s="23">
        <v>13</v>
      </c>
      <c r="F10" s="18">
        <f>References!$D$7</f>
        <v>4.333333333333333</v>
      </c>
      <c r="G10" s="71">
        <f t="shared" si="5"/>
        <v>676</v>
      </c>
      <c r="H10" s="17">
        <v>97</v>
      </c>
      <c r="I10" s="17">
        <f t="shared" si="6"/>
        <v>65572</v>
      </c>
      <c r="J10" s="24">
        <f t="shared" si="0"/>
        <v>45155.448030688996</v>
      </c>
      <c r="K10" s="60">
        <f>References!$C$17*J10</f>
        <v>112.88862007672259</v>
      </c>
      <c r="L10" s="68">
        <f>K10/References!$F$18</f>
        <v>115.32191242897395</v>
      </c>
      <c r="M10" s="68">
        <f t="shared" si="7"/>
        <v>0.73924302839085854</v>
      </c>
      <c r="N10" s="60">
        <v>27.42</v>
      </c>
      <c r="O10" s="68">
        <f>MROUND(N10+M10,References!$E$28)</f>
        <v>28.16</v>
      </c>
      <c r="P10" s="68">
        <f t="shared" si="8"/>
        <v>28.16</v>
      </c>
      <c r="Q10" s="62">
        <f t="shared" si="1"/>
        <v>4277.5200000000004</v>
      </c>
      <c r="R10" s="62">
        <f t="shared" si="2"/>
        <v>4392.96</v>
      </c>
      <c r="S10" s="62">
        <f t="shared" si="9"/>
        <v>115.4399999999996</v>
      </c>
      <c r="T10" s="62">
        <f t="shared" si="3"/>
        <v>4392.96</v>
      </c>
      <c r="U10" s="109">
        <f t="shared" si="4"/>
        <v>115.4399999999996</v>
      </c>
    </row>
    <row r="11" spans="1:21" s="27" customFormat="1">
      <c r="A11" s="141"/>
      <c r="B11" s="121">
        <v>100</v>
      </c>
      <c r="C11" s="34">
        <v>22</v>
      </c>
      <c r="D11" s="21" t="s">
        <v>15</v>
      </c>
      <c r="E11" s="23">
        <v>1</v>
      </c>
      <c r="F11" s="18">
        <f>References!$D$7</f>
        <v>4.333333333333333</v>
      </c>
      <c r="G11" s="71">
        <f t="shared" si="5"/>
        <v>52</v>
      </c>
      <c r="H11" s="17">
        <v>117</v>
      </c>
      <c r="I11" s="17">
        <f t="shared" si="6"/>
        <v>6084</v>
      </c>
      <c r="J11" s="24">
        <f t="shared" si="0"/>
        <v>4189.6807451154746</v>
      </c>
      <c r="K11" s="60">
        <f>References!$C$17*J11</f>
        <v>10.474201862788696</v>
      </c>
      <c r="L11" s="68">
        <f>K11/References!$F$18</f>
        <v>10.699971256296553</v>
      </c>
      <c r="M11" s="68">
        <f t="shared" si="7"/>
        <v>0.89166427135804605</v>
      </c>
      <c r="N11" s="60">
        <v>32.1</v>
      </c>
      <c r="O11" s="68">
        <f>MROUND(N11+M11,References!$E$28)</f>
        <v>32.99</v>
      </c>
      <c r="P11" s="68">
        <f t="shared" si="8"/>
        <v>32.99</v>
      </c>
      <c r="Q11" s="62">
        <f t="shared" si="1"/>
        <v>385.20000000000005</v>
      </c>
      <c r="R11" s="62">
        <f t="shared" si="2"/>
        <v>395.88</v>
      </c>
      <c r="S11" s="62">
        <f t="shared" si="9"/>
        <v>10.67999999999995</v>
      </c>
      <c r="T11" s="62">
        <f t="shared" si="3"/>
        <v>395.88</v>
      </c>
      <c r="U11" s="109">
        <f t="shared" si="4"/>
        <v>10.67999999999995</v>
      </c>
    </row>
    <row r="12" spans="1:21" s="27" customFormat="1">
      <c r="A12" s="141"/>
      <c r="B12" s="121">
        <v>100</v>
      </c>
      <c r="C12" s="34">
        <v>22</v>
      </c>
      <c r="D12" s="21" t="s">
        <v>163</v>
      </c>
      <c r="E12" s="23">
        <v>0.1</v>
      </c>
      <c r="F12" s="18">
        <v>4.33</v>
      </c>
      <c r="G12" s="71">
        <f t="shared" si="5"/>
        <v>5.1960000000000006</v>
      </c>
      <c r="H12" s="17">
        <f>+H11+20</f>
        <v>137</v>
      </c>
      <c r="I12" s="17">
        <f t="shared" si="6"/>
        <v>711.85200000000009</v>
      </c>
      <c r="J12" s="24">
        <f t="shared" si="0"/>
        <v>490.20917451872793</v>
      </c>
      <c r="K12" s="60">
        <f>References!$C$17*J12</f>
        <v>1.225522936296821</v>
      </c>
      <c r="L12" s="68">
        <f>K12/References!$F$18</f>
        <v>1.2519388459462877</v>
      </c>
      <c r="M12" s="68">
        <f>L12/G12*F12</f>
        <v>1.0432823716219064</v>
      </c>
      <c r="N12" s="60">
        <v>37.840000000000003</v>
      </c>
      <c r="O12" s="68">
        <f>MROUND(N12+M12,References!$E$28)</f>
        <v>38.880000000000003</v>
      </c>
      <c r="P12" s="68">
        <v>38.880000000000003</v>
      </c>
      <c r="Q12" s="62">
        <f t="shared" si="1"/>
        <v>45.408000000000008</v>
      </c>
      <c r="R12" s="62">
        <f t="shared" si="2"/>
        <v>46.656000000000006</v>
      </c>
      <c r="S12" s="62">
        <f t="shared" ref="S12" si="10">R12-Q12</f>
        <v>1.2479999999999976</v>
      </c>
      <c r="T12" s="62">
        <f t="shared" ref="T12" si="11">E12*O12*12</f>
        <v>46.656000000000006</v>
      </c>
      <c r="U12" s="109">
        <f t="shared" ref="U12" si="12">T12-Q12</f>
        <v>1.2479999999999976</v>
      </c>
    </row>
    <row r="13" spans="1:21" s="27" customFormat="1">
      <c r="A13" s="141"/>
      <c r="B13" s="121">
        <v>100</v>
      </c>
      <c r="C13" s="34">
        <v>23</v>
      </c>
      <c r="D13" s="21" t="s">
        <v>16</v>
      </c>
      <c r="E13" s="23">
        <v>0</v>
      </c>
      <c r="F13" s="18">
        <f>References!$D$8</f>
        <v>2.1666666666666665</v>
      </c>
      <c r="G13" s="71">
        <f t="shared" si="5"/>
        <v>0</v>
      </c>
      <c r="H13" s="17">
        <v>34</v>
      </c>
      <c r="I13" s="17">
        <f t="shared" si="6"/>
        <v>0</v>
      </c>
      <c r="J13" s="24">
        <f t="shared" ref="J13:J19" si="13">$E$74*I13</f>
        <v>0</v>
      </c>
      <c r="K13" s="60">
        <f>References!$C$17*J13</f>
        <v>0</v>
      </c>
      <c r="L13" s="68">
        <f>K13/References!$F$18</f>
        <v>0</v>
      </c>
      <c r="M13" s="68" t="e">
        <f t="shared" si="7"/>
        <v>#DIV/0!</v>
      </c>
      <c r="N13" s="60">
        <v>16.59</v>
      </c>
      <c r="O13" s="68" t="e">
        <f>MROUND(N13+M13,References!$E$28)</f>
        <v>#DIV/0!</v>
      </c>
      <c r="P13" s="68"/>
      <c r="Q13" s="62">
        <f t="shared" si="1"/>
        <v>0</v>
      </c>
      <c r="R13" s="62">
        <f t="shared" si="2"/>
        <v>0</v>
      </c>
      <c r="S13" s="62">
        <f t="shared" si="9"/>
        <v>0</v>
      </c>
      <c r="T13" s="62"/>
      <c r="U13" s="109">
        <f t="shared" si="4"/>
        <v>0</v>
      </c>
    </row>
    <row r="14" spans="1:21" s="27" customFormat="1">
      <c r="A14" s="141"/>
      <c r="B14" s="121">
        <v>100</v>
      </c>
      <c r="C14" s="34">
        <v>23</v>
      </c>
      <c r="D14" s="21" t="s">
        <v>17</v>
      </c>
      <c r="E14" s="23">
        <v>0</v>
      </c>
      <c r="F14" s="18">
        <f>References!$D$8</f>
        <v>2.1666666666666665</v>
      </c>
      <c r="G14" s="71">
        <f t="shared" si="5"/>
        <v>0</v>
      </c>
      <c r="H14" s="17">
        <v>51</v>
      </c>
      <c r="I14" s="17">
        <f t="shared" si="6"/>
        <v>0</v>
      </c>
      <c r="J14" s="24">
        <f t="shared" si="13"/>
        <v>0</v>
      </c>
      <c r="K14" s="60">
        <f>References!$C$17*J14</f>
        <v>0</v>
      </c>
      <c r="L14" s="68">
        <f>K14/References!$F$18</f>
        <v>0</v>
      </c>
      <c r="M14" s="68" t="e">
        <f t="shared" si="7"/>
        <v>#DIV/0!</v>
      </c>
      <c r="N14" s="60">
        <v>23.68</v>
      </c>
      <c r="O14" s="68" t="e">
        <f>MROUND(N14+M14,References!$E$28)</f>
        <v>#DIV/0!</v>
      </c>
      <c r="P14" s="68"/>
      <c r="Q14" s="62">
        <f t="shared" si="1"/>
        <v>0</v>
      </c>
      <c r="R14" s="62">
        <f t="shared" si="2"/>
        <v>0</v>
      </c>
      <c r="S14" s="62">
        <f t="shared" si="9"/>
        <v>0</v>
      </c>
      <c r="T14" s="62"/>
      <c r="U14" s="109">
        <f t="shared" si="4"/>
        <v>0</v>
      </c>
    </row>
    <row r="15" spans="1:21" s="27" customFormat="1" ht="14.45" customHeight="1">
      <c r="A15" s="141"/>
      <c r="B15" s="121">
        <v>100</v>
      </c>
      <c r="C15" s="34">
        <v>23</v>
      </c>
      <c r="D15" s="21" t="s">
        <v>18</v>
      </c>
      <c r="E15" s="23">
        <v>203</v>
      </c>
      <c r="F15" s="18">
        <f>References!$D$9</f>
        <v>1</v>
      </c>
      <c r="G15" s="71">
        <f t="shared" si="5"/>
        <v>2436</v>
      </c>
      <c r="H15" s="17">
        <v>34</v>
      </c>
      <c r="I15" s="17">
        <f t="shared" si="6"/>
        <v>82824</v>
      </c>
      <c r="J15" s="24">
        <f t="shared" si="13"/>
        <v>57035.851090309669</v>
      </c>
      <c r="K15" s="60">
        <f>References!$C$17*J15</f>
        <v>142.58962772577431</v>
      </c>
      <c r="L15" s="68">
        <f>K15/References!$F$18</f>
        <v>145.66311954824221</v>
      </c>
      <c r="M15" s="68">
        <f t="shared" si="7"/>
        <v>5.9796026087127342E-2</v>
      </c>
      <c r="N15" s="60">
        <v>8.8699999999999992</v>
      </c>
      <c r="O15" s="68">
        <f>MROUND(N15+M15,References!$E$28)</f>
        <v>8.93</v>
      </c>
      <c r="P15" s="68">
        <f t="shared" si="8"/>
        <v>8.93</v>
      </c>
      <c r="Q15" s="62">
        <f t="shared" si="1"/>
        <v>21607.32</v>
      </c>
      <c r="R15" s="62">
        <f t="shared" si="2"/>
        <v>21753.48</v>
      </c>
      <c r="S15" s="62">
        <f t="shared" si="9"/>
        <v>146.15999999999985</v>
      </c>
      <c r="T15" s="62">
        <f t="shared" si="3"/>
        <v>21753.48</v>
      </c>
      <c r="U15" s="109">
        <f t="shared" si="4"/>
        <v>146.15999999999985</v>
      </c>
    </row>
    <row r="16" spans="1:21" s="27" customFormat="1">
      <c r="A16" s="141"/>
      <c r="B16" s="121">
        <v>100</v>
      </c>
      <c r="C16" s="34">
        <v>31</v>
      </c>
      <c r="D16" s="21" t="s">
        <v>20</v>
      </c>
      <c r="E16" s="23">
        <v>0</v>
      </c>
      <c r="F16" s="18">
        <f>References!$D$9</f>
        <v>1</v>
      </c>
      <c r="G16" s="71">
        <f t="shared" si="5"/>
        <v>0</v>
      </c>
      <c r="H16" s="17">
        <v>250</v>
      </c>
      <c r="I16" s="17">
        <f t="shared" si="6"/>
        <v>0</v>
      </c>
      <c r="J16" s="24">
        <f t="shared" si="13"/>
        <v>0</v>
      </c>
      <c r="K16" s="60">
        <f>References!$C$17*J16</f>
        <v>0</v>
      </c>
      <c r="L16" s="68">
        <f>K16/References!$F$18</f>
        <v>0</v>
      </c>
      <c r="M16" s="68" t="e">
        <f>L16/G16</f>
        <v>#DIV/0!</v>
      </c>
      <c r="N16" s="60">
        <v>32.72</v>
      </c>
      <c r="O16" s="68" t="e">
        <f>MROUND(N16+M16,References!$E$28)</f>
        <v>#DIV/0!</v>
      </c>
      <c r="P16" s="68"/>
      <c r="Q16" s="62">
        <f>G16*N16</f>
        <v>0</v>
      </c>
      <c r="R16" s="62">
        <f>G16*P16</f>
        <v>0</v>
      </c>
      <c r="S16" s="62">
        <f>R16-Q16</f>
        <v>0</v>
      </c>
      <c r="T16" s="62"/>
      <c r="U16" s="109">
        <f t="shared" si="4"/>
        <v>0</v>
      </c>
    </row>
    <row r="17" spans="1:21" s="27" customFormat="1">
      <c r="A17" s="141"/>
      <c r="B17" s="121">
        <v>100</v>
      </c>
      <c r="C17" s="34">
        <v>31</v>
      </c>
      <c r="D17" s="21" t="s">
        <v>21</v>
      </c>
      <c r="E17" s="23">
        <v>0</v>
      </c>
      <c r="F17" s="18">
        <f>References!$D$7</f>
        <v>4.333333333333333</v>
      </c>
      <c r="G17" s="71">
        <f t="shared" si="5"/>
        <v>0</v>
      </c>
      <c r="H17" s="17">
        <v>250</v>
      </c>
      <c r="I17" s="17">
        <f t="shared" si="6"/>
        <v>0</v>
      </c>
      <c r="J17" s="24">
        <f t="shared" si="13"/>
        <v>0</v>
      </c>
      <c r="K17" s="60">
        <f>References!$C$17*J17</f>
        <v>0</v>
      </c>
      <c r="L17" s="68">
        <f>K17/References!$F$18</f>
        <v>0</v>
      </c>
      <c r="M17" s="68" t="e">
        <f>L17/G17</f>
        <v>#DIV/0!</v>
      </c>
      <c r="N17" s="60">
        <v>32.72</v>
      </c>
      <c r="O17" s="68" t="e">
        <f>MROUND(N17+M17,References!$E$28)</f>
        <v>#DIV/0!</v>
      </c>
      <c r="P17" s="68"/>
      <c r="Q17" s="62">
        <f>G17*N17</f>
        <v>0</v>
      </c>
      <c r="R17" s="62">
        <f>G16*P17</f>
        <v>0</v>
      </c>
      <c r="S17" s="62">
        <f t="shared" si="9"/>
        <v>0</v>
      </c>
      <c r="T17" s="62"/>
      <c r="U17" s="109">
        <f t="shared" si="4"/>
        <v>0</v>
      </c>
    </row>
    <row r="18" spans="1:21" s="27" customFormat="1">
      <c r="A18" s="141"/>
      <c r="B18" s="121">
        <v>100</v>
      </c>
      <c r="C18" s="34">
        <v>23</v>
      </c>
      <c r="D18" s="21" t="s">
        <v>69</v>
      </c>
      <c r="E18" s="23">
        <v>0</v>
      </c>
      <c r="F18" s="18">
        <f>References!$D$9</f>
        <v>1</v>
      </c>
      <c r="G18" s="71">
        <f t="shared" si="5"/>
        <v>0</v>
      </c>
      <c r="H18" s="17">
        <v>47</v>
      </c>
      <c r="I18" s="17">
        <f t="shared" si="6"/>
        <v>0</v>
      </c>
      <c r="J18" s="24">
        <f t="shared" si="13"/>
        <v>0</v>
      </c>
      <c r="K18" s="60">
        <f>References!$C$17*J18</f>
        <v>0</v>
      </c>
      <c r="L18" s="68">
        <f>K18/References!$F$18</f>
        <v>0</v>
      </c>
      <c r="M18" s="68" t="e">
        <f t="shared" si="7"/>
        <v>#DIV/0!</v>
      </c>
      <c r="N18" s="60">
        <v>29.18</v>
      </c>
      <c r="O18" s="68" t="e">
        <f>MROUND(N18+M18,References!$E$28)</f>
        <v>#DIV/0!</v>
      </c>
      <c r="P18" s="68"/>
      <c r="Q18" s="62">
        <f>E18*N18*12</f>
        <v>0</v>
      </c>
      <c r="R18" s="62">
        <f>E18*P18*12</f>
        <v>0</v>
      </c>
      <c r="S18" s="62">
        <f t="shared" si="9"/>
        <v>0</v>
      </c>
      <c r="T18" s="62"/>
      <c r="U18" s="109">
        <f t="shared" si="4"/>
        <v>0</v>
      </c>
    </row>
    <row r="19" spans="1:21" s="27" customFormat="1">
      <c r="A19" s="142"/>
      <c r="B19" s="122">
        <v>100</v>
      </c>
      <c r="C19" s="41">
        <v>23</v>
      </c>
      <c r="D19" s="42" t="s">
        <v>85</v>
      </c>
      <c r="E19" s="28">
        <v>0</v>
      </c>
      <c r="F19" s="18">
        <f>References!$D$7</f>
        <v>4.333333333333333</v>
      </c>
      <c r="G19" s="72">
        <f t="shared" si="5"/>
        <v>0</v>
      </c>
      <c r="H19" s="30">
        <v>68</v>
      </c>
      <c r="I19" s="30">
        <f t="shared" si="6"/>
        <v>0</v>
      </c>
      <c r="J19" s="31">
        <f t="shared" si="13"/>
        <v>0</v>
      </c>
      <c r="K19" s="60">
        <f>References!$C$17*J19</f>
        <v>0</v>
      </c>
      <c r="L19" s="69">
        <f>K19/References!$F$18</f>
        <v>0</v>
      </c>
      <c r="M19" s="69" t="e">
        <f t="shared" si="7"/>
        <v>#DIV/0!</v>
      </c>
      <c r="N19" s="61">
        <v>33.64</v>
      </c>
      <c r="O19" s="68" t="e">
        <f>MROUND(N19+M19,References!$E$28)</f>
        <v>#DIV/0!</v>
      </c>
      <c r="P19" s="69"/>
      <c r="Q19" s="63">
        <f>E19*N19*12</f>
        <v>0</v>
      </c>
      <c r="R19" s="63">
        <f>E19*P19*12</f>
        <v>0</v>
      </c>
      <c r="S19" s="63">
        <f t="shared" si="9"/>
        <v>0</v>
      </c>
      <c r="T19" s="63"/>
      <c r="U19" s="109">
        <f t="shared" si="4"/>
        <v>0</v>
      </c>
    </row>
    <row r="20" spans="1:21" s="27" customFormat="1" ht="14.45" customHeight="1">
      <c r="A20" s="143" t="s">
        <v>154</v>
      </c>
      <c r="B20" s="123"/>
      <c r="C20" s="34"/>
      <c r="D20" s="57" t="s">
        <v>54</v>
      </c>
      <c r="E20" s="58">
        <f>SUM(E6:E19)</f>
        <v>6592.1</v>
      </c>
      <c r="F20" s="67"/>
      <c r="G20" s="58">
        <f>SUM(G6:G19)</f>
        <v>334669.196</v>
      </c>
      <c r="H20" s="17"/>
      <c r="I20" s="133">
        <f>SUM(I6:I19)</f>
        <v>11007747.852</v>
      </c>
      <c r="J20" s="133">
        <f>SUM(J6:J19)</f>
        <v>7580366.407398195</v>
      </c>
      <c r="K20" s="67"/>
      <c r="L20" s="67"/>
      <c r="M20" s="67"/>
      <c r="N20" s="18"/>
      <c r="O20" s="67"/>
      <c r="P20" s="29"/>
      <c r="Q20" s="58">
        <f>SUM(Q6:Q19)</f>
        <v>972040.48800000001</v>
      </c>
      <c r="R20" s="58">
        <f>SUM(R6:R19)</f>
        <v>991433.97599999991</v>
      </c>
      <c r="S20" s="58">
        <f>SUM(S6:S19)</f>
        <v>19393.487999999932</v>
      </c>
      <c r="T20" s="64">
        <f>SUM(T7:T19)</f>
        <v>928285.17599999986</v>
      </c>
      <c r="U20" s="58">
        <f>SUM(U6:U19)</f>
        <v>19393.487999999932</v>
      </c>
    </row>
    <row r="21" spans="1:21" s="27" customFormat="1">
      <c r="A21" s="141"/>
      <c r="B21" s="121" t="s">
        <v>164</v>
      </c>
      <c r="C21" s="35" t="s">
        <v>165</v>
      </c>
      <c r="D21" s="36" t="s">
        <v>25</v>
      </c>
      <c r="E21" s="37">
        <f>239+63</f>
        <v>302</v>
      </c>
      <c r="F21" s="18">
        <f>References!$D$7</f>
        <v>4.333333333333333</v>
      </c>
      <c r="G21" s="70">
        <f>E21*F21*12</f>
        <v>15703.999999999998</v>
      </c>
      <c r="H21" s="38">
        <v>29</v>
      </c>
      <c r="I21" s="17">
        <f t="shared" si="6"/>
        <v>455415.99999999994</v>
      </c>
      <c r="J21" s="24">
        <f t="shared" ref="J21:J38" si="14">$E$74*I21</f>
        <v>313617.29885231896</v>
      </c>
      <c r="K21" s="60">
        <f>References!$C$17*J21</f>
        <v>784.04324713079814</v>
      </c>
      <c r="L21" s="68">
        <f>K21/References!$F$18</f>
        <v>800.94314754397601</v>
      </c>
      <c r="M21" s="68">
        <f t="shared" si="7"/>
        <v>0.22101080230242165</v>
      </c>
      <c r="N21" s="59">
        <v>8.75</v>
      </c>
      <c r="O21" s="68">
        <f>MROUND(N21+M21,References!$E$28)</f>
        <v>8.9700000000000006</v>
      </c>
      <c r="P21" s="60">
        <f>+O21</f>
        <v>8.9700000000000006</v>
      </c>
      <c r="Q21" s="91">
        <f t="shared" ref="Q21:Q26" si="15">E21*N21*12</f>
        <v>31710</v>
      </c>
      <c r="R21" s="91">
        <f t="shared" ref="R21:R26" si="16">E21*P21*12</f>
        <v>32507.279999999999</v>
      </c>
      <c r="S21" s="91">
        <f t="shared" si="9"/>
        <v>797.27999999999884</v>
      </c>
      <c r="T21" s="91">
        <f>E21*O21*12</f>
        <v>32507.279999999999</v>
      </c>
      <c r="U21" s="109">
        <f t="shared" ref="U21:U38" si="17">T21-Q21</f>
        <v>797.27999999999884</v>
      </c>
    </row>
    <row r="22" spans="1:21" s="27" customFormat="1">
      <c r="A22" s="141"/>
      <c r="B22" s="121">
        <v>245</v>
      </c>
      <c r="C22" s="34"/>
      <c r="D22" s="21" t="s">
        <v>22</v>
      </c>
      <c r="E22" s="23">
        <v>0</v>
      </c>
      <c r="F22" s="18">
        <f>References!$D$7</f>
        <v>4.333333333333333</v>
      </c>
      <c r="G22" s="71">
        <f t="shared" si="5"/>
        <v>0</v>
      </c>
      <c r="H22" s="17">
        <f>29*2</f>
        <v>58</v>
      </c>
      <c r="I22" s="17">
        <f t="shared" si="6"/>
        <v>0</v>
      </c>
      <c r="J22" s="24">
        <f t="shared" si="14"/>
        <v>0</v>
      </c>
      <c r="K22" s="60">
        <f>References!$C$17*J22</f>
        <v>0</v>
      </c>
      <c r="L22" s="68">
        <f>K22/References!$F$18</f>
        <v>0</v>
      </c>
      <c r="M22" s="68" t="e">
        <f t="shared" si="7"/>
        <v>#DIV/0!</v>
      </c>
      <c r="N22" s="60">
        <v>47.89</v>
      </c>
      <c r="O22" s="68" t="e">
        <f>MROUND(N22+M22,References!$E$28)</f>
        <v>#DIV/0!</v>
      </c>
      <c r="P22" s="60"/>
      <c r="Q22" s="62">
        <f t="shared" si="15"/>
        <v>0</v>
      </c>
      <c r="R22" s="62">
        <f t="shared" si="16"/>
        <v>0</v>
      </c>
      <c r="S22" s="62">
        <f t="shared" si="9"/>
        <v>0</v>
      </c>
      <c r="T22" s="62"/>
      <c r="U22" s="109">
        <f t="shared" si="17"/>
        <v>0</v>
      </c>
    </row>
    <row r="23" spans="1:21" s="27" customFormat="1">
      <c r="A23" s="141"/>
      <c r="B23" s="121">
        <v>245</v>
      </c>
      <c r="C23" s="34"/>
      <c r="D23" s="21" t="s">
        <v>13</v>
      </c>
      <c r="E23" s="23">
        <v>0</v>
      </c>
      <c r="F23" s="18">
        <f>References!$D$7</f>
        <v>4.333333333333333</v>
      </c>
      <c r="G23" s="71">
        <f t="shared" si="5"/>
        <v>0</v>
      </c>
      <c r="H23" s="17">
        <f>29*3</f>
        <v>87</v>
      </c>
      <c r="I23" s="17">
        <f t="shared" si="6"/>
        <v>0</v>
      </c>
      <c r="J23" s="24">
        <f t="shared" si="14"/>
        <v>0</v>
      </c>
      <c r="K23" s="60">
        <f>References!$C$17*J23</f>
        <v>0</v>
      </c>
      <c r="L23" s="68">
        <f>K23/References!$F$18</f>
        <v>0</v>
      </c>
      <c r="M23" s="68" t="e">
        <f t="shared" si="7"/>
        <v>#DIV/0!</v>
      </c>
      <c r="N23" s="60">
        <v>71.83</v>
      </c>
      <c r="O23" s="68" t="e">
        <f>MROUND(N23+M23,References!$E$28)</f>
        <v>#DIV/0!</v>
      </c>
      <c r="P23" s="60"/>
      <c r="Q23" s="62">
        <f t="shared" si="15"/>
        <v>0</v>
      </c>
      <c r="R23" s="62">
        <f t="shared" si="16"/>
        <v>0</v>
      </c>
      <c r="S23" s="62">
        <f t="shared" si="9"/>
        <v>0</v>
      </c>
      <c r="T23" s="62"/>
      <c r="U23" s="109">
        <f t="shared" si="17"/>
        <v>0</v>
      </c>
    </row>
    <row r="24" spans="1:21" s="27" customFormat="1">
      <c r="A24" s="141"/>
      <c r="B24" s="121">
        <v>245</v>
      </c>
      <c r="C24" s="34"/>
      <c r="D24" s="21" t="s">
        <v>16</v>
      </c>
      <c r="E24" s="23"/>
      <c r="F24" s="18">
        <f>References!$D$8</f>
        <v>2.1666666666666665</v>
      </c>
      <c r="G24" s="71">
        <f t="shared" si="5"/>
        <v>0</v>
      </c>
      <c r="H24" s="17">
        <v>29</v>
      </c>
      <c r="I24" s="17">
        <f t="shared" si="6"/>
        <v>0</v>
      </c>
      <c r="J24" s="24">
        <f t="shared" si="14"/>
        <v>0</v>
      </c>
      <c r="K24" s="60">
        <f>References!$C$17*J24</f>
        <v>0</v>
      </c>
      <c r="L24" s="68">
        <f>K24/References!$F$18</f>
        <v>0</v>
      </c>
      <c r="M24" s="68" t="e">
        <f t="shared" si="7"/>
        <v>#DIV/0!</v>
      </c>
      <c r="N24" s="60">
        <v>11.98</v>
      </c>
      <c r="O24" s="68" t="e">
        <f>MROUND(N24+M24,References!$E$28)</f>
        <v>#DIV/0!</v>
      </c>
      <c r="P24" s="60"/>
      <c r="Q24" s="62">
        <f t="shared" si="15"/>
        <v>0</v>
      </c>
      <c r="R24" s="62">
        <f t="shared" si="16"/>
        <v>0</v>
      </c>
      <c r="S24" s="62">
        <f t="shared" si="9"/>
        <v>0</v>
      </c>
      <c r="T24" s="62"/>
      <c r="U24" s="109">
        <f t="shared" si="17"/>
        <v>0</v>
      </c>
    </row>
    <row r="25" spans="1:21" s="27" customFormat="1">
      <c r="A25" s="141"/>
      <c r="B25" s="121">
        <v>245</v>
      </c>
      <c r="C25" s="34"/>
      <c r="D25" s="21" t="s">
        <v>17</v>
      </c>
      <c r="E25" s="23"/>
      <c r="F25" s="18">
        <f>References!$D$8</f>
        <v>2.1666666666666665</v>
      </c>
      <c r="G25" s="71">
        <f t="shared" si="5"/>
        <v>0</v>
      </c>
      <c r="H25" s="17">
        <f>29*2</f>
        <v>58</v>
      </c>
      <c r="I25" s="17">
        <f t="shared" si="6"/>
        <v>0</v>
      </c>
      <c r="J25" s="24">
        <f t="shared" si="14"/>
        <v>0</v>
      </c>
      <c r="K25" s="60">
        <f>References!$C$17*J25</f>
        <v>0</v>
      </c>
      <c r="L25" s="68">
        <f>K25/References!$F$18</f>
        <v>0</v>
      </c>
      <c r="M25" s="68" t="e">
        <f t="shared" si="7"/>
        <v>#DIV/0!</v>
      </c>
      <c r="N25" s="60">
        <v>24</v>
      </c>
      <c r="O25" s="68" t="e">
        <f>MROUND(N25+M25,References!$E$28)</f>
        <v>#DIV/0!</v>
      </c>
      <c r="P25" s="60"/>
      <c r="Q25" s="62">
        <f t="shared" si="15"/>
        <v>0</v>
      </c>
      <c r="R25" s="62">
        <f t="shared" si="16"/>
        <v>0</v>
      </c>
      <c r="S25" s="62">
        <f t="shared" si="9"/>
        <v>0</v>
      </c>
      <c r="T25" s="62"/>
      <c r="U25" s="109">
        <f t="shared" si="17"/>
        <v>0</v>
      </c>
    </row>
    <row r="26" spans="1:21" s="27" customFormat="1">
      <c r="A26" s="141"/>
      <c r="B26" s="121">
        <v>245</v>
      </c>
      <c r="C26" s="34">
        <v>32</v>
      </c>
      <c r="D26" s="21" t="s">
        <v>151</v>
      </c>
      <c r="E26" s="23">
        <v>7</v>
      </c>
      <c r="F26" s="18">
        <v>4.33</v>
      </c>
      <c r="G26" s="71">
        <f t="shared" si="5"/>
        <v>363.72</v>
      </c>
      <c r="H26" s="17">
        <v>34</v>
      </c>
      <c r="I26" s="17">
        <f t="shared" si="6"/>
        <v>12366.480000000001</v>
      </c>
      <c r="J26" s="24">
        <f t="shared" si="14"/>
        <v>8516.0425938289973</v>
      </c>
      <c r="K26" s="60">
        <f>References!$C$17*J26</f>
        <v>21.290106484572512</v>
      </c>
      <c r="L26" s="68">
        <f>K26/References!$F$18</f>
        <v>21.749010608409961</v>
      </c>
      <c r="M26" s="68">
        <f t="shared" si="7"/>
        <v>0.25891679295726144</v>
      </c>
      <c r="N26" s="60">
        <v>8.57</v>
      </c>
      <c r="O26" s="68">
        <f>MROUND(N26+M26,References!$E$28)</f>
        <v>8.83</v>
      </c>
      <c r="P26" s="60">
        <f>+O26</f>
        <v>8.83</v>
      </c>
      <c r="Q26" s="62">
        <f t="shared" si="15"/>
        <v>719.88</v>
      </c>
      <c r="R26" s="62">
        <f t="shared" si="16"/>
        <v>741.72</v>
      </c>
      <c r="S26" s="62">
        <f t="shared" si="9"/>
        <v>21.840000000000032</v>
      </c>
      <c r="T26" s="62">
        <f>E26*O26*12</f>
        <v>741.72</v>
      </c>
      <c r="U26" s="109">
        <f t="shared" ref="U26" si="18">T26-Q26</f>
        <v>21.840000000000032</v>
      </c>
    </row>
    <row r="27" spans="1:21" s="27" customFormat="1">
      <c r="A27" s="141"/>
      <c r="B27" s="121">
        <v>245</v>
      </c>
      <c r="C27" s="34">
        <v>36</v>
      </c>
      <c r="D27" s="21" t="s">
        <v>155</v>
      </c>
      <c r="E27" s="23">
        <v>1E-3</v>
      </c>
      <c r="F27" s="18">
        <v>4.33</v>
      </c>
      <c r="G27" s="71">
        <f t="shared" ref="G27" si="19">E27*F27*12</f>
        <v>5.1960000000000006E-2</v>
      </c>
      <c r="H27" s="17">
        <v>47</v>
      </c>
      <c r="I27" s="17">
        <f t="shared" ref="I27" si="20">G27*H27</f>
        <v>2.4421200000000001</v>
      </c>
      <c r="J27" s="24">
        <f t="shared" si="14"/>
        <v>1.6817395038233731</v>
      </c>
      <c r="K27" s="60">
        <f>References!$C$17*J27</f>
        <v>4.2043487595584362E-3</v>
      </c>
      <c r="L27" s="68">
        <f>K27/References!$F$18</f>
        <v>4.2949726831733948E-3</v>
      </c>
      <c r="M27" s="68">
        <f t="shared" ref="M27" si="21">L27/G27*F27</f>
        <v>0.35791439026444949</v>
      </c>
      <c r="N27" s="60">
        <v>17.32</v>
      </c>
      <c r="O27" s="68">
        <f>MROUND(N27+M27,References!$E$28)</f>
        <v>17.68</v>
      </c>
      <c r="P27" s="60">
        <f>+O27</f>
        <v>17.68</v>
      </c>
      <c r="Q27" s="62">
        <f t="shared" ref="Q27" si="22">E27*N27*12</f>
        <v>0.20784000000000002</v>
      </c>
      <c r="R27" s="62">
        <f t="shared" ref="R27" si="23">E27*P27*12</f>
        <v>0.21216000000000002</v>
      </c>
      <c r="S27" s="62">
        <f t="shared" ref="S27" si="24">R27-Q27</f>
        <v>4.3199999999999905E-3</v>
      </c>
      <c r="T27" s="62">
        <f>E27*O27*12</f>
        <v>0.21216000000000002</v>
      </c>
      <c r="U27" s="109">
        <f t="shared" ref="U27" si="25">T27-Q27</f>
        <v>4.3199999999999905E-3</v>
      </c>
    </row>
    <row r="28" spans="1:21" s="27" customFormat="1">
      <c r="A28" s="141"/>
      <c r="B28" s="121" t="s">
        <v>169</v>
      </c>
      <c r="C28" s="34" t="s">
        <v>168</v>
      </c>
      <c r="D28" s="21" t="s">
        <v>152</v>
      </c>
      <c r="E28" s="23">
        <f>406+129</f>
        <v>535</v>
      </c>
      <c r="F28" s="18">
        <f>References!$D$7</f>
        <v>4.333333333333333</v>
      </c>
      <c r="G28" s="71">
        <f t="shared" si="5"/>
        <v>27819.999999999996</v>
      </c>
      <c r="H28" s="17">
        <v>324</v>
      </c>
      <c r="I28" s="17">
        <f t="shared" si="6"/>
        <v>9013679.9999999981</v>
      </c>
      <c r="J28" s="24">
        <f t="shared" si="14"/>
        <v>6207173.1654556934</v>
      </c>
      <c r="K28" s="60">
        <f>References!$C$17*J28</f>
        <v>15517.932913639248</v>
      </c>
      <c r="L28" s="68">
        <f>K28/References!$F$18</f>
        <v>15852.41895355935</v>
      </c>
      <c r="M28" s="68">
        <f>L28/G28</f>
        <v>0.56982095447733117</v>
      </c>
      <c r="N28" s="60">
        <v>20.49</v>
      </c>
      <c r="O28" s="68">
        <f>MROUND(N28+M28,References!$E$28)</f>
        <v>21.06</v>
      </c>
      <c r="P28" s="60">
        <f t="shared" ref="P28:P34" si="26">+O28</f>
        <v>21.06</v>
      </c>
      <c r="Q28" s="62">
        <f>G28*N28</f>
        <v>570031.79999999993</v>
      </c>
      <c r="R28" s="62">
        <f>G28*P28</f>
        <v>585889.19999999984</v>
      </c>
      <c r="S28" s="62">
        <f t="shared" si="9"/>
        <v>15857.399999999907</v>
      </c>
      <c r="T28" s="62">
        <f>G28*O28</f>
        <v>585889.19999999984</v>
      </c>
      <c r="U28" s="109">
        <f t="shared" si="17"/>
        <v>15857.399999999907</v>
      </c>
    </row>
    <row r="29" spans="1:21" s="27" customFormat="1">
      <c r="A29" s="141"/>
      <c r="B29" s="121">
        <v>245</v>
      </c>
      <c r="C29" s="34">
        <v>35</v>
      </c>
      <c r="D29" s="21" t="s">
        <v>156</v>
      </c>
      <c r="E29" s="23">
        <v>1E-3</v>
      </c>
      <c r="F29" s="18">
        <f>References!$D$7</f>
        <v>4.333333333333333</v>
      </c>
      <c r="G29" s="71">
        <f t="shared" ref="G29:G31" si="27">E29*F29*12</f>
        <v>5.1999999999999998E-2</v>
      </c>
      <c r="H29" s="17">
        <v>324</v>
      </c>
      <c r="I29" s="17">
        <f t="shared" ref="I29:I31" si="28">G29*H29</f>
        <v>16.847999999999999</v>
      </c>
      <c r="J29" s="24">
        <f t="shared" si="14"/>
        <v>11.602192832627466</v>
      </c>
      <c r="K29" s="60">
        <f>References!$C$17*J29</f>
        <v>2.9005482081568692E-2</v>
      </c>
      <c r="L29" s="68">
        <f>K29/References!$F$18</f>
        <v>2.9630689632821221E-2</v>
      </c>
      <c r="M29" s="68">
        <f>L29/G29</f>
        <v>0.56982095447733117</v>
      </c>
      <c r="N29" s="60">
        <v>23.66</v>
      </c>
      <c r="O29" s="68">
        <f>MROUND(N29+M29,References!$E$28)</f>
        <v>24.23</v>
      </c>
      <c r="P29" s="60">
        <f t="shared" ref="P29" si="29">+O29</f>
        <v>24.23</v>
      </c>
      <c r="Q29" s="62">
        <f>G29*N29</f>
        <v>1.2303199999999999</v>
      </c>
      <c r="R29" s="62">
        <f>G29*P29</f>
        <v>1.25996</v>
      </c>
      <c r="S29" s="62">
        <f t="shared" ref="S29" si="30">R29-Q29</f>
        <v>2.9640000000000111E-2</v>
      </c>
      <c r="T29" s="62">
        <f>G29*O29</f>
        <v>1.25996</v>
      </c>
      <c r="U29" s="109">
        <f t="shared" ref="U29" si="31">T29-Q29</f>
        <v>2.9640000000000111E-2</v>
      </c>
    </row>
    <row r="30" spans="1:21" s="27" customFormat="1">
      <c r="A30" s="141"/>
      <c r="B30" s="121">
        <v>105</v>
      </c>
      <c r="C30" s="34">
        <v>26</v>
      </c>
      <c r="D30" s="21" t="s">
        <v>157</v>
      </c>
      <c r="E30" s="23">
        <v>1E-3</v>
      </c>
      <c r="F30" s="18">
        <v>4.33</v>
      </c>
      <c r="G30" s="71">
        <f t="shared" si="27"/>
        <v>5.1960000000000006E-2</v>
      </c>
      <c r="H30" s="17">
        <v>324</v>
      </c>
      <c r="I30" s="17">
        <f t="shared" si="28"/>
        <v>16.835040000000003</v>
      </c>
      <c r="J30" s="24">
        <f t="shared" si="14"/>
        <v>11.593268068910064</v>
      </c>
      <c r="K30" s="60">
        <f>References!$C$17*J30</f>
        <v>2.8983170172275186E-2</v>
      </c>
      <c r="L30" s="68">
        <f>K30/References!$F$18</f>
        <v>2.9607896794642135E-2</v>
      </c>
      <c r="M30" s="68">
        <f>L30/G30</f>
        <v>0.56982095447733128</v>
      </c>
      <c r="N30" s="60">
        <v>87.18</v>
      </c>
      <c r="O30" s="68">
        <f>MROUND(N30+M30,References!$E$28)</f>
        <v>87.75</v>
      </c>
      <c r="P30" s="60">
        <f t="shared" ref="P30" si="32">+O30</f>
        <v>87.75</v>
      </c>
      <c r="Q30" s="62">
        <f>G30*N30</f>
        <v>4.5298728000000006</v>
      </c>
      <c r="R30" s="62">
        <f>G30*P30</f>
        <v>4.5594900000000003</v>
      </c>
      <c r="S30" s="62">
        <f t="shared" ref="S30" si="33">R30-Q30</f>
        <v>2.9617199999999677E-2</v>
      </c>
      <c r="T30" s="62">
        <f>G30*O30</f>
        <v>4.5594900000000003</v>
      </c>
      <c r="U30" s="109">
        <f t="shared" ref="U30" si="34">T30-Q30</f>
        <v>2.9617199999999677E-2</v>
      </c>
    </row>
    <row r="31" spans="1:21" s="27" customFormat="1">
      <c r="A31" s="141"/>
      <c r="B31" s="121">
        <v>255</v>
      </c>
      <c r="C31" s="34">
        <v>37</v>
      </c>
      <c r="D31" s="21" t="s">
        <v>158</v>
      </c>
      <c r="E31" s="23">
        <v>1E-3</v>
      </c>
      <c r="F31" s="18">
        <v>4.33</v>
      </c>
      <c r="G31" s="71">
        <f t="shared" si="27"/>
        <v>5.1960000000000006E-2</v>
      </c>
      <c r="H31" s="17">
        <v>324</v>
      </c>
      <c r="I31" s="17">
        <f t="shared" si="28"/>
        <v>16.835040000000003</v>
      </c>
      <c r="J31" s="24">
        <f t="shared" si="14"/>
        <v>11.593268068910064</v>
      </c>
      <c r="K31" s="60">
        <f>References!$C$17*J31</f>
        <v>2.8983170172275186E-2</v>
      </c>
      <c r="L31" s="68">
        <f>K31/References!$F$18</f>
        <v>2.9607896794642135E-2</v>
      </c>
      <c r="M31" s="68">
        <f>L31/G31</f>
        <v>0.56982095447733128</v>
      </c>
      <c r="N31" s="60">
        <v>77.08</v>
      </c>
      <c r="O31" s="68">
        <f>MROUND(N31+M31,References!$E$28)</f>
        <v>77.650000000000006</v>
      </c>
      <c r="P31" s="60">
        <f t="shared" ref="P31" si="35">+O31</f>
        <v>77.650000000000006</v>
      </c>
      <c r="Q31" s="62">
        <f>G31*N31</f>
        <v>4.0050768000000003</v>
      </c>
      <c r="R31" s="62">
        <f>G31*P31</f>
        <v>4.0346940000000009</v>
      </c>
      <c r="S31" s="62">
        <f t="shared" ref="S31" si="36">R31-Q31</f>
        <v>2.9617200000000565E-2</v>
      </c>
      <c r="T31" s="62">
        <f>G31*O31</f>
        <v>4.0346940000000009</v>
      </c>
      <c r="U31" s="109">
        <f t="shared" ref="U31" si="37">T31-Q31</f>
        <v>2.9617200000000565E-2</v>
      </c>
    </row>
    <row r="32" spans="1:21" s="27" customFormat="1">
      <c r="A32" s="141"/>
      <c r="B32" s="121">
        <v>240</v>
      </c>
      <c r="C32" s="34">
        <v>35</v>
      </c>
      <c r="D32" s="21" t="s">
        <v>26</v>
      </c>
      <c r="E32" s="23">
        <v>0</v>
      </c>
      <c r="F32" s="18">
        <f>References!E7</f>
        <v>8.6666666666666661</v>
      </c>
      <c r="G32" s="71">
        <f>E32*F32*12</f>
        <v>0</v>
      </c>
      <c r="H32" s="17">
        <v>250</v>
      </c>
      <c r="I32" s="17">
        <f t="shared" si="6"/>
        <v>0</v>
      </c>
      <c r="J32" s="24">
        <f t="shared" si="14"/>
        <v>0</v>
      </c>
      <c r="K32" s="60">
        <f>References!$C$17*J32</f>
        <v>0</v>
      </c>
      <c r="L32" s="68">
        <f>K32/References!$F$18</f>
        <v>0</v>
      </c>
      <c r="M32" s="68" t="e">
        <f t="shared" ref="M32:M38" si="38">L32/G32</f>
        <v>#DIV/0!</v>
      </c>
      <c r="N32" s="60">
        <f t="shared" ref="N32:N37" si="39">$N$38</f>
        <v>32.72</v>
      </c>
      <c r="O32" s="68" t="e">
        <f>MROUND(N32+M32,References!$E$28)</f>
        <v>#DIV/0!</v>
      </c>
      <c r="P32" s="60"/>
      <c r="Q32" s="62">
        <f t="shared" ref="Q32:Q38" si="40">G32*N32</f>
        <v>0</v>
      </c>
      <c r="R32" s="62">
        <f t="shared" ref="R32:R38" si="41">G32*P32</f>
        <v>0</v>
      </c>
      <c r="S32" s="62">
        <f t="shared" si="9"/>
        <v>0</v>
      </c>
      <c r="T32" s="62"/>
      <c r="U32" s="109">
        <f t="shared" si="17"/>
        <v>0</v>
      </c>
    </row>
    <row r="33" spans="1:116" s="130" customFormat="1">
      <c r="A33" s="141"/>
      <c r="B33" s="121">
        <v>240</v>
      </c>
      <c r="C33" s="34">
        <v>35</v>
      </c>
      <c r="D33" s="21" t="s">
        <v>27</v>
      </c>
      <c r="E33" s="23">
        <v>0</v>
      </c>
      <c r="F33" s="18">
        <f>References!G7</f>
        <v>17.333333333333332</v>
      </c>
      <c r="G33" s="71">
        <f>E33*F33*12</f>
        <v>0</v>
      </c>
      <c r="H33" s="17">
        <v>250</v>
      </c>
      <c r="I33" s="17">
        <f t="shared" si="6"/>
        <v>0</v>
      </c>
      <c r="J33" s="24">
        <f t="shared" si="14"/>
        <v>0</v>
      </c>
      <c r="K33" s="60">
        <f>References!$C$17*J33</f>
        <v>0</v>
      </c>
      <c r="L33" s="68">
        <f>K33/References!$F$18</f>
        <v>0</v>
      </c>
      <c r="M33" s="68" t="e">
        <f t="shared" si="38"/>
        <v>#DIV/0!</v>
      </c>
      <c r="N33" s="60">
        <f t="shared" si="39"/>
        <v>32.72</v>
      </c>
      <c r="O33" s="68" t="e">
        <f>MROUND(N33+M33,References!$E$28)</f>
        <v>#DIV/0!</v>
      </c>
      <c r="P33" s="60"/>
      <c r="Q33" s="62">
        <f t="shared" si="40"/>
        <v>0</v>
      </c>
      <c r="R33" s="62">
        <f t="shared" si="41"/>
        <v>0</v>
      </c>
      <c r="S33" s="62">
        <f t="shared" si="9"/>
        <v>0</v>
      </c>
      <c r="T33" s="62"/>
      <c r="U33" s="109">
        <f t="shared" si="17"/>
        <v>0</v>
      </c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</row>
    <row r="34" spans="1:116" s="27" customFormat="1">
      <c r="A34" s="141"/>
      <c r="B34" s="121">
        <v>240</v>
      </c>
      <c r="C34" s="34">
        <v>35</v>
      </c>
      <c r="D34" s="21" t="s">
        <v>153</v>
      </c>
      <c r="E34" s="23">
        <v>31</v>
      </c>
      <c r="F34" s="18">
        <f>References!$D$8</f>
        <v>2.1666666666666665</v>
      </c>
      <c r="G34" s="71">
        <f t="shared" si="5"/>
        <v>805.99999999999989</v>
      </c>
      <c r="H34" s="17">
        <v>324</v>
      </c>
      <c r="I34" s="17">
        <f t="shared" si="6"/>
        <v>261143.99999999997</v>
      </c>
      <c r="J34" s="24">
        <f t="shared" si="14"/>
        <v>179833.98890572571</v>
      </c>
      <c r="K34" s="60">
        <f>References!$C$17*J34</f>
        <v>449.58497226431467</v>
      </c>
      <c r="L34" s="68">
        <f>K34/References!$F$18</f>
        <v>459.27568930872883</v>
      </c>
      <c r="M34" s="68">
        <f t="shared" si="38"/>
        <v>0.56982095447733117</v>
      </c>
      <c r="N34" s="60">
        <v>43.37</v>
      </c>
      <c r="O34" s="68">
        <f>MROUND(N34+M34,References!$E$28)</f>
        <v>43.94</v>
      </c>
      <c r="P34" s="60">
        <f t="shared" si="26"/>
        <v>43.94</v>
      </c>
      <c r="Q34" s="62">
        <f t="shared" si="40"/>
        <v>34956.219999999994</v>
      </c>
      <c r="R34" s="62">
        <f t="shared" si="41"/>
        <v>35415.639999999992</v>
      </c>
      <c r="S34" s="62">
        <f t="shared" si="9"/>
        <v>459.41999999999825</v>
      </c>
      <c r="T34" s="62">
        <f t="shared" ref="T34" si="42">G34*O34</f>
        <v>35415.639999999992</v>
      </c>
      <c r="U34" s="109">
        <f t="shared" si="17"/>
        <v>459.41999999999825</v>
      </c>
    </row>
    <row r="35" spans="1:116" s="27" customFormat="1">
      <c r="A35" s="141"/>
      <c r="B35" s="121">
        <v>240</v>
      </c>
      <c r="C35" s="34">
        <v>32</v>
      </c>
      <c r="D35" s="21" t="s">
        <v>28</v>
      </c>
      <c r="E35" s="23">
        <v>0</v>
      </c>
      <c r="F35" s="17">
        <f>References!$D$6</f>
        <v>8.6666666666666661</v>
      </c>
      <c r="G35" s="71">
        <f t="shared" si="5"/>
        <v>0</v>
      </c>
      <c r="H35" s="17">
        <v>250</v>
      </c>
      <c r="I35" s="17">
        <f t="shared" si="6"/>
        <v>0</v>
      </c>
      <c r="J35" s="24">
        <f t="shared" si="14"/>
        <v>0</v>
      </c>
      <c r="K35" s="60">
        <f>References!$C$17*J35</f>
        <v>0</v>
      </c>
      <c r="L35" s="68">
        <f>K35/References!$F$18</f>
        <v>0</v>
      </c>
      <c r="M35" s="68" t="e">
        <f t="shared" si="38"/>
        <v>#DIV/0!</v>
      </c>
      <c r="N35" s="60">
        <f t="shared" si="39"/>
        <v>32.72</v>
      </c>
      <c r="O35" s="68" t="e">
        <f>MROUND(N35+M35,References!$E$28)</f>
        <v>#DIV/0!</v>
      </c>
      <c r="P35" s="60"/>
      <c r="Q35" s="62">
        <f t="shared" si="40"/>
        <v>0</v>
      </c>
      <c r="R35" s="62">
        <f t="shared" si="41"/>
        <v>0</v>
      </c>
      <c r="S35" s="62">
        <f t="shared" si="9"/>
        <v>0</v>
      </c>
      <c r="T35" s="62"/>
      <c r="U35" s="109">
        <f t="shared" si="17"/>
        <v>0</v>
      </c>
    </row>
    <row r="36" spans="1:116" s="27" customFormat="1">
      <c r="A36" s="141"/>
      <c r="B36" s="121">
        <v>240</v>
      </c>
      <c r="C36" s="34">
        <v>32</v>
      </c>
      <c r="D36" s="21" t="s">
        <v>29</v>
      </c>
      <c r="E36" s="23">
        <v>0</v>
      </c>
      <c r="F36" s="17">
        <f>References!E6</f>
        <v>17.333333333333332</v>
      </c>
      <c r="G36" s="71">
        <f>E36*F36*12</f>
        <v>0</v>
      </c>
      <c r="H36" s="17">
        <v>250</v>
      </c>
      <c r="I36" s="17">
        <f t="shared" si="6"/>
        <v>0</v>
      </c>
      <c r="J36" s="24">
        <f t="shared" si="14"/>
        <v>0</v>
      </c>
      <c r="K36" s="60">
        <f>References!$C$17*J36</f>
        <v>0</v>
      </c>
      <c r="L36" s="68">
        <f>K36/References!$F$18</f>
        <v>0</v>
      </c>
      <c r="M36" s="68" t="e">
        <f t="shared" si="38"/>
        <v>#DIV/0!</v>
      </c>
      <c r="N36" s="60">
        <f t="shared" si="39"/>
        <v>32.72</v>
      </c>
      <c r="O36" s="68" t="e">
        <f>MROUND(N36+M36,References!$E$28)</f>
        <v>#DIV/0!</v>
      </c>
      <c r="P36" s="60"/>
      <c r="Q36" s="62">
        <f t="shared" si="40"/>
        <v>0</v>
      </c>
      <c r="R36" s="62">
        <f t="shared" si="41"/>
        <v>0</v>
      </c>
      <c r="S36" s="62">
        <f t="shared" si="9"/>
        <v>0</v>
      </c>
      <c r="T36" s="62"/>
      <c r="U36" s="109">
        <f t="shared" si="17"/>
        <v>0</v>
      </c>
    </row>
    <row r="37" spans="1:116" s="27" customFormat="1">
      <c r="A37" s="141"/>
      <c r="B37" s="121">
        <v>240</v>
      </c>
      <c r="C37" s="34">
        <v>32</v>
      </c>
      <c r="D37" s="21" t="s">
        <v>30</v>
      </c>
      <c r="E37" s="23">
        <v>0</v>
      </c>
      <c r="F37" s="17">
        <f>References!F6</f>
        <v>26</v>
      </c>
      <c r="G37" s="71">
        <f>E37*F37*12</f>
        <v>0</v>
      </c>
      <c r="H37" s="17">
        <v>250</v>
      </c>
      <c r="I37" s="17">
        <f t="shared" si="6"/>
        <v>0</v>
      </c>
      <c r="J37" s="24">
        <f t="shared" si="14"/>
        <v>0</v>
      </c>
      <c r="K37" s="60">
        <f>References!$C$17*J37</f>
        <v>0</v>
      </c>
      <c r="L37" s="68">
        <f>K37/References!$F$18</f>
        <v>0</v>
      </c>
      <c r="M37" s="68" t="e">
        <f t="shared" si="38"/>
        <v>#DIV/0!</v>
      </c>
      <c r="N37" s="60">
        <f t="shared" si="39"/>
        <v>32.72</v>
      </c>
      <c r="O37" s="68" t="e">
        <f>MROUND(N37+M37,References!$E$28)</f>
        <v>#DIV/0!</v>
      </c>
      <c r="P37" s="60"/>
      <c r="Q37" s="62">
        <f t="shared" si="40"/>
        <v>0</v>
      </c>
      <c r="R37" s="62">
        <f t="shared" si="41"/>
        <v>0</v>
      </c>
      <c r="S37" s="62">
        <f t="shared" si="9"/>
        <v>0</v>
      </c>
      <c r="T37" s="62"/>
      <c r="U37" s="109">
        <f t="shared" si="17"/>
        <v>0</v>
      </c>
    </row>
    <row r="38" spans="1:116" s="27" customFormat="1">
      <c r="A38" s="142"/>
      <c r="B38" s="122">
        <v>240</v>
      </c>
      <c r="C38" s="41">
        <v>32</v>
      </c>
      <c r="D38" s="42" t="s">
        <v>31</v>
      </c>
      <c r="E38" s="28">
        <v>0</v>
      </c>
      <c r="F38" s="29">
        <f>References!$D$9</f>
        <v>1</v>
      </c>
      <c r="G38" s="72">
        <f t="shared" si="5"/>
        <v>0</v>
      </c>
      <c r="H38" s="30">
        <v>250</v>
      </c>
      <c r="I38" s="30">
        <f t="shared" si="6"/>
        <v>0</v>
      </c>
      <c r="J38" s="31">
        <f t="shared" si="14"/>
        <v>0</v>
      </c>
      <c r="K38" s="61">
        <f>References!$C$17*J38</f>
        <v>0</v>
      </c>
      <c r="L38" s="69">
        <f>K38/References!$F$18</f>
        <v>0</v>
      </c>
      <c r="M38" s="69" t="e">
        <f t="shared" si="38"/>
        <v>#DIV/0!</v>
      </c>
      <c r="N38" s="61">
        <v>32.72</v>
      </c>
      <c r="O38" s="69" t="e">
        <f>MROUND(N38+M38,References!$E$28)</f>
        <v>#DIV/0!</v>
      </c>
      <c r="P38" s="61"/>
      <c r="Q38" s="63">
        <f t="shared" si="40"/>
        <v>0</v>
      </c>
      <c r="R38" s="63">
        <f t="shared" si="41"/>
        <v>0</v>
      </c>
      <c r="S38" s="63">
        <f t="shared" si="9"/>
        <v>0</v>
      </c>
      <c r="T38" s="63"/>
      <c r="U38" s="114">
        <f t="shared" si="17"/>
        <v>0</v>
      </c>
    </row>
    <row r="39" spans="1:116" ht="24" customHeight="1">
      <c r="A39" s="81"/>
      <c r="B39" s="120"/>
      <c r="C39" s="79"/>
      <c r="D39" s="80" t="s">
        <v>54</v>
      </c>
      <c r="E39" s="65">
        <f>SUM(E21:E38)</f>
        <v>875.00399999999991</v>
      </c>
      <c r="F39" s="29"/>
      <c r="G39" s="73">
        <f>SUM(G21:G38)</f>
        <v>44693.927879999996</v>
      </c>
      <c r="H39" s="30"/>
      <c r="I39" s="65">
        <f>SUM(I21:I38)</f>
        <v>9742659.4401999954</v>
      </c>
      <c r="J39" s="65">
        <f>SUM(J21:J38)</f>
        <v>6709176.9662760412</v>
      </c>
      <c r="K39" s="29"/>
      <c r="L39" s="29"/>
      <c r="M39" s="29"/>
      <c r="N39" s="29"/>
      <c r="O39" s="29"/>
      <c r="P39" s="29"/>
      <c r="Q39" s="92">
        <f>SUM(Q21:Q38)</f>
        <v>637427.87310959992</v>
      </c>
      <c r="R39" s="92">
        <f>SUM(R21:R38)</f>
        <v>654563.90630399995</v>
      </c>
      <c r="S39" s="92">
        <f>SUM(S21:S38)</f>
        <v>17136.033194399908</v>
      </c>
      <c r="T39" s="92">
        <f>SUM(T21:T38)</f>
        <v>654563.90630399995</v>
      </c>
      <c r="U39" s="92">
        <f>SUM(U21:U38)</f>
        <v>17136.033194399908</v>
      </c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</row>
    <row r="40" spans="1:116" s="27" customFormat="1" ht="14.45" customHeight="1">
      <c r="A40" s="143" t="s">
        <v>23</v>
      </c>
      <c r="B40" s="81"/>
      <c r="C40" s="82"/>
      <c r="D40" s="83" t="s">
        <v>70</v>
      </c>
      <c r="E40" s="19"/>
      <c r="F40" s="19"/>
      <c r="G40" s="19"/>
      <c r="H40" s="7"/>
      <c r="I40" s="15"/>
      <c r="J40" s="6"/>
      <c r="K40" s="19"/>
      <c r="L40" s="19"/>
      <c r="M40" s="19"/>
      <c r="P40" s="19"/>
      <c r="Q40" s="66"/>
      <c r="R40" s="66"/>
      <c r="S40" s="66"/>
      <c r="T40" s="66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</row>
    <row r="41" spans="1:116">
      <c r="A41" s="141"/>
      <c r="B41" s="121">
        <v>100</v>
      </c>
      <c r="C41" s="34" t="s">
        <v>167</v>
      </c>
      <c r="D41" s="21" t="s">
        <v>44</v>
      </c>
      <c r="E41" s="23">
        <v>1036</v>
      </c>
      <c r="F41" s="18"/>
      <c r="G41" s="71">
        <f>+E41</f>
        <v>1036</v>
      </c>
      <c r="H41" s="17">
        <v>34</v>
      </c>
      <c r="I41" s="17">
        <f t="shared" ref="I41:I49" si="43">G41*H41</f>
        <v>35224</v>
      </c>
      <c r="J41" s="24">
        <f>$E$74*I41</f>
        <v>24256.626325763882</v>
      </c>
      <c r="K41" s="60">
        <f>References!$C$17*J41</f>
        <v>60.641565814409759</v>
      </c>
      <c r="L41" s="60">
        <f>K41/References!$F$18</f>
        <v>61.948683026263929</v>
      </c>
      <c r="M41" s="68">
        <f t="shared" ref="M41:M49" si="44">L41/G41</f>
        <v>5.9796026087127342E-2</v>
      </c>
      <c r="N41" s="60">
        <v>3.19</v>
      </c>
      <c r="O41" s="145">
        <f>MROUND(N41+M41,References!$E$28)</f>
        <v>3.25</v>
      </c>
      <c r="P41" s="60">
        <f>+O41</f>
        <v>3.25</v>
      </c>
      <c r="Q41" s="62">
        <f>N41*G41</f>
        <v>3304.84</v>
      </c>
      <c r="R41" s="62">
        <f>P41*G41</f>
        <v>3367</v>
      </c>
      <c r="S41" s="62">
        <f>R41-Q41</f>
        <v>62.159999999999854</v>
      </c>
      <c r="T41" s="93">
        <f>O41*G41</f>
        <v>3367</v>
      </c>
      <c r="U41" s="109">
        <f t="shared" ref="U41:U44" si="45">T41-Q41</f>
        <v>62.159999999999854</v>
      </c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</row>
    <row r="42" spans="1:116">
      <c r="A42" s="141"/>
      <c r="B42" s="121">
        <v>100</v>
      </c>
      <c r="C42" s="34">
        <v>22</v>
      </c>
      <c r="D42" s="21" t="s">
        <v>49</v>
      </c>
      <c r="E42" s="22">
        <v>0</v>
      </c>
      <c r="F42" s="33"/>
      <c r="G42" s="71"/>
      <c r="H42" s="32">
        <v>34</v>
      </c>
      <c r="I42" s="17">
        <f t="shared" si="43"/>
        <v>0</v>
      </c>
      <c r="J42" s="24">
        <f>$E$74*I42</f>
        <v>0</v>
      </c>
      <c r="K42" s="60">
        <f>References!$C$17*J42</f>
        <v>0</v>
      </c>
      <c r="L42" s="60">
        <f>K42/References!$F$18</f>
        <v>0</v>
      </c>
      <c r="M42" s="68" t="e">
        <f t="shared" si="44"/>
        <v>#DIV/0!</v>
      </c>
      <c r="N42" s="97">
        <v>9.39</v>
      </c>
      <c r="O42" s="68" t="e">
        <f>MROUND(N42+M42,References!$E$28)</f>
        <v>#DIV/0!</v>
      </c>
      <c r="P42" s="97"/>
      <c r="Q42" s="62">
        <f t="shared" ref="Q42:Q44" si="46">N42*G42</f>
        <v>0</v>
      </c>
      <c r="R42" s="62">
        <f t="shared" ref="R42:R44" si="47">P42*G42</f>
        <v>0</v>
      </c>
      <c r="S42" s="62">
        <f t="shared" ref="S42:S44" si="48">R42-Q42</f>
        <v>0</v>
      </c>
      <c r="T42" s="93"/>
      <c r="U42" s="109">
        <f t="shared" si="45"/>
        <v>0</v>
      </c>
    </row>
    <row r="43" spans="1:116">
      <c r="A43" s="141"/>
      <c r="B43" s="121">
        <v>100</v>
      </c>
      <c r="C43" s="34">
        <v>22</v>
      </c>
      <c r="D43" s="21" t="s">
        <v>32</v>
      </c>
      <c r="E43" s="22">
        <v>0</v>
      </c>
      <c r="F43" s="33"/>
      <c r="G43" s="71"/>
      <c r="H43" s="32">
        <v>250</v>
      </c>
      <c r="I43" s="17">
        <f t="shared" si="43"/>
        <v>0</v>
      </c>
      <c r="J43" s="24">
        <f>$E$74*I43</f>
        <v>0</v>
      </c>
      <c r="K43" s="60">
        <f>References!$C$17*J43</f>
        <v>0</v>
      </c>
      <c r="L43" s="60">
        <f>K43/References!$F$18</f>
        <v>0</v>
      </c>
      <c r="M43" s="68" t="e">
        <f t="shared" si="44"/>
        <v>#DIV/0!</v>
      </c>
      <c r="N43" s="97">
        <v>32.72</v>
      </c>
      <c r="O43" s="68" t="e">
        <f>MROUND(N43+M43,References!$E$28)</f>
        <v>#DIV/0!</v>
      </c>
      <c r="P43" s="97"/>
      <c r="Q43" s="62">
        <f t="shared" si="46"/>
        <v>0</v>
      </c>
      <c r="R43" s="62">
        <f t="shared" si="47"/>
        <v>0</v>
      </c>
      <c r="S43" s="62">
        <f t="shared" si="48"/>
        <v>0</v>
      </c>
      <c r="T43" s="93"/>
      <c r="U43" s="109">
        <f t="shared" si="45"/>
        <v>0</v>
      </c>
    </row>
    <row r="44" spans="1:116">
      <c r="A44" s="142"/>
      <c r="B44" s="122">
        <v>100</v>
      </c>
      <c r="C44" s="41">
        <v>22</v>
      </c>
      <c r="D44" s="42" t="s">
        <v>43</v>
      </c>
      <c r="E44" s="2">
        <v>0</v>
      </c>
      <c r="F44" s="74"/>
      <c r="G44" s="72"/>
      <c r="H44" s="75">
        <v>250</v>
      </c>
      <c r="I44" s="30">
        <f t="shared" si="43"/>
        <v>0</v>
      </c>
      <c r="J44" s="31">
        <f>$E$74*I44</f>
        <v>0</v>
      </c>
      <c r="K44" s="60">
        <f>References!$C$17*J44</f>
        <v>0</v>
      </c>
      <c r="L44" s="61">
        <f>K44/References!$F$18</f>
        <v>0</v>
      </c>
      <c r="M44" s="69" t="e">
        <f t="shared" si="44"/>
        <v>#DIV/0!</v>
      </c>
      <c r="N44" s="98">
        <v>38.06</v>
      </c>
      <c r="O44" s="68" t="e">
        <f>MROUND(N44+M44,References!$E$28)</f>
        <v>#DIV/0!</v>
      </c>
      <c r="P44" s="98"/>
      <c r="Q44" s="63">
        <f t="shared" si="46"/>
        <v>0</v>
      </c>
      <c r="R44" s="63">
        <f t="shared" si="47"/>
        <v>0</v>
      </c>
      <c r="S44" s="63">
        <f t="shared" si="48"/>
        <v>0</v>
      </c>
      <c r="T44" s="63"/>
      <c r="U44" s="109">
        <f t="shared" si="45"/>
        <v>0</v>
      </c>
    </row>
    <row r="45" spans="1:116" ht="14.45" customHeight="1">
      <c r="A45" s="143" t="s">
        <v>24</v>
      </c>
      <c r="B45" s="123"/>
      <c r="C45" s="34"/>
      <c r="D45" s="57" t="s">
        <v>54</v>
      </c>
      <c r="E45" s="76"/>
      <c r="F45" s="76"/>
      <c r="G45" s="77">
        <f>SUM(G41:G44)</f>
        <v>1036</v>
      </c>
      <c r="H45" s="77"/>
      <c r="I45" s="89">
        <f>SUM(I41:I44)</f>
        <v>35224</v>
      </c>
      <c r="J45" s="77">
        <f>SUM(J41:J44)</f>
        <v>24256.626325763882</v>
      </c>
      <c r="K45" s="78"/>
      <c r="L45" s="99"/>
      <c r="M45" s="99"/>
      <c r="N45" s="100"/>
      <c r="O45" s="99"/>
      <c r="P45" s="100"/>
      <c r="Q45" s="94">
        <f>SUM(Q41:Q44)</f>
        <v>3304.84</v>
      </c>
      <c r="R45" s="95">
        <f>SUM(R41:R44)</f>
        <v>3367</v>
      </c>
      <c r="S45" s="95">
        <f>SUM(S41:S44)</f>
        <v>62.159999999999854</v>
      </c>
      <c r="T45" s="95">
        <f>SUM(T41:T44)</f>
        <v>3367</v>
      </c>
      <c r="U45" s="115">
        <f>SUM(U41:U44)</f>
        <v>62.159999999999854</v>
      </c>
    </row>
    <row r="46" spans="1:116">
      <c r="A46" s="141"/>
      <c r="B46" s="121">
        <v>100</v>
      </c>
      <c r="C46" s="35">
        <v>22</v>
      </c>
      <c r="D46" s="36" t="s">
        <v>44</v>
      </c>
      <c r="E46" s="37">
        <v>0</v>
      </c>
      <c r="F46" s="40"/>
      <c r="G46" s="70"/>
      <c r="H46" s="38">
        <v>34</v>
      </c>
      <c r="I46" s="17">
        <f t="shared" si="43"/>
        <v>0</v>
      </c>
      <c r="J46" s="39">
        <f>$E$74*I46</f>
        <v>0</v>
      </c>
      <c r="K46" s="60">
        <f>References!$C$17*J46</f>
        <v>0</v>
      </c>
      <c r="L46" s="59">
        <f>K46/References!$F$18</f>
        <v>0</v>
      </c>
      <c r="M46" s="68" t="e">
        <f t="shared" si="44"/>
        <v>#DIV/0!</v>
      </c>
      <c r="N46" s="59">
        <v>5.53</v>
      </c>
      <c r="O46" s="68" t="e">
        <f>MROUND(N46+M46,References!$E$28)</f>
        <v>#DIV/0!</v>
      </c>
      <c r="P46" s="59"/>
      <c r="Q46" s="62">
        <f t="shared" ref="Q46:Q49" si="49">N46*G46</f>
        <v>0</v>
      </c>
      <c r="R46" s="62">
        <f t="shared" ref="R46:R49" si="50">P46*G46</f>
        <v>0</v>
      </c>
      <c r="S46" s="62">
        <f t="shared" ref="S46:S49" si="51">R46-Q46</f>
        <v>0</v>
      </c>
      <c r="T46" s="93"/>
      <c r="U46" s="109">
        <f t="shared" ref="U46:U49" si="52">T46-Q46</f>
        <v>0</v>
      </c>
    </row>
    <row r="47" spans="1:116">
      <c r="A47" s="141"/>
      <c r="B47" s="121">
        <v>100</v>
      </c>
      <c r="C47" s="34">
        <v>22</v>
      </c>
      <c r="D47" s="21" t="s">
        <v>53</v>
      </c>
      <c r="E47" s="23">
        <v>0</v>
      </c>
      <c r="F47" s="18"/>
      <c r="G47" s="71"/>
      <c r="H47" s="17">
        <v>250</v>
      </c>
      <c r="I47" s="17">
        <f t="shared" si="43"/>
        <v>0</v>
      </c>
      <c r="J47" s="24">
        <f>$E$74*I47</f>
        <v>0</v>
      </c>
      <c r="K47" s="60">
        <f>References!$C$17*J47</f>
        <v>0</v>
      </c>
      <c r="L47" s="60">
        <f>K47/References!$F$18</f>
        <v>0</v>
      </c>
      <c r="M47" s="68" t="e">
        <f t="shared" si="44"/>
        <v>#DIV/0!</v>
      </c>
      <c r="N47" s="60">
        <v>32.72</v>
      </c>
      <c r="O47" s="68" t="e">
        <f>MROUND(N47+M47,References!$E$28)</f>
        <v>#DIV/0!</v>
      </c>
      <c r="P47" s="60"/>
      <c r="Q47" s="62">
        <f t="shared" si="49"/>
        <v>0</v>
      </c>
      <c r="R47" s="62">
        <f t="shared" si="50"/>
        <v>0</v>
      </c>
      <c r="S47" s="62">
        <f t="shared" si="51"/>
        <v>0</v>
      </c>
      <c r="T47" s="93"/>
      <c r="U47" s="109">
        <f t="shared" si="52"/>
        <v>0</v>
      </c>
    </row>
    <row r="48" spans="1:116">
      <c r="A48" s="141"/>
      <c r="B48" s="121">
        <v>100</v>
      </c>
      <c r="C48" s="34">
        <v>22</v>
      </c>
      <c r="D48" s="21" t="s">
        <v>51</v>
      </c>
      <c r="E48" s="23">
        <v>0</v>
      </c>
      <c r="F48" s="18"/>
      <c r="G48" s="71"/>
      <c r="H48" s="17">
        <v>250</v>
      </c>
      <c r="I48" s="17">
        <f t="shared" si="43"/>
        <v>0</v>
      </c>
      <c r="J48" s="24">
        <f>$E$74*I48</f>
        <v>0</v>
      </c>
      <c r="K48" s="60">
        <f>References!$C$17*J48</f>
        <v>0</v>
      </c>
      <c r="L48" s="60">
        <f>K48/References!$F$18</f>
        <v>0</v>
      </c>
      <c r="M48" s="68" t="e">
        <f t="shared" si="44"/>
        <v>#DIV/0!</v>
      </c>
      <c r="N48" s="60">
        <v>38.06</v>
      </c>
      <c r="O48" s="68" t="e">
        <f>MROUND(N48+M48,References!$E$28)</f>
        <v>#DIV/0!</v>
      </c>
      <c r="P48" s="60"/>
      <c r="Q48" s="62">
        <f t="shared" si="49"/>
        <v>0</v>
      </c>
      <c r="R48" s="62">
        <f t="shared" si="50"/>
        <v>0</v>
      </c>
      <c r="S48" s="62">
        <f t="shared" si="51"/>
        <v>0</v>
      </c>
      <c r="T48" s="93"/>
      <c r="U48" s="109">
        <f t="shared" si="52"/>
        <v>0</v>
      </c>
    </row>
    <row r="49" spans="1:44">
      <c r="A49" s="142"/>
      <c r="B49" s="122">
        <v>100</v>
      </c>
      <c r="C49" s="41">
        <v>22</v>
      </c>
      <c r="D49" s="42" t="s">
        <v>52</v>
      </c>
      <c r="E49" s="28">
        <v>0</v>
      </c>
      <c r="F49" s="29"/>
      <c r="G49" s="72"/>
      <c r="H49" s="30">
        <v>250</v>
      </c>
      <c r="I49" s="17">
        <f t="shared" si="43"/>
        <v>0</v>
      </c>
      <c r="J49" s="31">
        <f>$E$74*I49</f>
        <v>0</v>
      </c>
      <c r="K49" s="60">
        <f>References!$C$17*J49</f>
        <v>0</v>
      </c>
      <c r="L49" s="61">
        <f>K49/References!$F$18</f>
        <v>0</v>
      </c>
      <c r="M49" s="68" t="e">
        <f t="shared" si="44"/>
        <v>#DIV/0!</v>
      </c>
      <c r="N49" s="61">
        <v>32.72</v>
      </c>
      <c r="O49" s="68" t="e">
        <f>MROUND(N49+M49,References!$E$28)</f>
        <v>#DIV/0!</v>
      </c>
      <c r="P49" s="61"/>
      <c r="Q49" s="62">
        <f t="shared" si="49"/>
        <v>0</v>
      </c>
      <c r="R49" s="62">
        <f t="shared" si="50"/>
        <v>0</v>
      </c>
      <c r="S49" s="62">
        <f t="shared" si="51"/>
        <v>0</v>
      </c>
      <c r="T49" s="93"/>
      <c r="U49" s="109">
        <f t="shared" si="52"/>
        <v>0</v>
      </c>
    </row>
    <row r="50" spans="1:44" ht="15.75" thickBot="1">
      <c r="A50" s="101"/>
      <c r="B50" s="120"/>
      <c r="C50" s="82"/>
      <c r="D50" s="80" t="s">
        <v>54</v>
      </c>
      <c r="E50" s="84"/>
      <c r="F50" s="84"/>
      <c r="G50" s="88">
        <f>SUM(G46:G49)</f>
        <v>0</v>
      </c>
      <c r="H50" s="85"/>
      <c r="I50" s="88">
        <f>SUM(I46:I49)</f>
        <v>0</v>
      </c>
      <c r="J50" s="88">
        <f>SUM(J46:J49)</f>
        <v>0</v>
      </c>
      <c r="K50" s="86"/>
      <c r="L50" s="87"/>
      <c r="M50" s="87"/>
      <c r="N50" s="87"/>
      <c r="O50" s="87"/>
      <c r="P50" s="87"/>
      <c r="Q50" s="96">
        <f t="shared" ref="Q50:T50" si="53">SUM(Q46:Q49)</f>
        <v>0</v>
      </c>
      <c r="R50" s="96">
        <f t="shared" si="53"/>
        <v>0</v>
      </c>
      <c r="S50" s="96">
        <f t="shared" si="53"/>
        <v>0</v>
      </c>
      <c r="T50" s="96">
        <f t="shared" si="53"/>
        <v>0</v>
      </c>
      <c r="U50" s="113">
        <f>SUM(U46:U49)</f>
        <v>0</v>
      </c>
    </row>
    <row r="51" spans="1:44" ht="16.5" thickTop="1" thickBot="1">
      <c r="B51" s="101"/>
      <c r="C51" s="101"/>
      <c r="D51" s="102" t="s">
        <v>3</v>
      </c>
      <c r="E51" s="103">
        <f>E50+E45+E39+E20</f>
        <v>7467.1040000000003</v>
      </c>
      <c r="F51" s="101"/>
      <c r="G51" s="103">
        <f>G50+G45+G39+G20</f>
        <v>380399.12387999997</v>
      </c>
      <c r="H51" s="101"/>
      <c r="I51" s="103">
        <f>I50+I45+I39+I20</f>
        <v>20785631.292199995</v>
      </c>
      <c r="J51" s="103">
        <f>J50+J45+J39+J20</f>
        <v>14313800</v>
      </c>
      <c r="K51" s="104"/>
      <c r="L51" s="104"/>
      <c r="M51" s="104"/>
      <c r="N51" s="101"/>
      <c r="O51" s="101"/>
      <c r="P51" s="101"/>
      <c r="Q51" s="105">
        <f>Q50+Q45+Q39+Q20</f>
        <v>1612773.2011095998</v>
      </c>
      <c r="R51" s="105">
        <f>R50+R45+R39+R20</f>
        <v>1649364.8823039997</v>
      </c>
      <c r="S51" s="105">
        <f>S50+S45+S39+S20</f>
        <v>36591.68119439984</v>
      </c>
      <c r="T51" s="105">
        <f>T50+T45+T39+T20</f>
        <v>1586216.0823039999</v>
      </c>
      <c r="U51" s="116">
        <f>U50+U45+U39+U20</f>
        <v>36591.68119439984</v>
      </c>
    </row>
    <row r="52" spans="1:44" ht="26.45" customHeight="1" thickTop="1">
      <c r="J52" s="6"/>
      <c r="T52" s="66"/>
    </row>
    <row r="53" spans="1:44" s="27" customFormat="1" ht="14.45" customHeight="1">
      <c r="A53" s="141"/>
      <c r="B53" s="19"/>
      <c r="C53" s="19"/>
      <c r="D53" s="90" t="s">
        <v>76</v>
      </c>
      <c r="E53" s="19"/>
      <c r="F53" s="19"/>
      <c r="G53" s="19"/>
      <c r="H53" s="7"/>
      <c r="I53" s="15"/>
      <c r="J53" s="6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</row>
    <row r="54" spans="1:44" s="27" customFormat="1">
      <c r="A54" s="141"/>
      <c r="B54" s="119"/>
      <c r="C54" s="34">
        <v>23</v>
      </c>
      <c r="D54" s="21" t="s">
        <v>33</v>
      </c>
      <c r="E54" s="23">
        <v>0</v>
      </c>
      <c r="F54" s="18">
        <f>52/12/2</f>
        <v>2.1666666666666665</v>
      </c>
      <c r="G54" s="17">
        <f t="shared" ref="G54:G68" si="54">F54*12</f>
        <v>26</v>
      </c>
      <c r="H54" s="17">
        <v>20</v>
      </c>
      <c r="I54" s="17">
        <f t="shared" ref="I54:I68" si="55">G54*H54/12</f>
        <v>43.333333333333336</v>
      </c>
      <c r="J54" s="24">
        <f t="shared" ref="J54:J68" si="56">$E$74*I54</f>
        <v>29.841030948115915</v>
      </c>
      <c r="K54" s="60">
        <f>References!$C$17*J54</f>
        <v>7.4602577370289858E-2</v>
      </c>
      <c r="L54" s="60">
        <f>K54/References!$F$18</f>
        <v>7.6210621483593685E-2</v>
      </c>
      <c r="M54" s="60"/>
      <c r="N54" s="60">
        <v>9.93</v>
      </c>
      <c r="O54" s="60">
        <f>ROUND(L54+N54,2)</f>
        <v>10.01</v>
      </c>
      <c r="P54" s="60">
        <v>10.24</v>
      </c>
      <c r="Q54" s="25">
        <f t="shared" ref="Q54:Q68" si="57">E54*N54*12</f>
        <v>0</v>
      </c>
      <c r="R54" s="25">
        <f t="shared" ref="R54:R68" si="58">E54*P54*12</f>
        <v>0</v>
      </c>
      <c r="S54" s="25">
        <f t="shared" ref="S54:S68" si="59">R54-Q54</f>
        <v>0</v>
      </c>
      <c r="T54" s="26">
        <f t="shared" ref="T54:T68" si="60">E54*O54*12</f>
        <v>0</v>
      </c>
    </row>
    <row r="55" spans="1:44" s="27" customFormat="1">
      <c r="A55" s="141"/>
      <c r="B55" s="119"/>
      <c r="C55" s="34">
        <v>23</v>
      </c>
      <c r="D55" s="21" t="s">
        <v>34</v>
      </c>
      <c r="E55" s="23">
        <v>0</v>
      </c>
      <c r="F55" s="18">
        <v>1</v>
      </c>
      <c r="G55" s="17">
        <f t="shared" si="54"/>
        <v>12</v>
      </c>
      <c r="H55" s="17">
        <v>20</v>
      </c>
      <c r="I55" s="17">
        <f t="shared" si="55"/>
        <v>20</v>
      </c>
      <c r="J55" s="24">
        <f t="shared" si="56"/>
        <v>13.772783514515037</v>
      </c>
      <c r="K55" s="60">
        <f>References!$C$17*J55</f>
        <v>3.4431958786287624E-2</v>
      </c>
      <c r="L55" s="60">
        <f>K55/References!$F$18</f>
        <v>3.5174132992427852E-2</v>
      </c>
      <c r="M55" s="60"/>
      <c r="N55" s="60">
        <v>7.62</v>
      </c>
      <c r="O55" s="60">
        <f t="shared" ref="O55:O68" si="61">ROUND(L55+N55,2)</f>
        <v>7.66</v>
      </c>
      <c r="P55" s="60">
        <v>7.86</v>
      </c>
      <c r="Q55" s="25">
        <f t="shared" si="57"/>
        <v>0</v>
      </c>
      <c r="R55" s="25">
        <f t="shared" si="58"/>
        <v>0</v>
      </c>
      <c r="S55" s="25">
        <f t="shared" si="59"/>
        <v>0</v>
      </c>
      <c r="T55" s="26">
        <f t="shared" si="60"/>
        <v>0</v>
      </c>
    </row>
    <row r="56" spans="1:44" s="27" customFormat="1">
      <c r="A56" s="141"/>
      <c r="B56" s="119"/>
      <c r="C56" s="34">
        <v>23</v>
      </c>
      <c r="D56" s="21" t="s">
        <v>35</v>
      </c>
      <c r="E56" s="23">
        <v>0</v>
      </c>
      <c r="F56" s="18">
        <v>1</v>
      </c>
      <c r="G56" s="17">
        <f t="shared" si="54"/>
        <v>12</v>
      </c>
      <c r="H56" s="17">
        <v>51</v>
      </c>
      <c r="I56" s="17">
        <f t="shared" si="55"/>
        <v>51</v>
      </c>
      <c r="J56" s="24">
        <f t="shared" si="56"/>
        <v>35.120597962013342</v>
      </c>
      <c r="K56" s="60">
        <f>References!$C$17*J56</f>
        <v>8.7801494905033431E-2</v>
      </c>
      <c r="L56" s="60">
        <f>K56/References!$F$18</f>
        <v>8.9694039130691017E-2</v>
      </c>
      <c r="M56" s="60"/>
      <c r="N56" s="60">
        <v>15.2</v>
      </c>
      <c r="O56" s="60">
        <f t="shared" si="61"/>
        <v>15.29</v>
      </c>
      <c r="P56" s="60">
        <v>15.68</v>
      </c>
      <c r="Q56" s="25">
        <f t="shared" si="57"/>
        <v>0</v>
      </c>
      <c r="R56" s="25">
        <f t="shared" si="58"/>
        <v>0</v>
      </c>
      <c r="S56" s="25">
        <f t="shared" si="59"/>
        <v>0</v>
      </c>
      <c r="T56" s="26">
        <f t="shared" si="60"/>
        <v>0</v>
      </c>
    </row>
    <row r="57" spans="1:44" s="27" customFormat="1">
      <c r="A57" s="141"/>
      <c r="B57" s="119"/>
      <c r="C57" s="34">
        <v>23</v>
      </c>
      <c r="D57" s="21" t="s">
        <v>36</v>
      </c>
      <c r="E57" s="23">
        <v>0</v>
      </c>
      <c r="F57" s="18">
        <v>1</v>
      </c>
      <c r="G57" s="17">
        <f t="shared" si="54"/>
        <v>12</v>
      </c>
      <c r="H57" s="17">
        <v>77</v>
      </c>
      <c r="I57" s="17">
        <f t="shared" si="55"/>
        <v>77</v>
      </c>
      <c r="J57" s="24">
        <f t="shared" si="56"/>
        <v>53.025216530882894</v>
      </c>
      <c r="K57" s="60">
        <f>References!$C$17*J57</f>
        <v>0.13256304132720736</v>
      </c>
      <c r="L57" s="60">
        <f>K57/References!$F$18</f>
        <v>0.13542041202084723</v>
      </c>
      <c r="M57" s="60"/>
      <c r="N57" s="60">
        <v>18.04</v>
      </c>
      <c r="O57" s="60">
        <f t="shared" si="61"/>
        <v>18.18</v>
      </c>
      <c r="P57" s="60">
        <v>18.61</v>
      </c>
      <c r="Q57" s="25">
        <f t="shared" si="57"/>
        <v>0</v>
      </c>
      <c r="R57" s="25">
        <f t="shared" si="58"/>
        <v>0</v>
      </c>
      <c r="S57" s="25">
        <f t="shared" si="59"/>
        <v>0</v>
      </c>
      <c r="T57" s="26">
        <f t="shared" si="60"/>
        <v>0</v>
      </c>
    </row>
    <row r="58" spans="1:44" s="27" customFormat="1">
      <c r="A58" s="141"/>
      <c r="B58" s="119"/>
      <c r="C58" s="34">
        <v>23</v>
      </c>
      <c r="D58" s="21" t="s">
        <v>37</v>
      </c>
      <c r="E58" s="23">
        <v>0</v>
      </c>
      <c r="F58" s="18">
        <f>52/12/2</f>
        <v>2.1666666666666665</v>
      </c>
      <c r="G58" s="17">
        <f t="shared" si="54"/>
        <v>26</v>
      </c>
      <c r="H58" s="17">
        <v>97</v>
      </c>
      <c r="I58" s="17">
        <f t="shared" si="55"/>
        <v>210.16666666666666</v>
      </c>
      <c r="J58" s="24">
        <f t="shared" si="56"/>
        <v>144.72900009836218</v>
      </c>
      <c r="K58" s="60">
        <f>References!$C$17*J58</f>
        <v>0.36182250024590579</v>
      </c>
      <c r="L58" s="60">
        <f>K58/References!$F$18</f>
        <v>0.36962151419542932</v>
      </c>
      <c r="M58" s="60"/>
      <c r="N58" s="60">
        <v>31.24</v>
      </c>
      <c r="O58" s="60">
        <f t="shared" si="61"/>
        <v>31.61</v>
      </c>
      <c r="P58" s="60">
        <v>32.229999999999997</v>
      </c>
      <c r="Q58" s="25">
        <f t="shared" si="57"/>
        <v>0</v>
      </c>
      <c r="R58" s="25">
        <f t="shared" si="58"/>
        <v>0</v>
      </c>
      <c r="S58" s="25">
        <f t="shared" si="59"/>
        <v>0</v>
      </c>
      <c r="T58" s="26">
        <f t="shared" si="60"/>
        <v>0</v>
      </c>
    </row>
    <row r="59" spans="1:44" s="27" customFormat="1">
      <c r="A59" s="141"/>
      <c r="B59" s="119"/>
      <c r="C59" s="34">
        <v>23</v>
      </c>
      <c r="D59" s="21" t="s">
        <v>38</v>
      </c>
      <c r="E59" s="23">
        <v>0</v>
      </c>
      <c r="F59" s="18">
        <v>1</v>
      </c>
      <c r="G59" s="17">
        <f t="shared" si="54"/>
        <v>12</v>
      </c>
      <c r="H59" s="17">
        <v>97</v>
      </c>
      <c r="I59" s="17">
        <f t="shared" si="55"/>
        <v>97</v>
      </c>
      <c r="J59" s="24">
        <f t="shared" si="56"/>
        <v>66.798000045397927</v>
      </c>
      <c r="K59" s="60">
        <f>References!$C$17*J59</f>
        <v>0.16699500011349497</v>
      </c>
      <c r="L59" s="60">
        <f>K59/References!$F$18</f>
        <v>0.17059454501327506</v>
      </c>
      <c r="M59" s="60"/>
      <c r="N59" s="60">
        <v>20.82</v>
      </c>
      <c r="O59" s="60">
        <f t="shared" si="61"/>
        <v>20.99</v>
      </c>
      <c r="P59" s="60">
        <v>21.48</v>
      </c>
      <c r="Q59" s="25">
        <f t="shared" si="57"/>
        <v>0</v>
      </c>
      <c r="R59" s="25">
        <f t="shared" si="58"/>
        <v>0</v>
      </c>
      <c r="S59" s="25">
        <f t="shared" si="59"/>
        <v>0</v>
      </c>
      <c r="T59" s="26">
        <f t="shared" si="60"/>
        <v>0</v>
      </c>
    </row>
    <row r="60" spans="1:44" s="27" customFormat="1">
      <c r="A60" s="141"/>
      <c r="B60" s="119"/>
      <c r="C60" s="34">
        <v>23</v>
      </c>
      <c r="D60" s="21" t="s">
        <v>39</v>
      </c>
      <c r="E60" s="23">
        <v>0</v>
      </c>
      <c r="F60" s="18">
        <f>52/12/2</f>
        <v>2.1666666666666665</v>
      </c>
      <c r="G60" s="17">
        <f t="shared" si="54"/>
        <v>26</v>
      </c>
      <c r="H60" s="17">
        <v>47</v>
      </c>
      <c r="I60" s="17">
        <f t="shared" si="55"/>
        <v>101.83333333333333</v>
      </c>
      <c r="J60" s="24">
        <f t="shared" si="56"/>
        <v>70.126422728072399</v>
      </c>
      <c r="K60" s="60">
        <f>References!$C$17*J60</f>
        <v>0.17531605682018114</v>
      </c>
      <c r="L60" s="60">
        <f>K60/References!$F$18</f>
        <v>0.17909496048644513</v>
      </c>
      <c r="M60" s="60"/>
      <c r="N60" s="60">
        <v>25.08</v>
      </c>
      <c r="O60" s="60">
        <f t="shared" si="61"/>
        <v>25.26</v>
      </c>
      <c r="P60" s="60">
        <v>25.87</v>
      </c>
      <c r="Q60" s="25">
        <f t="shared" si="57"/>
        <v>0</v>
      </c>
      <c r="R60" s="25">
        <f t="shared" si="58"/>
        <v>0</v>
      </c>
      <c r="S60" s="25">
        <f t="shared" si="59"/>
        <v>0</v>
      </c>
      <c r="T60" s="26">
        <f t="shared" si="60"/>
        <v>0</v>
      </c>
    </row>
    <row r="61" spans="1:44" s="27" customFormat="1">
      <c r="A61" s="141"/>
      <c r="B61" s="119"/>
      <c r="C61" s="34">
        <v>23</v>
      </c>
      <c r="D61" s="21" t="s">
        <v>40</v>
      </c>
      <c r="E61" s="23">
        <v>0</v>
      </c>
      <c r="F61" s="18">
        <v>1</v>
      </c>
      <c r="G61" s="17">
        <f t="shared" si="54"/>
        <v>12</v>
      </c>
      <c r="H61" s="17">
        <v>47</v>
      </c>
      <c r="I61" s="17">
        <f t="shared" si="55"/>
        <v>47</v>
      </c>
      <c r="J61" s="24">
        <f t="shared" si="56"/>
        <v>32.366041259110339</v>
      </c>
      <c r="K61" s="60">
        <f>References!$C$17*J61</f>
        <v>8.0915103147775919E-2</v>
      </c>
      <c r="L61" s="60">
        <f>K61/References!$F$18</f>
        <v>8.2659212532205456E-2</v>
      </c>
      <c r="M61" s="60"/>
      <c r="N61" s="60">
        <v>16.600000000000001</v>
      </c>
      <c r="O61" s="60">
        <f t="shared" si="61"/>
        <v>16.68</v>
      </c>
      <c r="P61" s="60">
        <v>17.13</v>
      </c>
      <c r="Q61" s="25">
        <f t="shared" si="57"/>
        <v>0</v>
      </c>
      <c r="R61" s="25">
        <f t="shared" si="58"/>
        <v>0</v>
      </c>
      <c r="S61" s="25">
        <f t="shared" si="59"/>
        <v>0</v>
      </c>
      <c r="T61" s="26">
        <f t="shared" si="60"/>
        <v>0</v>
      </c>
    </row>
    <row r="62" spans="1:44" s="27" customFormat="1">
      <c r="A62" s="141"/>
      <c r="B62" s="119"/>
      <c r="C62" s="34">
        <v>23</v>
      </c>
      <c r="D62" s="21" t="s">
        <v>41</v>
      </c>
      <c r="E62" s="23">
        <v>0</v>
      </c>
      <c r="F62" s="18">
        <f>52/12/2</f>
        <v>2.1666666666666665</v>
      </c>
      <c r="G62" s="17">
        <f t="shared" si="54"/>
        <v>26</v>
      </c>
      <c r="H62" s="17">
        <v>68</v>
      </c>
      <c r="I62" s="17">
        <f t="shared" si="55"/>
        <v>147.33333333333334</v>
      </c>
      <c r="J62" s="24">
        <f t="shared" si="56"/>
        <v>101.45950522359411</v>
      </c>
      <c r="K62" s="60">
        <f>References!$C$17*J62</f>
        <v>0.25364876305898548</v>
      </c>
      <c r="L62" s="60">
        <f>K62/References!$F$18</f>
        <v>0.2591161130442185</v>
      </c>
      <c r="M62" s="60"/>
      <c r="N62" s="60">
        <v>28.36</v>
      </c>
      <c r="O62" s="60">
        <f t="shared" si="61"/>
        <v>28.62</v>
      </c>
      <c r="P62" s="60">
        <v>29.26</v>
      </c>
      <c r="Q62" s="25">
        <f t="shared" si="57"/>
        <v>0</v>
      </c>
      <c r="R62" s="25">
        <f t="shared" si="58"/>
        <v>0</v>
      </c>
      <c r="S62" s="25">
        <f t="shared" si="59"/>
        <v>0</v>
      </c>
      <c r="T62" s="26">
        <f t="shared" si="60"/>
        <v>0</v>
      </c>
    </row>
    <row r="63" spans="1:44" s="27" customFormat="1">
      <c r="A63" s="141"/>
      <c r="B63" s="119"/>
      <c r="C63" s="34">
        <v>23</v>
      </c>
      <c r="D63" s="21" t="s">
        <v>42</v>
      </c>
      <c r="E63" s="23">
        <v>0</v>
      </c>
      <c r="F63" s="18">
        <v>1</v>
      </c>
      <c r="G63" s="17">
        <f t="shared" si="54"/>
        <v>12</v>
      </c>
      <c r="H63" s="17">
        <v>68</v>
      </c>
      <c r="I63" s="17">
        <f t="shared" si="55"/>
        <v>68</v>
      </c>
      <c r="J63" s="24">
        <f t="shared" si="56"/>
        <v>46.827463949351127</v>
      </c>
      <c r="K63" s="60">
        <f>References!$C$17*J63</f>
        <v>0.11706865987337792</v>
      </c>
      <c r="L63" s="60">
        <f>K63/References!$F$18</f>
        <v>0.1195920521742547</v>
      </c>
      <c r="M63" s="60"/>
      <c r="N63" s="60">
        <v>0</v>
      </c>
      <c r="O63" s="60">
        <f t="shared" si="61"/>
        <v>0.12</v>
      </c>
      <c r="P63" s="60">
        <v>18.71</v>
      </c>
      <c r="Q63" s="25">
        <f t="shared" si="57"/>
        <v>0</v>
      </c>
      <c r="R63" s="25">
        <f t="shared" si="58"/>
        <v>0</v>
      </c>
      <c r="S63" s="25">
        <f t="shared" si="59"/>
        <v>0</v>
      </c>
      <c r="T63" s="26">
        <f t="shared" si="60"/>
        <v>0</v>
      </c>
    </row>
    <row r="64" spans="1:44" s="27" customFormat="1">
      <c r="A64" s="141"/>
      <c r="B64" s="119"/>
      <c r="C64" s="34">
        <v>24</v>
      </c>
      <c r="D64" s="21" t="s">
        <v>71</v>
      </c>
      <c r="E64" s="23">
        <v>0</v>
      </c>
      <c r="F64" s="18">
        <v>1</v>
      </c>
      <c r="G64" s="17">
        <f t="shared" si="54"/>
        <v>12</v>
      </c>
      <c r="H64" s="17">
        <v>10</v>
      </c>
      <c r="I64" s="17">
        <f t="shared" si="55"/>
        <v>10</v>
      </c>
      <c r="J64" s="24">
        <f t="shared" si="56"/>
        <v>6.8863917572575186</v>
      </c>
      <c r="K64" s="60">
        <f>References!$C$17*J64</f>
        <v>1.7215979393143812E-2</v>
      </c>
      <c r="L64" s="60">
        <f>K64/References!$F$18</f>
        <v>1.7587066496213926E-2</v>
      </c>
      <c r="M64" s="60"/>
      <c r="N64" s="60">
        <v>9.6</v>
      </c>
      <c r="O64" s="60">
        <f t="shared" si="61"/>
        <v>9.6199999999999992</v>
      </c>
      <c r="P64" s="60">
        <v>9.6999999999999993</v>
      </c>
      <c r="Q64" s="25">
        <f t="shared" si="57"/>
        <v>0</v>
      </c>
      <c r="R64" s="25">
        <f t="shared" si="58"/>
        <v>0</v>
      </c>
      <c r="S64" s="25">
        <f t="shared" si="59"/>
        <v>0</v>
      </c>
      <c r="T64" s="26">
        <f t="shared" si="60"/>
        <v>0</v>
      </c>
    </row>
    <row r="65" spans="1:44" s="27" customFormat="1">
      <c r="A65" s="141"/>
      <c r="B65" s="119"/>
      <c r="C65" s="34">
        <v>24</v>
      </c>
      <c r="D65" s="21" t="s">
        <v>45</v>
      </c>
      <c r="E65" s="23">
        <v>0</v>
      </c>
      <c r="F65" s="18">
        <v>1</v>
      </c>
      <c r="G65" s="17">
        <f t="shared" si="54"/>
        <v>12</v>
      </c>
      <c r="H65" s="17">
        <v>20</v>
      </c>
      <c r="I65" s="17">
        <f t="shared" si="55"/>
        <v>20</v>
      </c>
      <c r="J65" s="24">
        <f t="shared" si="56"/>
        <v>13.772783514515037</v>
      </c>
      <c r="K65" s="60">
        <f>References!$C$17*J65</f>
        <v>3.4431958786287624E-2</v>
      </c>
      <c r="L65" s="60">
        <f>K65/References!$F$18</f>
        <v>3.5174132992427852E-2</v>
      </c>
      <c r="M65" s="60"/>
      <c r="N65" s="60">
        <v>3.62</v>
      </c>
      <c r="O65" s="60">
        <f t="shared" si="61"/>
        <v>3.66</v>
      </c>
      <c r="P65" s="60">
        <v>3.73</v>
      </c>
      <c r="Q65" s="25">
        <f t="shared" si="57"/>
        <v>0</v>
      </c>
      <c r="R65" s="25">
        <f t="shared" si="58"/>
        <v>0</v>
      </c>
      <c r="S65" s="25">
        <f t="shared" si="59"/>
        <v>0</v>
      </c>
      <c r="T65" s="26">
        <f t="shared" si="60"/>
        <v>0</v>
      </c>
    </row>
    <row r="66" spans="1:44">
      <c r="A66" s="141"/>
      <c r="B66" s="119"/>
      <c r="C66" s="34">
        <v>24</v>
      </c>
      <c r="D66" s="21" t="s">
        <v>48</v>
      </c>
      <c r="E66" s="23">
        <v>0</v>
      </c>
      <c r="F66" s="18">
        <v>1</v>
      </c>
      <c r="G66" s="17">
        <f t="shared" si="54"/>
        <v>12</v>
      </c>
      <c r="H66" s="17">
        <v>10</v>
      </c>
      <c r="I66" s="17">
        <f t="shared" si="55"/>
        <v>10</v>
      </c>
      <c r="J66" s="24">
        <f t="shared" si="56"/>
        <v>6.8863917572575186</v>
      </c>
      <c r="K66" s="60">
        <f>References!$C$17*J66</f>
        <v>1.7215979393143812E-2</v>
      </c>
      <c r="L66" s="60">
        <f>K66/References!$F$18</f>
        <v>1.7587066496213926E-2</v>
      </c>
      <c r="M66" s="60"/>
      <c r="N66" s="60">
        <v>6.94</v>
      </c>
      <c r="O66" s="60">
        <f t="shared" si="61"/>
        <v>6.96</v>
      </c>
      <c r="P66" s="60">
        <v>7.16</v>
      </c>
      <c r="Q66" s="25">
        <f t="shared" si="57"/>
        <v>0</v>
      </c>
      <c r="R66" s="25">
        <f t="shared" si="58"/>
        <v>0</v>
      </c>
      <c r="S66" s="25">
        <f t="shared" si="59"/>
        <v>0</v>
      </c>
      <c r="T66" s="26">
        <f t="shared" si="60"/>
        <v>0</v>
      </c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</row>
    <row r="67" spans="1:44">
      <c r="A67" s="142"/>
      <c r="B67" s="119"/>
      <c r="C67" s="34">
        <v>24</v>
      </c>
      <c r="D67" s="21" t="s">
        <v>46</v>
      </c>
      <c r="E67" s="22">
        <v>0</v>
      </c>
      <c r="F67" s="33">
        <v>1</v>
      </c>
      <c r="G67" s="17">
        <f t="shared" si="54"/>
        <v>12</v>
      </c>
      <c r="H67" s="32">
        <v>47</v>
      </c>
      <c r="I67" s="32">
        <f t="shared" si="55"/>
        <v>47</v>
      </c>
      <c r="J67" s="32">
        <f t="shared" si="56"/>
        <v>32.366041259110339</v>
      </c>
      <c r="K67" s="60">
        <f>References!$C$17*J67</f>
        <v>8.0915103147775919E-2</v>
      </c>
      <c r="L67" s="60">
        <f>K67/References!$F$18</f>
        <v>8.2659212532205456E-2</v>
      </c>
      <c r="M67" s="60"/>
      <c r="N67" s="97">
        <v>8.6999999999999993</v>
      </c>
      <c r="O67" s="60">
        <f t="shared" si="61"/>
        <v>8.7799999999999994</v>
      </c>
      <c r="P67" s="97">
        <v>8.98</v>
      </c>
      <c r="Q67" s="25">
        <f t="shared" si="57"/>
        <v>0</v>
      </c>
      <c r="R67" s="25">
        <f t="shared" si="58"/>
        <v>0</v>
      </c>
      <c r="S67" s="25">
        <f t="shared" si="59"/>
        <v>0</v>
      </c>
      <c r="T67" s="26">
        <f t="shared" si="60"/>
        <v>0</v>
      </c>
    </row>
    <row r="68" spans="1:44">
      <c r="B68" s="120"/>
      <c r="C68" s="41">
        <v>24</v>
      </c>
      <c r="D68" s="42" t="s">
        <v>47</v>
      </c>
      <c r="E68" s="2">
        <v>0</v>
      </c>
      <c r="F68" s="74">
        <v>1</v>
      </c>
      <c r="G68" s="30">
        <f t="shared" si="54"/>
        <v>12</v>
      </c>
      <c r="H68" s="75">
        <v>68</v>
      </c>
      <c r="I68" s="75">
        <f t="shared" si="55"/>
        <v>68</v>
      </c>
      <c r="J68" s="75">
        <f t="shared" si="56"/>
        <v>46.827463949351127</v>
      </c>
      <c r="K68" s="61">
        <f>References!$C$17*J68</f>
        <v>0.11706865987337792</v>
      </c>
      <c r="L68" s="61">
        <f>K68/References!$F$18</f>
        <v>0.1195920521742547</v>
      </c>
      <c r="M68" s="61"/>
      <c r="N68" s="98">
        <v>11.57</v>
      </c>
      <c r="O68" s="61">
        <f t="shared" si="61"/>
        <v>11.69</v>
      </c>
      <c r="P68" s="98">
        <v>11.93</v>
      </c>
      <c r="Q68" s="43">
        <f t="shared" si="57"/>
        <v>0</v>
      </c>
      <c r="R68" s="43">
        <f t="shared" si="58"/>
        <v>0</v>
      </c>
      <c r="S68" s="43">
        <f t="shared" si="59"/>
        <v>0</v>
      </c>
      <c r="T68" s="43">
        <f t="shared" si="60"/>
        <v>0</v>
      </c>
    </row>
    <row r="69" spans="1:44">
      <c r="H69" s="7"/>
      <c r="I69" s="15"/>
      <c r="J69" s="6"/>
    </row>
    <row r="70" spans="1:44">
      <c r="E70" s="47"/>
      <c r="H70" s="21"/>
      <c r="I70" s="45"/>
      <c r="J70" s="45"/>
      <c r="K70" s="46"/>
      <c r="Q70" s="16"/>
      <c r="R70" s="46"/>
      <c r="S70" s="20"/>
    </row>
    <row r="71" spans="1:44">
      <c r="D71" s="19" t="s">
        <v>72</v>
      </c>
      <c r="E71" s="26">
        <f>+References!B22</f>
        <v>7156.9</v>
      </c>
      <c r="H71" s="21"/>
      <c r="I71" s="45"/>
      <c r="J71" s="45"/>
      <c r="K71" s="46"/>
      <c r="Q71" s="16"/>
      <c r="R71" s="52"/>
      <c r="S71" s="20"/>
    </row>
    <row r="72" spans="1:44">
      <c r="D72" s="19" t="s">
        <v>73</v>
      </c>
      <c r="E72" s="6">
        <f>E71*2000</f>
        <v>14313800</v>
      </c>
      <c r="H72" s="21"/>
      <c r="I72" s="45"/>
      <c r="J72" s="45"/>
      <c r="K72" s="46"/>
      <c r="Q72" s="20"/>
      <c r="R72" s="52"/>
      <c r="S72" s="20"/>
    </row>
    <row r="73" spans="1:44">
      <c r="D73" s="19" t="s">
        <v>5</v>
      </c>
      <c r="E73" s="6">
        <f>G50+G45+G39+G20</f>
        <v>380399.12387999997</v>
      </c>
      <c r="H73" s="21"/>
      <c r="I73" s="45"/>
      <c r="J73" s="45"/>
      <c r="K73" s="46"/>
      <c r="Q73" s="16"/>
      <c r="R73" s="52"/>
      <c r="S73" s="20"/>
    </row>
    <row r="74" spans="1:44">
      <c r="D74" s="51" t="s">
        <v>11</v>
      </c>
      <c r="E74" s="14">
        <f>E72/I51</f>
        <v>0.68863917572575184</v>
      </c>
      <c r="H74" s="21"/>
      <c r="I74" s="45"/>
      <c r="J74" s="18"/>
      <c r="K74" s="46"/>
      <c r="L74" s="20"/>
      <c r="M74" s="20"/>
      <c r="N74" s="8"/>
      <c r="O74" s="8"/>
      <c r="P74" s="8"/>
      <c r="Q74" s="9"/>
      <c r="R74" s="9"/>
      <c r="S74" s="20"/>
    </row>
    <row r="75" spans="1:44">
      <c r="D75" s="20"/>
      <c r="E75" s="20"/>
      <c r="F75" s="20"/>
      <c r="H75" s="21"/>
      <c r="I75" s="45"/>
      <c r="J75" s="45"/>
      <c r="K75" s="46"/>
      <c r="L75" s="20"/>
      <c r="M75" s="20"/>
      <c r="N75" s="11"/>
      <c r="O75" s="12"/>
      <c r="P75" s="12"/>
      <c r="Q75" s="13"/>
      <c r="R75" s="14"/>
    </row>
    <row r="76" spans="1:44">
      <c r="D76" s="20"/>
      <c r="E76" s="52"/>
      <c r="F76" s="53"/>
      <c r="G76" s="20"/>
      <c r="H76" s="21"/>
      <c r="I76" s="45"/>
      <c r="J76" s="45"/>
      <c r="K76" s="46"/>
      <c r="L76" s="20"/>
      <c r="M76" s="20"/>
      <c r="N76" s="11"/>
      <c r="O76" s="12"/>
      <c r="P76" s="12"/>
      <c r="Q76" s="13"/>
      <c r="R76" s="14"/>
    </row>
    <row r="77" spans="1:44">
      <c r="D77" s="20"/>
      <c r="E77" s="52"/>
      <c r="F77" s="53"/>
      <c r="H77" s="21"/>
      <c r="I77" s="45"/>
      <c r="J77" s="45"/>
      <c r="K77" s="46"/>
      <c r="L77" s="20"/>
      <c r="M77" s="20"/>
      <c r="N77" s="11"/>
      <c r="O77" s="12"/>
      <c r="P77" s="12"/>
      <c r="Q77" s="13"/>
      <c r="R77" s="14"/>
    </row>
    <row r="78" spans="1:44">
      <c r="D78" s="20"/>
      <c r="E78" s="52"/>
      <c r="F78" s="53"/>
      <c r="H78" s="44"/>
      <c r="I78" s="20"/>
      <c r="J78" s="10"/>
      <c r="K78" s="46"/>
      <c r="L78" s="20"/>
      <c r="M78" s="20"/>
      <c r="N78" s="11"/>
      <c r="O78" s="12"/>
      <c r="P78" s="12"/>
      <c r="Q78" s="14"/>
      <c r="R78" s="14"/>
    </row>
    <row r="79" spans="1:44">
      <c r="D79" s="20"/>
      <c r="E79" s="54"/>
      <c r="F79" s="20"/>
      <c r="H79" s="20"/>
      <c r="I79" s="20"/>
      <c r="J79" s="10"/>
      <c r="K79" s="20"/>
      <c r="L79" s="20"/>
      <c r="M79" s="20"/>
      <c r="N79" s="20"/>
      <c r="O79" s="13"/>
      <c r="P79" s="13"/>
      <c r="Q79" s="13"/>
      <c r="R79" s="14"/>
    </row>
    <row r="80" spans="1:44">
      <c r="D80" s="20"/>
      <c r="E80" s="20"/>
      <c r="F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</row>
    <row r="81" spans="4:6">
      <c r="D81" s="20"/>
      <c r="E81" s="20"/>
      <c r="F81" s="20"/>
    </row>
    <row r="82" spans="4:6">
      <c r="D82" s="20"/>
      <c r="E82" s="20"/>
      <c r="F82" s="20"/>
    </row>
    <row r="83" spans="4:6">
      <c r="D83" s="20"/>
      <c r="E83" s="20"/>
      <c r="F83" s="20"/>
    </row>
    <row r="84" spans="4:6">
      <c r="D84" s="20"/>
      <c r="E84" s="20"/>
      <c r="F84" s="20"/>
    </row>
    <row r="85" spans="4:6">
      <c r="D85" s="20"/>
      <c r="E85" s="20"/>
      <c r="F85" s="20"/>
    </row>
  </sheetData>
  <mergeCells count="5">
    <mergeCell ref="A53:A67"/>
    <mergeCell ref="A6:A19"/>
    <mergeCell ref="A20:A38"/>
    <mergeCell ref="A40:A44"/>
    <mergeCell ref="A45:A49"/>
  </mergeCells>
  <pageMargins left="0.2" right="0.22" top="0.38" bottom="0.34" header="0.19" footer="0.17"/>
  <pageSetup scale="52" orientation="landscape" r:id="rId1"/>
  <headerFooter>
    <oddFooter>&amp;L&amp;F&amp;A&amp;R&amp;D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156ACB3F74CA43B6671B7899FFA00F" ma:contentTypeVersion="56" ma:contentTypeDescription="" ma:contentTypeScope="" ma:versionID="e927ef55b816c0c18532a058c8bb037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2019-05-14T07:00:00+00:00</OpenedDate>
    <SignificantOrder xmlns="dc463f71-b30c-4ab2-9473-d307f9d35888">false</SignificantOrder>
    <Date1 xmlns="dc463f71-b30c-4ab2-9473-d307f9d35888">2019-05-14T07:00:00+00:00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Bainbridge Disposal, Inc</CaseCompanyNames>
    <Nickname xmlns="http://schemas.microsoft.com/sharepoint/v3" xsi:nil="true"/>
    <DocketNumber xmlns="dc463f71-b30c-4ab2-9473-d307f9d35888">190413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58A2B56-78ED-4CA8-8117-1F16D22415D9}"/>
</file>

<file path=customXml/itemProps2.xml><?xml version="1.0" encoding="utf-8"?>
<ds:datastoreItem xmlns:ds="http://schemas.openxmlformats.org/officeDocument/2006/customXml" ds:itemID="{583F8357-AC57-4335-8E32-829AD3EBDB06}"/>
</file>

<file path=customXml/itemProps3.xml><?xml version="1.0" encoding="utf-8"?>
<ds:datastoreItem xmlns:ds="http://schemas.openxmlformats.org/officeDocument/2006/customXml" ds:itemID="{D7821B86-6925-40A3-81BB-534A80A8B389}"/>
</file>

<file path=customXml/itemProps4.xml><?xml version="1.0" encoding="utf-8"?>
<ds:datastoreItem xmlns:ds="http://schemas.openxmlformats.org/officeDocument/2006/customXml" ds:itemID="{E163E9C7-42D5-40C6-8B26-57829A881B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References</vt:lpstr>
      <vt:lpstr>Staff calcs 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Jackie Davis</cp:lastModifiedBy>
  <cp:lastPrinted>2013-11-13T18:16:52Z</cp:lastPrinted>
  <dcterms:created xsi:type="dcterms:W3CDTF">2013-10-29T22:33:54Z</dcterms:created>
  <dcterms:modified xsi:type="dcterms:W3CDTF">2019-05-13T23:08:03Z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Heirborne Investments, LLC</vt:lpwstr>
  </property>
  <property fmtid="{D5CDD505-2E9C-101B-9397-08002B2CF9AE}" pid="4" name="PPC_Template_Engagement_Date">
    <vt:lpwstr>12/31/2017</vt:lpwstr>
  </property>
  <property fmtid="{D5CDD505-2E9C-101B-9397-08002B2CF9AE}" pid="5" name="ContentTypeId">
    <vt:lpwstr>0x0101006E56B4D1795A2E4DB2F0B01679ED314A00E0156ACB3F74CA43B6671B7899FFA00F</vt:lpwstr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