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2810" tabRatio="863"/>
  </bookViews>
  <sheets>
    <sheet name=" Elec" sheetId="28" r:id="rId1"/>
    <sheet name=" Gas" sheetId="15" r:id="rId2"/>
    <sheet name="Main wp" sheetId="70" r:id="rId3"/>
    <sheet name="CE Allocation" sheetId="68" r:id="rId4"/>
    <sheet name="Director's Fees" sheetId="26" r:id="rId5"/>
  </sheets>
  <externalReferences>
    <externalReference r:id="rId6"/>
    <externalReference r:id="rId7"/>
  </externalReferences>
  <definedNames>
    <definedName name="_xlnm.Print_Area" localSheetId="2">'Main wp'!$A$1:$P$37</definedName>
  </definedNames>
  <calcPr calcId="145621" calcMode="autoNoTable"/>
</workbook>
</file>

<file path=xl/calcChain.xml><?xml version="1.0" encoding="utf-8"?>
<calcChain xmlns="http://schemas.openxmlformats.org/spreadsheetml/2006/main">
  <c r="A6" i="70" l="1"/>
  <c r="A5" i="70"/>
  <c r="M2" i="70"/>
  <c r="A5" i="15" l="1"/>
  <c r="D18" i="15" l="1"/>
  <c r="F6" i="68" l="1"/>
  <c r="E7" i="68" s="1"/>
  <c r="F7" i="68" l="1"/>
  <c r="B7" i="68"/>
  <c r="C7" i="68"/>
  <c r="D7" i="68" l="1"/>
  <c r="G18" i="26" l="1"/>
  <c r="I18" i="26"/>
  <c r="K18" i="26"/>
  <c r="M8" i="26" l="1"/>
  <c r="M14" i="26" l="1"/>
  <c r="M12" i="26"/>
  <c r="N14" i="70" l="1"/>
  <c r="B15" i="70"/>
  <c r="C15" i="70" l="1"/>
  <c r="N13" i="70" l="1"/>
  <c r="N15" i="70" s="1"/>
  <c r="E36" i="70" s="1"/>
  <c r="B35" i="70"/>
  <c r="B36" i="70"/>
  <c r="I15" i="70"/>
  <c r="D15" i="70"/>
  <c r="E35" i="70" l="1"/>
  <c r="B37" i="70"/>
  <c r="L15" i="70"/>
  <c r="J15" i="70"/>
  <c r="E15" i="70"/>
  <c r="K15" i="70" l="1"/>
  <c r="F15" i="70"/>
  <c r="M15" i="70" l="1"/>
  <c r="C5" i="70"/>
  <c r="G15" i="70"/>
  <c r="H15" i="70"/>
  <c r="C6" i="70" l="1"/>
  <c r="C12" i="28" l="1"/>
  <c r="C12" i="15"/>
  <c r="N7" i="70"/>
  <c r="N5" i="70" l="1"/>
  <c r="N6" i="70" s="1"/>
  <c r="C7" i="70"/>
  <c r="A6" i="15" l="1"/>
  <c r="M16" i="26" l="1"/>
  <c r="M10" i="26"/>
  <c r="M18" i="26" l="1"/>
  <c r="O8" i="26" s="1"/>
  <c r="C35" i="70" s="1"/>
  <c r="D35" i="70" s="1"/>
  <c r="B18" i="70" s="1"/>
  <c r="E18" i="26"/>
  <c r="M18" i="70" l="1"/>
  <c r="I18" i="70"/>
  <c r="E18" i="70"/>
  <c r="L18" i="70"/>
  <c r="H18" i="70"/>
  <c r="D18" i="70"/>
  <c r="K18" i="70"/>
  <c r="G18" i="70"/>
  <c r="C18" i="70"/>
  <c r="J18" i="70"/>
  <c r="F18" i="70"/>
  <c r="A7" i="15"/>
  <c r="O16" i="26" l="1"/>
  <c r="O12" i="26"/>
  <c r="O14" i="26"/>
  <c r="A13" i="15" l="1"/>
  <c r="A14" i="15" s="1"/>
  <c r="A15" i="15" s="1"/>
  <c r="A16" i="15" s="1"/>
  <c r="A17" i="15" s="1"/>
  <c r="A18" i="15" s="1"/>
  <c r="A19" i="15" s="1"/>
  <c r="A20" i="15" s="1"/>
  <c r="A13" i="28"/>
  <c r="A14" i="28" s="1"/>
  <c r="A15" i="28" s="1"/>
  <c r="A16" i="28" s="1"/>
  <c r="A17" i="28" s="1"/>
  <c r="A18" i="28" s="1"/>
  <c r="A19" i="28" s="1"/>
  <c r="A20" i="28" s="1"/>
  <c r="O10" i="26" l="1"/>
  <c r="C36" i="70" s="1"/>
  <c r="D36" i="70" s="1"/>
  <c r="C37" i="70" l="1"/>
  <c r="O18" i="26"/>
  <c r="J19" i="70" l="1"/>
  <c r="F19" i="70"/>
  <c r="M19" i="70"/>
  <c r="I19" i="70"/>
  <c r="E19" i="70"/>
  <c r="L19" i="70"/>
  <c r="H19" i="70"/>
  <c r="D19" i="70"/>
  <c r="K19" i="70"/>
  <c r="G19" i="70"/>
  <c r="C19" i="70"/>
  <c r="B19" i="70"/>
  <c r="D37" i="70"/>
  <c r="C14" i="15"/>
  <c r="B20" i="70" l="1"/>
  <c r="I20" i="70"/>
  <c r="H20" i="70"/>
  <c r="M20" i="70"/>
  <c r="G20" i="70"/>
  <c r="L20" i="70"/>
  <c r="F20" i="70"/>
  <c r="K20" i="70"/>
  <c r="E20" i="70"/>
  <c r="J20" i="70"/>
  <c r="C14" i="28"/>
  <c r="C20" i="70" l="1"/>
  <c r="D20" i="70"/>
  <c r="N18" i="70"/>
  <c r="N19" i="70"/>
  <c r="N20" i="70" l="1"/>
  <c r="O18" i="70" l="1"/>
  <c r="P18" i="70" s="1"/>
  <c r="O19" i="70"/>
  <c r="P19" i="70" s="1"/>
  <c r="F36" i="70"/>
  <c r="F35" i="70"/>
  <c r="Q18" i="70" l="1"/>
  <c r="O20" i="70"/>
  <c r="F37" i="70"/>
  <c r="E37" i="70"/>
  <c r="D5" i="70"/>
  <c r="E5" i="70" s="1"/>
  <c r="D6" i="70"/>
  <c r="D12" i="15" s="1"/>
  <c r="O7" i="70"/>
  <c r="O5" i="70" s="1"/>
  <c r="O6" i="70" s="1"/>
  <c r="Q19" i="70"/>
  <c r="D12" i="28" l="1"/>
  <c r="D7" i="70"/>
  <c r="E6" i="70"/>
  <c r="E7" i="70" s="1"/>
  <c r="P20" i="70"/>
  <c r="E12" i="15"/>
  <c r="E14" i="15" s="1"/>
  <c r="E16" i="15" s="1"/>
  <c r="D14" i="15"/>
  <c r="D14" i="28" l="1"/>
  <c r="E12" i="28"/>
  <c r="E14" i="28" s="1"/>
  <c r="E16" i="28" s="1"/>
  <c r="E18" i="28" s="1"/>
  <c r="E20" i="28" s="1"/>
  <c r="E18" i="15"/>
  <c r="E20" i="15" s="1"/>
</calcChain>
</file>

<file path=xl/sharedStrings.xml><?xml version="1.0" encoding="utf-8"?>
<sst xmlns="http://schemas.openxmlformats.org/spreadsheetml/2006/main" count="117" uniqueCount="89">
  <si>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</si>
  <si>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</si>
  <si>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</si>
  <si>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</si>
  <si>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</si>
  <si>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</si>
  <si>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</si>
  <si>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</si>
  <si>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</si>
  <si>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</si>
  <si>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</si>
  <si>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</si>
  <si>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</si>
  <si>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</si>
  <si>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</si>
  <si>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</si>
  <si>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</si>
  <si>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</si>
  <si>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</si>
  <si>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</si>
  <si>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</si>
  <si>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</si>
  <si>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</si>
  <si>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</si>
  <si>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</si>
  <si>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</si>
  <si>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</si>
  <si>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</si>
  <si>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Puget Itermediate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</si>
  <si>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</si>
  <si>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</si>
  <si>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</si>
  <si>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</si>
  <si>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</si>
  <si>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</si>
  <si>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</si>
  <si>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</si>
  <si>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</si>
  <si>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</si>
  <si>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</si>
  <si>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</si>
  <si>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</si>
  <si>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</si>
  <si>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</si>
  <si>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AFTER</t>
  </si>
  <si>
    <t>RECALCULATED</t>
  </si>
  <si>
    <t>FOR RECALCULATED</t>
  </si>
  <si>
    <t>total invoice</t>
  </si>
  <si>
    <t>|</t>
  </si>
  <si>
    <t>V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</si>
  <si>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</si>
  <si>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</si>
  <si>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</si>
  <si>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</si>
  <si>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</si>
  <si>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</si>
  <si>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</si>
  <si>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</si>
  <si>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UTILITY</t>
  </si>
  <si>
    <t>NON-UTILITY</t>
  </si>
  <si>
    <t>18600884/18600887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</si>
  <si>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</si>
  <si>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</si>
  <si>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</si>
  <si>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</si>
  <si>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</si>
  <si>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</si>
  <si>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</si>
  <si>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</si>
  <si>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</si>
  <si>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</si>
  <si>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</si>
  <si>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Q1 2018</t>
  </si>
  <si>
    <t>Utility</t>
  </si>
  <si>
    <t>Non-utility</t>
  </si>
  <si>
    <t>Q2 2018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</si>
  <si>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</si>
  <si>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</si>
  <si>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</si>
  <si>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12 ME Dec 18</t>
  </si>
  <si>
    <t>12 ME DEC 2018</t>
  </si>
  <si>
    <t>Q3 2018</t>
  </si>
  <si>
    <t>Q4 2018</t>
  </si>
  <si>
    <t>DETAIL OF DIRECTOR COMPENSATION EXPENSE FOR 12 MONTHS ENDED DECEMBER 2018</t>
  </si>
  <si>
    <t>FOR THE TWELVE MONTHS ENDED DECEMBER 31, 2018</t>
  </si>
  <si>
    <t>ALLOC FACTOR</t>
  </si>
  <si>
    <t>O&amp;M % SPLIT</t>
  </si>
  <si>
    <t>RESTATE TO ADJUST ATL/BTL ALLOCATION</t>
  </si>
  <si>
    <t>RESTATED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</si>
</sst>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0" fontId="18" fillId="0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2" fontId="4" fillId="0" borderId="0" xfId="0" applyNumberFormat="1" applyFont="1" applyAlignment="1" applyProtection="1">
      <alignment horizontal="right"/>
      <protection locked="0"/>
    </xf>
    <xf numFmtId="164" fontId="4" fillId="0" borderId="6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42" fontId="4" fillId="0" borderId="0" xfId="0" applyNumberFormat="1" applyFont="1" applyAlignment="1">
      <alignment horizontal="right"/>
    </xf>
    <xf numFmtId="42" fontId="4" fillId="0" borderId="7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4" fillId="0" borderId="6" xfId="0" applyNumberFormat="1" applyFont="1" applyBorder="1" applyAlignment="1" applyProtection="1">
      <alignment horizontal="right"/>
      <protection locked="0"/>
    </xf>
    <xf numFmtId="42" fontId="4" fillId="0" borderId="4" xfId="0" applyNumberFormat="1" applyFont="1" applyBorder="1" applyAlignment="1">
      <alignment horizontal="right"/>
    </xf>
    <xf numFmtId="0" fontId="6" fillId="0" borderId="0" xfId="0" applyFont="1"/>
    <xf numFmtId="41" fontId="4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3" fillId="0" borderId="0" xfId="0" applyFont="1"/>
    <xf numFmtId="166" fontId="0" fillId="0" borderId="0" xfId="0" applyNumberFormat="1" applyFill="1"/>
    <xf numFmtId="0" fontId="7" fillId="0" borderId="3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43" fontId="1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Continuous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11" fillId="0" borderId="0" xfId="0" applyFont="1" applyFill="1" applyAlignment="1">
      <alignment horizontal="right"/>
    </xf>
    <xf numFmtId="165" fontId="12" fillId="0" borderId="0" xfId="0" applyNumberFormat="1" applyFont="1" applyFill="1"/>
    <xf numFmtId="165" fontId="11" fillId="0" borderId="0" xfId="0" applyNumberFormat="1" applyFont="1" applyFill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7" fontId="0" fillId="0" borderId="0" xfId="0" applyNumberFormat="1" applyFont="1" applyFill="1"/>
    <xf numFmtId="0" fontId="2" fillId="0" borderId="6" xfId="0" applyFont="1" applyBorder="1" applyAlignment="1">
      <alignment horizontal="center"/>
    </xf>
    <xf numFmtId="41" fontId="2" fillId="0" borderId="0" xfId="0" applyNumberFormat="1" applyFont="1" applyFill="1"/>
    <xf numFmtId="0" fontId="2" fillId="0" borderId="6" xfId="0" applyFont="1" applyFill="1" applyBorder="1" applyAlignment="1">
      <alignment horizontal="centerContinuous"/>
    </xf>
    <xf numFmtId="0" fontId="2" fillId="0" borderId="0" xfId="0" applyFont="1" applyFill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6" fontId="9" fillId="0" borderId="0" xfId="0" applyNumberFormat="1" applyFont="1" applyFill="1"/>
    <xf numFmtId="167" fontId="0" fillId="0" borderId="0" xfId="0" applyNumberFormat="1" applyFont="1" applyFill="1"/>
    <xf numFmtId="167" fontId="0" fillId="0" borderId="0" xfId="0" applyNumberFormat="1" applyFill="1"/>
    <xf numFmtId="166" fontId="9" fillId="0" borderId="0" xfId="0" applyNumberFormat="1" applyFont="1" applyFill="1"/>
    <xf numFmtId="166" fontId="9" fillId="0" borderId="5" xfId="0" applyNumberFormat="1" applyFont="1" applyFill="1" applyBorder="1"/>
    <xf numFmtId="167" fontId="0" fillId="0" borderId="5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0" fillId="0" borderId="0" xfId="0" applyFont="1" applyFill="1"/>
    <xf numFmtId="42" fontId="2" fillId="0" borderId="0" xfId="0" applyNumberFormat="1" applyFont="1" applyFill="1"/>
    <xf numFmtId="42" fontId="2" fillId="0" borderId="0" xfId="0" applyNumberFormat="1" applyFont="1" applyFill="1"/>
    <xf numFmtId="42" fontId="2" fillId="0" borderId="5" xfId="0" applyNumberFormat="1" applyFont="1" applyFill="1" applyBorder="1"/>
    <xf numFmtId="42" fontId="2" fillId="0" borderId="5" xfId="0" applyNumberFormat="1" applyFont="1" applyFill="1" applyBorder="1"/>
    <xf numFmtId="0" fontId="2" fillId="0" borderId="6" xfId="0" applyFont="1" applyFill="1" applyBorder="1" applyAlignment="1">
      <alignment horizontal="centerContinuous"/>
    </xf>
    <xf numFmtId="37" fontId="14" fillId="0" borderId="0" xfId="0" applyNumberFormat="1" applyFont="1" applyFill="1"/>
    <xf numFmtId="167" fontId="2" fillId="0" borderId="0" xfId="0" applyNumberFormat="1" applyFont="1" applyFill="1"/>
    <xf numFmtId="167" fontId="2" fillId="0" borderId="5" xfId="0" applyNumberFormat="1" applyFont="1" applyFill="1" applyBorder="1"/>
    <xf numFmtId="42" fontId="4" fillId="0" borderId="0" xfId="0" applyNumberFormat="1" applyFont="1" applyFill="1" applyAlignment="1" applyProtection="1">
      <alignment horizontal="right"/>
      <protection locked="0"/>
    </xf>
    <xf numFmtId="167" fontId="2" fillId="0" borderId="0" xfId="0" applyNumberFormat="1" applyFont="1" applyFill="1" applyAlignment="1">
      <alignment horizontal="left"/>
    </xf>
    <xf numFmtId="169" fontId="2" fillId="0" borderId="7" xfId="0" applyNumberFormat="1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68" fontId="2" fillId="0" borderId="11" xfId="0" applyNumberFormat="1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/>
    </xf>
    <xf numFmtId="168" fontId="2" fillId="0" borderId="1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" fillId="0" borderId="0" xfId="0" applyFont="1" applyFill="1"/>
    <xf numFmtId="42" fontId="0" fillId="0" borderId="0" xfId="0" applyNumberFormat="1" applyFont="1" applyFill="1"/>
    <xf numFmtId="166" fontId="2" fillId="0" borderId="0" xfId="0" applyNumberFormat="1" applyFont="1" applyFill="1"/>
    <xf numFmtId="165" fontId="0" fillId="0" borderId="0" xfId="0" applyNumberFormat="1" applyFont="1" applyFill="1"/>
    <xf numFmtId="166" fontId="3" fillId="0" borderId="0" xfId="0" applyNumberFormat="1" applyFont="1" applyFill="1"/>
    <xf numFmtId="166" fontId="3" fillId="0" borderId="0" xfId="0" applyNumberFormat="1" applyFont="1" applyFill="1"/>
    <xf numFmtId="165" fontId="3" fillId="0" borderId="0" xfId="0" applyNumberFormat="1" applyFont="1" applyFill="1"/>
    <xf numFmtId="165" fontId="9" fillId="0" borderId="0" xfId="0" applyNumberFormat="1" applyFont="1" applyFill="1"/>
    <xf numFmtId="0" fontId="1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2" fontId="2" fillId="0" borderId="0" xfId="0" applyNumberFormat="1" applyFont="1" applyFill="1" applyBorder="1"/>
    <xf numFmtId="0" fontId="13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0000FF"/>
      <color rgb="FFFFCC66"/>
      <color rgb="FFFF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18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Earnings Sharing-CBR to Adj CBR"/>
      <sheetName val="Restating Print Macros"/>
      <sheetName val="Module13"/>
      <sheetName val="Module14"/>
      <sheetName val="Module15"/>
      <sheetName val="Module1"/>
      <sheetName val="model"/>
      <sheetName val="Sheet1"/>
    </sheetNames>
    <definedNames>
      <definedName name="FIT" refersTo="='model'!$BN$19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BN19">
            <v>0.21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Allocations"/>
      <sheetName val="DLReconBBS"/>
      <sheetName val="2018 March IS "/>
      <sheetName val="FERC.P354,5"/>
      <sheetName val="2017 GRC WC Det Format"/>
      <sheetName val="SAP DL DownldJAMES"/>
      <sheetName val="2"/>
    </sheetNames>
    <sheetDataSet>
      <sheetData sheetId="0">
        <row r="8">
          <cell r="E8">
            <v>1149789</v>
          </cell>
        </row>
        <row r="9">
          <cell r="E9">
            <v>0.58050000000000002</v>
          </cell>
          <cell r="F9">
            <v>0.41949999999999998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BA78">
            <v>0.49997132880489842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5.42578125" bestFit="1" customWidth="1"/>
    <col min="2" max="2" width="47" customWidth="1"/>
    <col min="3" max="3" width="10.85546875" bestFit="1" customWidth="1"/>
    <col min="4" max="4" width="10.5703125" bestFit="1" customWidth="1"/>
    <col min="5" max="5" width="13.5703125" bestFit="1" customWidth="1"/>
    <col min="7" max="7" width="10.85546875" bestFit="1" customWidth="1"/>
    <col min="8" max="8" width="10.5703125" bestFit="1" customWidth="1"/>
    <col min="9" max="9" width="13.5703125" bestFit="1" customWidth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33"/>
      <c r="B2" s="33"/>
      <c r="C2" s="33"/>
    </row>
    <row r="3" spans="1:6" x14ac:dyDescent="0.2">
      <c r="A3" s="40"/>
      <c r="B3" s="40"/>
      <c r="C3" s="40"/>
      <c r="D3" s="40"/>
      <c r="E3" s="40"/>
    </row>
    <row r="4" spans="1:6" x14ac:dyDescent="0.2">
      <c r="A4" s="29" t="s">
        <v>26</v>
      </c>
      <c r="B4" s="30"/>
      <c r="C4" s="30"/>
      <c r="D4" s="30"/>
      <c r="E4" s="31"/>
    </row>
    <row r="5" spans="1:6" x14ac:dyDescent="0.2">
      <c r="A5" s="30" t="s">
        <v>13</v>
      </c>
      <c r="B5" s="30"/>
      <c r="C5" s="30"/>
      <c r="D5" s="30"/>
      <c r="E5" s="30"/>
      <c r="F5" s="19"/>
    </row>
    <row r="6" spans="1:6" x14ac:dyDescent="0.2">
      <c r="A6" s="30" t="s">
        <v>84</v>
      </c>
      <c r="B6" s="30"/>
      <c r="C6" s="30"/>
      <c r="D6" s="30"/>
      <c r="E6" s="32"/>
      <c r="F6" s="19"/>
    </row>
    <row r="7" spans="1:6" x14ac:dyDescent="0.2">
      <c r="A7" s="29" t="s">
        <v>30</v>
      </c>
      <c r="B7" s="30"/>
      <c r="C7" s="30"/>
      <c r="D7" s="29"/>
      <c r="E7" s="32"/>
    </row>
    <row r="8" spans="1:6" x14ac:dyDescent="0.2">
      <c r="A8" s="33"/>
      <c r="B8" s="34"/>
      <c r="C8" s="34"/>
      <c r="D8" s="33"/>
      <c r="E8" s="33"/>
    </row>
    <row r="9" spans="1:6" x14ac:dyDescent="0.2">
      <c r="A9" s="35" t="s">
        <v>0</v>
      </c>
      <c r="B9" s="33"/>
      <c r="C9" s="33"/>
      <c r="D9" s="33"/>
      <c r="E9" s="33"/>
    </row>
    <row r="10" spans="1:6" x14ac:dyDescent="0.2">
      <c r="A10" s="36" t="s">
        <v>1</v>
      </c>
      <c r="B10" s="37" t="s">
        <v>2</v>
      </c>
      <c r="C10" s="36" t="s">
        <v>3</v>
      </c>
      <c r="D10" s="36" t="s">
        <v>4</v>
      </c>
      <c r="E10" s="38" t="s">
        <v>5</v>
      </c>
    </row>
    <row r="11" spans="1:6" x14ac:dyDescent="0.2">
      <c r="A11" s="5"/>
      <c r="B11" s="5"/>
      <c r="C11" s="5"/>
      <c r="D11" s="5"/>
      <c r="E11" s="5"/>
    </row>
    <row r="12" spans="1:6" x14ac:dyDescent="0.2">
      <c r="A12" s="6">
        <v>1</v>
      </c>
      <c r="B12" s="5" t="s">
        <v>6</v>
      </c>
      <c r="C12" s="74">
        <f>'Main wp'!C5</f>
        <v>84154.734218343758</v>
      </c>
      <c r="D12" s="7">
        <f>'Main wp'!D5</f>
        <v>79123.455393193595</v>
      </c>
      <c r="E12" s="7">
        <f>+D12-C12</f>
        <v>-5031.2788251501624</v>
      </c>
    </row>
    <row r="13" spans="1:6" x14ac:dyDescent="0.2">
      <c r="A13" s="6">
        <f t="shared" ref="A13:A20" si="0">A12+1</f>
        <v>2</v>
      </c>
      <c r="B13" s="5"/>
      <c r="C13" s="8"/>
      <c r="D13" s="8"/>
      <c r="E13" s="9"/>
    </row>
    <row r="14" spans="1:6" x14ac:dyDescent="0.2">
      <c r="A14" s="6">
        <f t="shared" si="0"/>
        <v>3</v>
      </c>
      <c r="B14" s="5" t="s">
        <v>11</v>
      </c>
      <c r="C14" s="10">
        <f>SUM(C12:C13)</f>
        <v>84154.734218343758</v>
      </c>
      <c r="D14" s="10">
        <f>SUM(D12:D13)</f>
        <v>79123.455393193595</v>
      </c>
      <c r="E14" s="11">
        <f>SUM(E12:E13)</f>
        <v>-5031.2788251501624</v>
      </c>
    </row>
    <row r="15" spans="1:6" x14ac:dyDescent="0.2">
      <c r="A15" s="6">
        <f t="shared" si="0"/>
        <v>4</v>
      </c>
      <c r="B15" s="5"/>
      <c r="C15" s="12"/>
      <c r="D15" s="12"/>
      <c r="E15" s="12"/>
    </row>
    <row r="16" spans="1:6" x14ac:dyDescent="0.2">
      <c r="A16" s="6">
        <f t="shared" si="0"/>
        <v>5</v>
      </c>
      <c r="B16" s="5" t="s">
        <v>12</v>
      </c>
      <c r="C16" s="12"/>
      <c r="D16" s="12"/>
      <c r="E16" s="13">
        <f>E14</f>
        <v>-5031.2788251501624</v>
      </c>
    </row>
    <row r="17" spans="1:5" x14ac:dyDescent="0.2">
      <c r="A17" s="6">
        <f t="shared" si="0"/>
        <v>6</v>
      </c>
      <c r="B17" s="5"/>
      <c r="C17" s="12"/>
      <c r="D17" s="12"/>
      <c r="E17" s="13"/>
    </row>
    <row r="18" spans="1:5" x14ac:dyDescent="0.2">
      <c r="A18" s="6">
        <f t="shared" si="0"/>
        <v>7</v>
      </c>
      <c r="B18" s="5" t="s">
        <v>7</v>
      </c>
      <c r="C18" s="12"/>
      <c r="D18" s="14">
        <v>0.21</v>
      </c>
      <c r="E18" s="18">
        <f>-E16*D18</f>
        <v>1056.5685532815342</v>
      </c>
    </row>
    <row r="19" spans="1:5" x14ac:dyDescent="0.2">
      <c r="A19" s="6">
        <f t="shared" si="0"/>
        <v>8</v>
      </c>
      <c r="B19" s="5"/>
      <c r="C19" s="12"/>
      <c r="D19" s="14"/>
      <c r="E19" s="15"/>
    </row>
    <row r="20" spans="1:5" x14ac:dyDescent="0.2">
      <c r="A20" s="6">
        <f t="shared" si="0"/>
        <v>9</v>
      </c>
      <c r="B20" s="5" t="s">
        <v>8</v>
      </c>
      <c r="C20" s="12"/>
      <c r="D20" s="12"/>
      <c r="E20" s="16">
        <f>-E16-E18</f>
        <v>3974.7102718686283</v>
      </c>
    </row>
    <row r="21" spans="1:5" x14ac:dyDescent="0.2">
      <c r="A21" s="5" t="s">
        <v>9</v>
      </c>
      <c r="B21" s="5"/>
      <c r="C21" s="12"/>
      <c r="D21" s="12"/>
      <c r="E21" s="12"/>
    </row>
    <row r="22" spans="1:5" x14ac:dyDescent="0.2">
      <c r="A22" s="5"/>
      <c r="B22" s="5"/>
      <c r="C22" s="12"/>
      <c r="D22" s="12"/>
      <c r="E22" s="12"/>
    </row>
    <row r="24" spans="1:5" x14ac:dyDescent="0.2">
      <c r="B24" s="21"/>
    </row>
    <row r="26" spans="1:5" x14ac:dyDescent="0.2">
      <c r="B26" s="21"/>
    </row>
    <row r="28" spans="1:5" x14ac:dyDescent="0.2">
      <c r="B28" s="21"/>
    </row>
    <row r="30" spans="1:5" x14ac:dyDescent="0.2">
      <c r="A30" s="17"/>
      <c r="B30" s="21"/>
    </row>
    <row r="32" spans="1:5" x14ac:dyDescent="0.2">
      <c r="B32" s="21"/>
    </row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0"/>
  <sheetViews>
    <sheetView zoomScaleNormal="100" workbookViewId="0">
      <selection activeCell="D25" sqref="D25"/>
    </sheetView>
  </sheetViews>
  <sheetFormatPr defaultRowHeight="12.75" x14ac:dyDescent="0.2"/>
  <cols>
    <col min="1" max="1" width="5.42578125" bestFit="1" customWidth="1"/>
    <col min="2" max="2" width="47" customWidth="1"/>
    <col min="3" max="3" width="11.5703125" customWidth="1"/>
    <col min="4" max="4" width="11.28515625" bestFit="1" customWidth="1"/>
    <col min="5" max="5" width="13.5703125" bestFit="1" customWidth="1"/>
    <col min="7" max="7" width="10.85546875" bestFit="1" customWidth="1"/>
    <col min="8" max="8" width="10.5703125" bestFit="1" customWidth="1"/>
    <col min="9" max="9" width="13.5703125" bestFit="1" customWidth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3"/>
      <c r="B2" s="3"/>
      <c r="C2" s="3"/>
    </row>
    <row r="3" spans="1:6" x14ac:dyDescent="0.2">
      <c r="A3" s="4"/>
      <c r="B3" s="4"/>
      <c r="C3" s="4"/>
      <c r="D3" s="4"/>
      <c r="E3" s="4"/>
    </row>
    <row r="4" spans="1:6" x14ac:dyDescent="0.2">
      <c r="A4" s="29" t="s">
        <v>14</v>
      </c>
      <c r="B4" s="30"/>
      <c r="C4" s="30"/>
      <c r="D4" s="30"/>
      <c r="E4" s="31"/>
      <c r="F4" s="19"/>
    </row>
    <row r="5" spans="1:6" x14ac:dyDescent="0.2">
      <c r="A5" s="30" t="str">
        <f>+' Elec'!A5</f>
        <v>DIRECTORS &amp; OFFICERS INSURANCE</v>
      </c>
      <c r="B5" s="30"/>
      <c r="C5" s="30"/>
      <c r="D5" s="30"/>
      <c r="E5" s="30"/>
      <c r="F5" s="19"/>
    </row>
    <row r="6" spans="1:6" x14ac:dyDescent="0.2">
      <c r="A6" s="30" t="str">
        <f>' Elec'!A6</f>
        <v>FOR THE TWELVE MONTHS ENDED DECEMBER 31, 2018</v>
      </c>
      <c r="B6" s="30"/>
      <c r="C6" s="30"/>
      <c r="D6" s="30"/>
      <c r="E6" s="32"/>
      <c r="F6" s="19"/>
    </row>
    <row r="7" spans="1:6" x14ac:dyDescent="0.2">
      <c r="A7" s="29" t="str">
        <f>' Elec'!A7</f>
        <v>COMMISSION BASIS REPORT</v>
      </c>
      <c r="B7" s="30"/>
      <c r="C7" s="30"/>
      <c r="D7" s="29"/>
      <c r="E7" s="32"/>
      <c r="F7" s="19"/>
    </row>
    <row r="8" spans="1:6" x14ac:dyDescent="0.2">
      <c r="A8" s="33"/>
      <c r="B8" s="34"/>
      <c r="C8" s="34"/>
      <c r="D8" s="33"/>
      <c r="E8" s="33"/>
      <c r="F8" s="19"/>
    </row>
    <row r="9" spans="1:6" x14ac:dyDescent="0.2">
      <c r="A9" s="35" t="s">
        <v>0</v>
      </c>
      <c r="B9" s="33"/>
      <c r="C9" s="33"/>
      <c r="D9" s="33"/>
      <c r="E9" s="33"/>
      <c r="F9" s="19"/>
    </row>
    <row r="10" spans="1:6" x14ac:dyDescent="0.2">
      <c r="A10" s="36" t="s">
        <v>1</v>
      </c>
      <c r="B10" s="37" t="s">
        <v>2</v>
      </c>
      <c r="C10" s="36" t="s">
        <v>3</v>
      </c>
      <c r="D10" s="36" t="s">
        <v>4</v>
      </c>
      <c r="E10" s="38" t="s">
        <v>5</v>
      </c>
      <c r="F10" s="19"/>
    </row>
    <row r="11" spans="1:6" x14ac:dyDescent="0.2">
      <c r="A11" s="39"/>
      <c r="B11" s="39"/>
      <c r="C11" s="39"/>
      <c r="D11" s="39"/>
      <c r="E11" s="39"/>
      <c r="F11" s="19"/>
    </row>
    <row r="12" spans="1:6" x14ac:dyDescent="0.2">
      <c r="A12" s="6">
        <v>1</v>
      </c>
      <c r="B12" s="5" t="s">
        <v>6</v>
      </c>
      <c r="C12" s="74">
        <f>'Main wp'!C6</f>
        <v>60814.661506623946</v>
      </c>
      <c r="D12" s="7">
        <f>'Main wp'!D6</f>
        <v>57178.793346157981</v>
      </c>
      <c r="E12" s="7">
        <f>+D12-C12</f>
        <v>-3635.868160465965</v>
      </c>
    </row>
    <row r="13" spans="1:6" x14ac:dyDescent="0.2">
      <c r="A13" s="6">
        <f t="shared" ref="A13:A20" si="0">A12+1</f>
        <v>2</v>
      </c>
      <c r="B13" s="5"/>
      <c r="C13" s="8"/>
      <c r="D13" s="8"/>
      <c r="E13" s="9"/>
    </row>
    <row r="14" spans="1:6" x14ac:dyDescent="0.2">
      <c r="A14" s="6">
        <f>A13+1</f>
        <v>3</v>
      </c>
      <c r="B14" s="5" t="s">
        <v>11</v>
      </c>
      <c r="C14" s="10">
        <f>SUM(C12:C13)</f>
        <v>60814.661506623946</v>
      </c>
      <c r="D14" s="10">
        <f>SUM(D12:D13)</f>
        <v>57178.793346157981</v>
      </c>
      <c r="E14" s="11">
        <f>SUM(E12:E13)</f>
        <v>-3635.868160465965</v>
      </c>
    </row>
    <row r="15" spans="1:6" x14ac:dyDescent="0.2">
      <c r="A15" s="6">
        <f t="shared" si="0"/>
        <v>4</v>
      </c>
      <c r="B15" s="5"/>
      <c r="C15" s="12"/>
      <c r="D15" s="12"/>
      <c r="E15" s="12"/>
    </row>
    <row r="16" spans="1:6" x14ac:dyDescent="0.2">
      <c r="A16" s="6">
        <f t="shared" si="0"/>
        <v>5</v>
      </c>
      <c r="B16" s="5" t="s">
        <v>12</v>
      </c>
      <c r="C16" s="12"/>
      <c r="D16" s="12"/>
      <c r="E16" s="13">
        <f>E14</f>
        <v>-3635.868160465965</v>
      </c>
    </row>
    <row r="17" spans="1:5" x14ac:dyDescent="0.2">
      <c r="A17" s="6">
        <f t="shared" si="0"/>
        <v>6</v>
      </c>
      <c r="B17" s="5"/>
      <c r="C17" s="12"/>
      <c r="D17" s="12"/>
      <c r="E17" s="13"/>
    </row>
    <row r="18" spans="1:5" x14ac:dyDescent="0.2">
      <c r="A18" s="6">
        <f t="shared" si="0"/>
        <v>7</v>
      </c>
      <c r="B18" s="5" t="s">
        <v>7</v>
      </c>
      <c r="C18" s="12"/>
      <c r="D18" s="14">
        <f>+[1]!FIT</f>
        <v>0.21</v>
      </c>
      <c r="E18" s="18">
        <f>-E16*D18</f>
        <v>763.5323136978526</v>
      </c>
    </row>
    <row r="19" spans="1:5" x14ac:dyDescent="0.2">
      <c r="A19" s="6">
        <f t="shared" si="0"/>
        <v>8</v>
      </c>
      <c r="B19" s="5"/>
      <c r="C19" s="12"/>
      <c r="D19" s="14"/>
      <c r="E19" s="15"/>
    </row>
    <row r="20" spans="1:5" x14ac:dyDescent="0.2">
      <c r="A20" s="6">
        <f t="shared" si="0"/>
        <v>9</v>
      </c>
      <c r="B20" s="5" t="s">
        <v>8</v>
      </c>
      <c r="C20" s="12"/>
      <c r="D20" s="12"/>
      <c r="E20" s="16">
        <f>-E16-E18</f>
        <v>2872.3358467681123</v>
      </c>
    </row>
    <row r="21" spans="1:5" x14ac:dyDescent="0.2">
      <c r="A21" s="5" t="s">
        <v>9</v>
      </c>
      <c r="B21" s="5"/>
      <c r="C21" s="12"/>
      <c r="D21" s="12"/>
      <c r="E21" s="12"/>
    </row>
    <row r="22" spans="1:5" x14ac:dyDescent="0.2">
      <c r="A22" s="5"/>
      <c r="B22" s="5"/>
      <c r="C22" s="12"/>
      <c r="D22" s="12"/>
      <c r="E22" s="12"/>
    </row>
    <row r="30" spans="1:5" x14ac:dyDescent="0.2">
      <c r="A30" s="17"/>
    </row>
  </sheetData>
  <phoneticPr fontId="0" type="noConversion"/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0"/>
  <sheetViews>
    <sheetView workbookViewId="0">
      <selection activeCell="D26" sqref="D26"/>
    </sheetView>
  </sheetViews>
  <sheetFormatPr defaultColWidth="8.85546875" defaultRowHeight="15" x14ac:dyDescent="0.25"/>
  <cols>
    <col min="1" max="1" width="14.140625" style="44" bestFit="1" customWidth="1"/>
    <col min="2" max="2" width="10.7109375" style="44" bestFit="1" customWidth="1"/>
    <col min="3" max="3" width="10.28515625" style="44" bestFit="1" customWidth="1"/>
    <col min="4" max="4" width="10" style="44" bestFit="1" customWidth="1"/>
    <col min="5" max="5" width="11.85546875" style="44" customWidth="1"/>
    <col min="6" max="6" width="11.42578125" style="44" customWidth="1"/>
    <col min="7" max="13" width="9" style="44" bestFit="1" customWidth="1"/>
    <col min="14" max="14" width="13.42578125" style="44" bestFit="1" customWidth="1"/>
    <col min="15" max="15" width="17" style="44" customWidth="1"/>
    <col min="16" max="16" width="17.85546875" style="44" bestFit="1" customWidth="1"/>
    <col min="17" max="17" width="15.28515625" style="44" bestFit="1" customWidth="1"/>
    <col min="18" max="18" width="12.28515625" style="44" bestFit="1" customWidth="1"/>
    <col min="19" max="16384" width="8.85546875" style="44"/>
  </cols>
  <sheetData>
    <row r="1" spans="1:17" x14ac:dyDescent="0.25">
      <c r="M1" s="46" t="s">
        <v>86</v>
      </c>
    </row>
    <row r="2" spans="1:17" x14ac:dyDescent="0.25">
      <c r="M2" s="1">
        <f>+[2]Lead!$G$43</f>
        <v>0.49997132880489842</v>
      </c>
      <c r="O2" s="97"/>
    </row>
    <row r="3" spans="1:17" x14ac:dyDescent="0.25">
      <c r="A3" s="48" t="s">
        <v>36</v>
      </c>
      <c r="E3" s="46" t="s">
        <v>5</v>
      </c>
      <c r="O3" s="97"/>
    </row>
    <row r="4" spans="1:17" x14ac:dyDescent="0.25">
      <c r="A4" s="46" t="s">
        <v>85</v>
      </c>
      <c r="C4" s="50" t="s">
        <v>37</v>
      </c>
      <c r="D4" s="50" t="s">
        <v>4</v>
      </c>
      <c r="E4" s="50" t="s">
        <v>38</v>
      </c>
      <c r="N4" s="50" t="s">
        <v>37</v>
      </c>
      <c r="O4" s="50" t="s">
        <v>88</v>
      </c>
    </row>
    <row r="5" spans="1:17" x14ac:dyDescent="0.25">
      <c r="A5" s="1">
        <f>+[2]Lead!$E$9</f>
        <v>0.58050000000000002</v>
      </c>
      <c r="B5" s="47" t="s">
        <v>39</v>
      </c>
      <c r="C5" s="66">
        <f>N13*M2*A5</f>
        <v>84154.734218343758</v>
      </c>
      <c r="D5" s="67">
        <f>O18*M2*A5</f>
        <v>79123.455393193595</v>
      </c>
      <c r="E5" s="67">
        <f>D5-C5</f>
        <v>-5031.2788251501624</v>
      </c>
      <c r="F5" s="47"/>
      <c r="G5" s="47"/>
      <c r="H5" s="47"/>
      <c r="I5" s="47"/>
      <c r="J5" s="47"/>
      <c r="K5" s="47"/>
      <c r="L5" s="47"/>
      <c r="M5" s="47" t="s">
        <v>40</v>
      </c>
      <c r="N5" s="66">
        <f>N7*M2</f>
        <v>144969.3957249677</v>
      </c>
      <c r="O5" s="66">
        <f>O7*M2</f>
        <v>136302.24873935158</v>
      </c>
      <c r="Q5" s="47"/>
    </row>
    <row r="6" spans="1:17" x14ac:dyDescent="0.25">
      <c r="A6" s="1">
        <f>+[2]Lead!$F$9</f>
        <v>0.41949999999999998</v>
      </c>
      <c r="B6" s="47" t="s">
        <v>41</v>
      </c>
      <c r="C6" s="51">
        <f>N13*M2*A6</f>
        <v>60814.661506623946</v>
      </c>
      <c r="D6" s="51">
        <f>O18*M2*A6</f>
        <v>57178.793346157981</v>
      </c>
      <c r="E6" s="51">
        <f>D6-C6</f>
        <v>-3635.868160465965</v>
      </c>
      <c r="F6" s="47"/>
      <c r="G6" s="47"/>
      <c r="H6" s="47"/>
      <c r="I6" s="47"/>
      <c r="J6" s="47"/>
      <c r="K6" s="47"/>
      <c r="L6" s="47"/>
      <c r="M6" s="47" t="s">
        <v>42</v>
      </c>
      <c r="N6" s="51">
        <f>N7-N5</f>
        <v>144986.02246169891</v>
      </c>
      <c r="O6" s="51">
        <f>O7-O5</f>
        <v>136317.88142923295</v>
      </c>
      <c r="Q6" s="47"/>
    </row>
    <row r="7" spans="1:17" ht="15.75" thickBot="1" x14ac:dyDescent="0.3">
      <c r="A7" s="47"/>
      <c r="B7" s="47"/>
      <c r="C7" s="68">
        <f>SUM(C5:C6)</f>
        <v>144969.3957249677</v>
      </c>
      <c r="D7" s="68">
        <f t="shared" ref="D7" si="0">SUM(D5:D6)</f>
        <v>136302.24873935158</v>
      </c>
      <c r="E7" s="69">
        <f>SUM(E5:E6)</f>
        <v>-8667.1469856161275</v>
      </c>
      <c r="F7" s="47"/>
      <c r="G7" s="47"/>
      <c r="H7" s="47"/>
      <c r="I7" s="47"/>
      <c r="J7" s="47"/>
      <c r="K7" s="47"/>
      <c r="L7" s="47"/>
      <c r="M7" s="47"/>
      <c r="N7" s="69">
        <f>N13</f>
        <v>289955.41818666662</v>
      </c>
      <c r="O7" s="69">
        <f>O18</f>
        <v>272620.13016858452</v>
      </c>
      <c r="Q7" s="47"/>
    </row>
    <row r="8" spans="1:17" ht="15.75" thickTop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5.75" thickBot="1" x14ac:dyDescent="0.3">
      <c r="A10" s="47"/>
      <c r="B10" s="81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ht="15.75" thickBot="1" x14ac:dyDescent="0.3">
      <c r="A11" s="70"/>
      <c r="B11" s="82">
        <v>43131</v>
      </c>
      <c r="C11" s="83">
        <v>43159</v>
      </c>
      <c r="D11" s="83">
        <v>43190</v>
      </c>
      <c r="E11" s="83">
        <v>43220</v>
      </c>
      <c r="F11" s="82">
        <v>43251</v>
      </c>
      <c r="G11" s="83">
        <v>43281</v>
      </c>
      <c r="H11" s="83">
        <v>43312</v>
      </c>
      <c r="I11" s="83">
        <v>43343</v>
      </c>
      <c r="J11" s="83">
        <v>43373</v>
      </c>
      <c r="K11" s="83">
        <v>43404</v>
      </c>
      <c r="L11" s="83">
        <v>43434</v>
      </c>
      <c r="M11" s="84">
        <v>43465</v>
      </c>
      <c r="N11" s="94" t="s">
        <v>79</v>
      </c>
      <c r="O11" s="52" t="s">
        <v>43</v>
      </c>
      <c r="P11" s="52"/>
      <c r="Q11" s="47"/>
    </row>
    <row r="12" spans="1:17" x14ac:dyDescent="0.25">
      <c r="A12" s="53" t="s">
        <v>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47"/>
      <c r="P12" s="47"/>
      <c r="Q12" s="47"/>
    </row>
    <row r="13" spans="1:17" x14ac:dyDescent="0.25">
      <c r="A13" s="53" t="s">
        <v>73</v>
      </c>
      <c r="B13" s="66">
        <v>24902.263956666666</v>
      </c>
      <c r="C13" s="66">
        <v>24902.263956666666</v>
      </c>
      <c r="D13" s="66">
        <v>24902.263956666666</v>
      </c>
      <c r="E13" s="66">
        <v>24902.263956666666</v>
      </c>
      <c r="F13" s="66">
        <v>23793.295295</v>
      </c>
      <c r="G13" s="66">
        <v>23793.295295</v>
      </c>
      <c r="H13" s="66">
        <v>23793.295295</v>
      </c>
      <c r="I13" s="66">
        <v>23793.295295</v>
      </c>
      <c r="J13" s="66">
        <v>23793.295295</v>
      </c>
      <c r="K13" s="66">
        <v>23793.295295</v>
      </c>
      <c r="L13" s="66">
        <v>23793.295295</v>
      </c>
      <c r="M13" s="66">
        <v>23793.295295</v>
      </c>
      <c r="N13" s="66">
        <f>SUM(B13:M13)</f>
        <v>289955.41818666662</v>
      </c>
      <c r="O13" s="54" t="s">
        <v>44</v>
      </c>
      <c r="P13" s="54" t="s">
        <v>5</v>
      </c>
      <c r="Q13" s="47"/>
    </row>
    <row r="14" spans="1:17" x14ac:dyDescent="0.25">
      <c r="A14" s="53" t="s">
        <v>74</v>
      </c>
      <c r="B14" s="51">
        <v>2523.1368766666665</v>
      </c>
      <c r="C14" s="51">
        <v>2523.1368766666665</v>
      </c>
      <c r="D14" s="51">
        <v>2523.1368766666665</v>
      </c>
      <c r="E14" s="51">
        <v>2523.1368766666665</v>
      </c>
      <c r="F14" s="51">
        <v>1957.0242883333331</v>
      </c>
      <c r="G14" s="51">
        <v>1957.0242883333331</v>
      </c>
      <c r="H14" s="51">
        <v>1957.0242883333331</v>
      </c>
      <c r="I14" s="51">
        <v>1957.0242883333331</v>
      </c>
      <c r="J14" s="51">
        <v>1957.0242883333331</v>
      </c>
      <c r="K14" s="51">
        <v>1957.0242883333331</v>
      </c>
      <c r="L14" s="51">
        <v>1957.0242883333331</v>
      </c>
      <c r="M14" s="51">
        <v>1957.0242883333331</v>
      </c>
      <c r="N14" s="51">
        <f>SUM(B14:M14)</f>
        <v>25748.741813333338</v>
      </c>
      <c r="O14" s="55" t="s">
        <v>45</v>
      </c>
      <c r="P14" s="55" t="s">
        <v>46</v>
      </c>
      <c r="Q14" s="47"/>
    </row>
    <row r="15" spans="1:17" ht="15.75" thickBot="1" x14ac:dyDescent="0.3">
      <c r="A15" s="53" t="s">
        <v>47</v>
      </c>
      <c r="B15" s="68">
        <f>SUM(B13:B14)</f>
        <v>27425.400833333333</v>
      </c>
      <c r="C15" s="68">
        <f t="shared" ref="C15:M15" si="1">SUM(C13:C14)</f>
        <v>27425.400833333333</v>
      </c>
      <c r="D15" s="68">
        <f t="shared" si="1"/>
        <v>27425.400833333333</v>
      </c>
      <c r="E15" s="68">
        <f t="shared" si="1"/>
        <v>27425.400833333333</v>
      </c>
      <c r="F15" s="68">
        <f t="shared" si="1"/>
        <v>25750.319583333334</v>
      </c>
      <c r="G15" s="68">
        <f t="shared" si="1"/>
        <v>25750.319583333334</v>
      </c>
      <c r="H15" s="68">
        <f t="shared" si="1"/>
        <v>25750.319583333334</v>
      </c>
      <c r="I15" s="68">
        <f t="shared" si="1"/>
        <v>25750.319583333334</v>
      </c>
      <c r="J15" s="68">
        <f t="shared" si="1"/>
        <v>25750.319583333334</v>
      </c>
      <c r="K15" s="68">
        <f t="shared" si="1"/>
        <v>25750.319583333334</v>
      </c>
      <c r="L15" s="68">
        <f t="shared" si="1"/>
        <v>25750.319583333334</v>
      </c>
      <c r="M15" s="68">
        <f t="shared" si="1"/>
        <v>25750.319583333334</v>
      </c>
      <c r="N15" s="69">
        <f>SUM(N13:N14)</f>
        <v>315704.15999999997</v>
      </c>
      <c r="O15" s="56" t="s">
        <v>43</v>
      </c>
      <c r="P15" s="56" t="s">
        <v>43</v>
      </c>
      <c r="Q15" s="47"/>
    </row>
    <row r="16" spans="1:17" ht="15.75" thickTop="1" x14ac:dyDescent="0.25">
      <c r="A16" s="53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71"/>
      <c r="O16" s="48" t="s">
        <v>48</v>
      </c>
      <c r="P16" s="48" t="s">
        <v>48</v>
      </c>
      <c r="Q16" s="47"/>
    </row>
    <row r="17" spans="1:17" x14ac:dyDescent="0.25">
      <c r="A17" s="53" t="s">
        <v>87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48" t="s">
        <v>49</v>
      </c>
      <c r="P17" s="48" t="s">
        <v>49</v>
      </c>
      <c r="Q17" s="47"/>
    </row>
    <row r="18" spans="1:17" x14ac:dyDescent="0.25">
      <c r="A18" s="53" t="s">
        <v>73</v>
      </c>
      <c r="B18" s="66">
        <f>B15*$D$35</f>
        <v>23682.666535369503</v>
      </c>
      <c r="C18" s="66">
        <f t="shared" ref="C18:M18" si="2">C15*$D$35</f>
        <v>23682.666535369503</v>
      </c>
      <c r="D18" s="66">
        <f t="shared" si="2"/>
        <v>23682.666535369503</v>
      </c>
      <c r="E18" s="66">
        <f t="shared" si="2"/>
        <v>23682.666535369503</v>
      </c>
      <c r="F18" s="66">
        <f t="shared" si="2"/>
        <v>22236.183003388309</v>
      </c>
      <c r="G18" s="66">
        <f t="shared" si="2"/>
        <v>22236.183003388309</v>
      </c>
      <c r="H18" s="66">
        <f t="shared" si="2"/>
        <v>22236.183003388309</v>
      </c>
      <c r="I18" s="66">
        <f t="shared" si="2"/>
        <v>22236.183003388309</v>
      </c>
      <c r="J18" s="66">
        <f t="shared" si="2"/>
        <v>22236.183003388309</v>
      </c>
      <c r="K18" s="66">
        <f t="shared" si="2"/>
        <v>22236.183003388309</v>
      </c>
      <c r="L18" s="66">
        <f t="shared" si="2"/>
        <v>22236.183003388309</v>
      </c>
      <c r="M18" s="66">
        <f t="shared" si="2"/>
        <v>22236.183003388309</v>
      </c>
      <c r="N18" s="66">
        <f>SUM(B18:M18)</f>
        <v>272620.13016858452</v>
      </c>
      <c r="O18" s="66">
        <f>N20*D35</f>
        <v>272620.13016858452</v>
      </c>
      <c r="P18" s="67">
        <f>O18-N13</f>
        <v>-17335.288018082094</v>
      </c>
      <c r="Q18" s="75">
        <f>O18/N20</f>
        <v>0.86353037023200607</v>
      </c>
    </row>
    <row r="19" spans="1:17" x14ac:dyDescent="0.25">
      <c r="A19" s="53" t="s">
        <v>74</v>
      </c>
      <c r="B19" s="51">
        <f>B15*$D$36</f>
        <v>3742.7342979638329</v>
      </c>
      <c r="C19" s="51">
        <f t="shared" ref="C19:M19" si="3">C15*$D$36</f>
        <v>3742.7342979638329</v>
      </c>
      <c r="D19" s="51">
        <f t="shared" si="3"/>
        <v>3742.7342979638329</v>
      </c>
      <c r="E19" s="51">
        <f t="shared" si="3"/>
        <v>3742.7342979638329</v>
      </c>
      <c r="F19" s="51">
        <f t="shared" si="3"/>
        <v>3514.1365799450246</v>
      </c>
      <c r="G19" s="51">
        <f t="shared" si="3"/>
        <v>3514.1365799450246</v>
      </c>
      <c r="H19" s="51">
        <f t="shared" si="3"/>
        <v>3514.1365799450246</v>
      </c>
      <c r="I19" s="51">
        <f t="shared" si="3"/>
        <v>3514.1365799450246</v>
      </c>
      <c r="J19" s="51">
        <f t="shared" si="3"/>
        <v>3514.1365799450246</v>
      </c>
      <c r="K19" s="51">
        <f t="shared" si="3"/>
        <v>3514.1365799450246</v>
      </c>
      <c r="L19" s="51">
        <f t="shared" si="3"/>
        <v>3514.1365799450246</v>
      </c>
      <c r="M19" s="51">
        <f t="shared" si="3"/>
        <v>3514.1365799450246</v>
      </c>
      <c r="N19" s="51">
        <f>SUM(B19:M19)</f>
        <v>43084.029831415522</v>
      </c>
      <c r="O19" s="51">
        <f>N20*D36</f>
        <v>43084.02983141553</v>
      </c>
      <c r="P19" s="51">
        <f>O19-N14</f>
        <v>17335.288018082192</v>
      </c>
      <c r="Q19" s="75">
        <f>O19/N20</f>
        <v>0.13646962976799396</v>
      </c>
    </row>
    <row r="20" spans="1:17" ht="15.75" thickBot="1" x14ac:dyDescent="0.3">
      <c r="A20" s="53" t="s">
        <v>47</v>
      </c>
      <c r="B20" s="68">
        <f>SUM(B18:B19)</f>
        <v>27425.400833333337</v>
      </c>
      <c r="C20" s="68">
        <f t="shared" ref="C20:N20" si="4">SUM(C18:C19)</f>
        <v>27425.400833333337</v>
      </c>
      <c r="D20" s="68">
        <f>SUM(D18:D19)</f>
        <v>27425.400833333337</v>
      </c>
      <c r="E20" s="68">
        <f t="shared" si="4"/>
        <v>27425.400833333337</v>
      </c>
      <c r="F20" s="68">
        <f t="shared" si="4"/>
        <v>25750.319583333334</v>
      </c>
      <c r="G20" s="68">
        <f t="shared" si="4"/>
        <v>25750.319583333334</v>
      </c>
      <c r="H20" s="68">
        <f>SUM(H18:H19)</f>
        <v>25750.319583333334</v>
      </c>
      <c r="I20" s="68">
        <f t="shared" si="4"/>
        <v>25750.319583333334</v>
      </c>
      <c r="J20" s="68">
        <f>SUM(J18:J19)</f>
        <v>25750.319583333334</v>
      </c>
      <c r="K20" s="68">
        <f t="shared" si="4"/>
        <v>25750.319583333334</v>
      </c>
      <c r="L20" s="68">
        <f>SUM(L18:L19)</f>
        <v>25750.319583333334</v>
      </c>
      <c r="M20" s="68">
        <f t="shared" si="4"/>
        <v>25750.319583333334</v>
      </c>
      <c r="N20" s="69">
        <f t="shared" si="4"/>
        <v>315704.16000000003</v>
      </c>
      <c r="O20" s="68">
        <f>SUM(O18:O19)</f>
        <v>315704.16000000003</v>
      </c>
      <c r="P20" s="68">
        <f>SUM(P18:P19)</f>
        <v>9.822542779147625E-11</v>
      </c>
      <c r="Q20" s="47"/>
    </row>
    <row r="21" spans="1:17" ht="15.75" thickTop="1" x14ac:dyDescent="0.25">
      <c r="A21" s="5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71"/>
      <c r="O21" s="47"/>
      <c r="P21" s="47"/>
      <c r="Q21" s="47"/>
    </row>
    <row r="22" spans="1:17" x14ac:dyDescent="0.25">
      <c r="A22" s="8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86"/>
    </row>
    <row r="23" spans="1:17" x14ac:dyDescent="0.25">
      <c r="A23" s="8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86"/>
    </row>
    <row r="24" spans="1:17" x14ac:dyDescent="0.25">
      <c r="A24" s="8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86"/>
    </row>
    <row r="25" spans="1:17" x14ac:dyDescent="0.25">
      <c r="A25" s="8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86"/>
    </row>
    <row r="26" spans="1:17" x14ac:dyDescent="0.25">
      <c r="A26" s="53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47"/>
    </row>
    <row r="27" spans="1:17" x14ac:dyDescent="0.25">
      <c r="A27" s="8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86"/>
    </row>
    <row r="28" spans="1:17" x14ac:dyDescent="0.25">
      <c r="A28" s="8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86"/>
    </row>
    <row r="29" spans="1:17" x14ac:dyDescent="0.25">
      <c r="A29" s="8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86"/>
    </row>
    <row r="30" spans="1:17" x14ac:dyDescent="0.25">
      <c r="A30" s="8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86"/>
    </row>
    <row r="31" spans="1:17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96"/>
      <c r="O31" s="96"/>
      <c r="P31" s="96"/>
      <c r="Q31" s="47"/>
    </row>
    <row r="32" spans="1:17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96"/>
      <c r="O32" s="96"/>
      <c r="P32" s="96"/>
      <c r="Q32" s="47"/>
    </row>
    <row r="33" spans="1:17" x14ac:dyDescent="0.25">
      <c r="A33" s="47"/>
      <c r="B33" s="63" t="s">
        <v>50</v>
      </c>
      <c r="C33" s="63" t="s">
        <v>51</v>
      </c>
      <c r="D33" s="63" t="s">
        <v>52</v>
      </c>
      <c r="E33" s="63" t="s">
        <v>53</v>
      </c>
      <c r="F33" s="47"/>
      <c r="G33" s="47"/>
      <c r="H33" s="47"/>
      <c r="I33" s="47"/>
      <c r="J33" s="47"/>
      <c r="K33" s="47"/>
      <c r="L33" s="47"/>
      <c r="M33" s="47"/>
      <c r="N33" s="96"/>
      <c r="O33" s="96"/>
      <c r="P33" s="96"/>
      <c r="Q33" s="47"/>
    </row>
    <row r="34" spans="1:17" x14ac:dyDescent="0.25">
      <c r="A34" s="47"/>
      <c r="B34" s="64" t="s">
        <v>55</v>
      </c>
      <c r="C34" s="64" t="s">
        <v>56</v>
      </c>
      <c r="D34" s="64" t="s">
        <v>57</v>
      </c>
      <c r="E34" s="64" t="s">
        <v>43</v>
      </c>
      <c r="F34" s="64" t="s">
        <v>5</v>
      </c>
      <c r="G34" s="47"/>
      <c r="H34" s="47"/>
      <c r="I34" s="47"/>
      <c r="J34" s="47"/>
      <c r="K34" s="47"/>
      <c r="L34" s="47"/>
      <c r="M34" s="47"/>
      <c r="N34" s="96"/>
      <c r="O34" s="96"/>
      <c r="P34" s="96"/>
      <c r="Q34" s="47"/>
    </row>
    <row r="35" spans="1:17" x14ac:dyDescent="0.25">
      <c r="A35" s="47" t="s">
        <v>58</v>
      </c>
      <c r="B35" s="72">
        <f>'CE Allocation'!D7</f>
        <v>0.98830727446645128</v>
      </c>
      <c r="C35" s="72">
        <f>'Director''s Fees'!O8</f>
        <v>0.73875346599756087</v>
      </c>
      <c r="D35" s="72">
        <f>AVERAGE(B35:C35)</f>
        <v>0.86353037023200607</v>
      </c>
      <c r="E35" s="72">
        <f>N13/N15</f>
        <v>0.91844028341807926</v>
      </c>
      <c r="F35" s="72">
        <f>D35-E35</f>
        <v>-5.4909913186073189E-2</v>
      </c>
      <c r="G35" s="47"/>
      <c r="H35" s="47"/>
      <c r="I35" s="47"/>
      <c r="J35" s="47"/>
      <c r="K35" s="47"/>
      <c r="L35" s="47"/>
      <c r="M35" s="47"/>
      <c r="N35" s="96"/>
      <c r="O35" s="96"/>
      <c r="P35" s="96"/>
      <c r="Q35" s="47"/>
    </row>
    <row r="36" spans="1:17" x14ac:dyDescent="0.25">
      <c r="A36" s="47" t="s">
        <v>59</v>
      </c>
      <c r="B36" s="72">
        <f>'CE Allocation'!E7</f>
        <v>1.1692725533548722E-2</v>
      </c>
      <c r="C36" s="72">
        <f>SUM('Director''s Fees'!O10:O17)</f>
        <v>0.26124653400243919</v>
      </c>
      <c r="D36" s="72">
        <f>AVERAGE(B36:C36)</f>
        <v>0.13646962976799396</v>
      </c>
      <c r="E36" s="72">
        <f>N14/N15</f>
        <v>8.1559716581920683E-2</v>
      </c>
      <c r="F36" s="72">
        <f>D36-E36</f>
        <v>5.4909913186073273E-2</v>
      </c>
      <c r="G36" s="47"/>
      <c r="H36" s="47"/>
      <c r="I36" s="47"/>
      <c r="J36" s="47"/>
      <c r="K36" s="47"/>
      <c r="L36" s="47"/>
      <c r="M36" s="47"/>
      <c r="N36" s="96"/>
      <c r="O36" s="96"/>
      <c r="P36" s="96"/>
      <c r="Q36" s="47"/>
    </row>
    <row r="37" spans="1:17" ht="15.75" thickBot="1" x14ac:dyDescent="0.3">
      <c r="A37" s="47" t="s">
        <v>54</v>
      </c>
      <c r="B37" s="73">
        <f>SUM(B35:B36)</f>
        <v>1</v>
      </c>
      <c r="C37" s="73">
        <f>SUM(C35:C36)</f>
        <v>1</v>
      </c>
      <c r="D37" s="73">
        <f>SUM(D35:D36)</f>
        <v>1</v>
      </c>
      <c r="E37" s="73">
        <f>SUM(E35:E36)</f>
        <v>1</v>
      </c>
      <c r="F37" s="73">
        <f>SUM(F35:F36)</f>
        <v>8.3266726846886741E-17</v>
      </c>
      <c r="G37" s="47"/>
      <c r="H37" s="47"/>
      <c r="I37" s="47"/>
      <c r="J37" s="47"/>
      <c r="K37" s="47"/>
      <c r="L37" s="47"/>
      <c r="M37" s="47"/>
      <c r="N37" s="96"/>
      <c r="O37" s="96"/>
      <c r="P37" s="96"/>
      <c r="Q37" s="47"/>
    </row>
    <row r="38" spans="1:17" ht="15.75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 t="s">
        <v>77</v>
      </c>
      <c r="K38" s="47"/>
      <c r="L38" s="47"/>
      <c r="M38" s="47"/>
      <c r="N38" s="96"/>
      <c r="O38" s="96"/>
      <c r="P38" s="96"/>
      <c r="Q38" s="47"/>
    </row>
    <row r="39" spans="1:17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7" x14ac:dyDescent="0.2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</row>
    <row r="41" spans="1:17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7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7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7" x14ac:dyDescent="0.25">
      <c r="B44" s="47"/>
      <c r="C44" s="47"/>
      <c r="D44" s="47"/>
      <c r="E44" s="47"/>
      <c r="F44" s="47" t="s">
        <v>76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7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7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</row>
    <row r="47" spans="1:17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7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2:16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</row>
    <row r="50" spans="2:16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</row>
    <row r="51" spans="2:16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</row>
    <row r="52" spans="2:16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</row>
    <row r="53" spans="2:16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</row>
    <row r="54" spans="2:16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2:16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2:16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2:16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2:16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2:16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2:16" x14ac:dyDescent="0.25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2:16" x14ac:dyDescent="0.25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2:16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2:16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2:16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2:16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</row>
    <row r="66" spans="2:16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6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6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</row>
    <row r="69" spans="2:16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</row>
    <row r="70" spans="2:16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</row>
    <row r="71" spans="2:16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</row>
    <row r="72" spans="2:16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  <row r="73" spans="2:16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</row>
    <row r="74" spans="2:16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</row>
    <row r="75" spans="2:16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  <row r="76" spans="2:16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</row>
    <row r="77" spans="2:16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</row>
    <row r="78" spans="2:16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</row>
    <row r="79" spans="2:16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</row>
    <row r="80" spans="2:16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2:16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</row>
    <row r="82" spans="2:16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</row>
    <row r="83" spans="2:16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</row>
    <row r="84" spans="2:16" x14ac:dyDescent="0.2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</row>
    <row r="85" spans="2:16" x14ac:dyDescent="0.25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</row>
    <row r="86" spans="2:16" x14ac:dyDescent="0.25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</row>
    <row r="87" spans="2:16" x14ac:dyDescent="0.25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</row>
    <row r="88" spans="2:16" x14ac:dyDescent="0.25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  <row r="89" spans="2:16" x14ac:dyDescent="0.25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</row>
    <row r="90" spans="2:16" x14ac:dyDescent="0.25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</row>
    <row r="91" spans="2:16" x14ac:dyDescent="0.25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</row>
    <row r="92" spans="2:16" x14ac:dyDescent="0.25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2:16" x14ac:dyDescent="0.25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</row>
    <row r="94" spans="2:16" x14ac:dyDescent="0.25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</row>
    <row r="95" spans="2:16" x14ac:dyDescent="0.25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</row>
    <row r="96" spans="2:16" x14ac:dyDescent="0.25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</row>
    <row r="97" spans="2:16" x14ac:dyDescent="0.25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</row>
    <row r="98" spans="2:16" x14ac:dyDescent="0.25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</row>
    <row r="99" spans="2:16" x14ac:dyDescent="0.25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</row>
    <row r="100" spans="2:16" x14ac:dyDescent="0.25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</row>
    <row r="101" spans="2:16" x14ac:dyDescent="0.25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</row>
    <row r="102" spans="2:16" x14ac:dyDescent="0.25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</row>
    <row r="103" spans="2:16" x14ac:dyDescent="0.25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</row>
    <row r="104" spans="2:16" x14ac:dyDescent="0.25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  <row r="105" spans="2:16" x14ac:dyDescent="0.25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</row>
    <row r="106" spans="2:16" x14ac:dyDescent="0.25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</row>
    <row r="107" spans="2:16" x14ac:dyDescent="0.25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</row>
    <row r="108" spans="2:16" x14ac:dyDescent="0.25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</row>
    <row r="109" spans="2:16" x14ac:dyDescent="0.25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</row>
    <row r="110" spans="2:16" x14ac:dyDescent="0.25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</row>
    <row r="111" spans="2:16" x14ac:dyDescent="0.25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</row>
    <row r="112" spans="2:16" x14ac:dyDescent="0.25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</row>
    <row r="113" spans="2:16" x14ac:dyDescent="0.25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</row>
    <row r="114" spans="2:16" x14ac:dyDescent="0.2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</row>
    <row r="115" spans="2:16" x14ac:dyDescent="0.2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</row>
    <row r="116" spans="2:16" x14ac:dyDescent="0.25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</row>
    <row r="117" spans="2:16" x14ac:dyDescent="0.25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</row>
    <row r="118" spans="2:16" x14ac:dyDescent="0.25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</row>
    <row r="119" spans="2:16" x14ac:dyDescent="0.25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</row>
    <row r="120" spans="2:16" x14ac:dyDescent="0.25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2:16" x14ac:dyDescent="0.2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</row>
    <row r="122" spans="2:16" x14ac:dyDescent="0.2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</row>
    <row r="123" spans="2:16" x14ac:dyDescent="0.25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</row>
    <row r="124" spans="2:16" x14ac:dyDescent="0.25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</row>
    <row r="125" spans="2:16" x14ac:dyDescent="0.25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</row>
    <row r="126" spans="2:16" x14ac:dyDescent="0.25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</row>
    <row r="127" spans="2:16" x14ac:dyDescent="0.25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</row>
    <row r="128" spans="2:16" x14ac:dyDescent="0.25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</row>
    <row r="129" spans="2:16" x14ac:dyDescent="0.25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</row>
    <row r="130" spans="2:16" x14ac:dyDescent="0.25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</row>
    <row r="131" spans="2:16" x14ac:dyDescent="0.25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</row>
    <row r="132" spans="2:16" x14ac:dyDescent="0.25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</row>
    <row r="133" spans="2:16" x14ac:dyDescent="0.25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</row>
    <row r="134" spans="2:16" x14ac:dyDescent="0.25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</row>
    <row r="135" spans="2:16" x14ac:dyDescent="0.25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</row>
    <row r="136" spans="2:16" x14ac:dyDescent="0.2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</row>
    <row r="137" spans="2:16" x14ac:dyDescent="0.25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</row>
    <row r="138" spans="2:16" x14ac:dyDescent="0.25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</row>
    <row r="139" spans="2:16" x14ac:dyDescent="0.25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</row>
    <row r="140" spans="2:16" x14ac:dyDescent="0.25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</row>
  </sheetData>
  <printOptions horizontalCentered="1"/>
  <pageMargins left="0.45" right="0.45" top="0.75" bottom="0.75" header="0.3" footer="0.3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27" sqref="C27"/>
    </sheetView>
  </sheetViews>
  <sheetFormatPr defaultColWidth="8.85546875" defaultRowHeight="15" x14ac:dyDescent="0.25"/>
  <cols>
    <col min="1" max="1" width="15.85546875" style="44" bestFit="1" customWidth="1"/>
    <col min="2" max="2" width="13.28515625" style="44" bestFit="1" customWidth="1"/>
    <col min="3" max="4" width="14" style="44" bestFit="1" customWidth="1"/>
    <col min="5" max="5" width="13.28515625" style="44" bestFit="1" customWidth="1"/>
    <col min="6" max="6" width="14" style="44" bestFit="1" customWidth="1"/>
    <col min="7" max="8" width="11.28515625" style="44" bestFit="1" customWidth="1"/>
    <col min="9" max="9" width="12.140625" style="44" bestFit="1" customWidth="1"/>
    <col min="10" max="10" width="10.140625" style="44" bestFit="1" customWidth="1"/>
    <col min="11" max="11" width="10" style="44" bestFit="1" customWidth="1"/>
    <col min="12" max="12" width="12.140625" style="44" bestFit="1" customWidth="1"/>
    <col min="13" max="16384" width="8.85546875" style="44"/>
  </cols>
  <sheetData>
    <row r="1" spans="1:9" x14ac:dyDescent="0.25">
      <c r="A1" s="45" t="s">
        <v>32</v>
      </c>
      <c r="B1" s="47"/>
      <c r="C1" s="47"/>
      <c r="D1" s="47"/>
      <c r="E1" s="47"/>
      <c r="F1" s="47"/>
    </row>
    <row r="2" spans="1:9" x14ac:dyDescent="0.25">
      <c r="A2" s="65" t="s">
        <v>80</v>
      </c>
      <c r="B2"/>
      <c r="C2"/>
      <c r="D2"/>
      <c r="E2"/>
      <c r="F2"/>
    </row>
    <row r="3" spans="1:9" x14ac:dyDescent="0.25">
      <c r="B3" s="78" t="s">
        <v>65</v>
      </c>
      <c r="C3" s="78" t="s">
        <v>66</v>
      </c>
      <c r="D3" s="78" t="s">
        <v>67</v>
      </c>
      <c r="E3" s="78" t="s">
        <v>68</v>
      </c>
      <c r="F3" s="78" t="s">
        <v>69</v>
      </c>
    </row>
    <row r="4" spans="1:9" x14ac:dyDescent="0.25">
      <c r="B4" s="77" t="s">
        <v>33</v>
      </c>
      <c r="C4" s="77" t="s">
        <v>34</v>
      </c>
      <c r="D4" s="77" t="s">
        <v>35</v>
      </c>
      <c r="E4" s="77" t="s">
        <v>25</v>
      </c>
      <c r="F4" s="77" t="s">
        <v>10</v>
      </c>
      <c r="G4" s="47"/>
      <c r="H4" s="47"/>
    </row>
    <row r="5" spans="1:9" ht="22.5" x14ac:dyDescent="0.25">
      <c r="A5" s="44" t="s">
        <v>63</v>
      </c>
      <c r="B5" s="79" t="s">
        <v>62</v>
      </c>
      <c r="C5" s="79" t="s">
        <v>64</v>
      </c>
      <c r="D5" s="80" t="s">
        <v>70</v>
      </c>
      <c r="E5" s="79" t="s">
        <v>29</v>
      </c>
      <c r="F5" s="80" t="s">
        <v>71</v>
      </c>
      <c r="G5" s="47"/>
      <c r="H5" s="47"/>
    </row>
    <row r="6" spans="1:9" x14ac:dyDescent="0.25">
      <c r="A6" s="44" t="s">
        <v>31</v>
      </c>
      <c r="B6" s="76">
        <v>15947557.492099999</v>
      </c>
      <c r="C6" s="76">
        <v>16406276.907899993</v>
      </c>
      <c r="D6" s="76">
        <v>32353834.399999991</v>
      </c>
      <c r="E6" s="76">
        <v>382780.25000000006</v>
      </c>
      <c r="F6" s="76">
        <f>D6+E6</f>
        <v>32736614.649999991</v>
      </c>
      <c r="G6" s="47"/>
      <c r="H6" s="47"/>
    </row>
    <row r="7" spans="1:9" x14ac:dyDescent="0.25">
      <c r="A7" s="44" t="s">
        <v>17</v>
      </c>
      <c r="B7" s="49">
        <f>B6/$F$6</f>
        <v>0.48714742384335097</v>
      </c>
      <c r="C7" s="49">
        <f>C6/$F$6</f>
        <v>0.50115985062310031</v>
      </c>
      <c r="D7" s="49">
        <f>SUM(B7:C7)</f>
        <v>0.98830727446645128</v>
      </c>
      <c r="E7" s="49">
        <f>E6/$F$6</f>
        <v>1.1692725533548722E-2</v>
      </c>
      <c r="F7" s="49">
        <f>F6/$F$6</f>
        <v>1</v>
      </c>
      <c r="G7"/>
      <c r="H7"/>
    </row>
    <row r="8" spans="1:9" x14ac:dyDescent="0.25">
      <c r="B8" s="47"/>
      <c r="C8" s="47"/>
      <c r="D8" s="47"/>
      <c r="E8" s="47"/>
      <c r="F8" s="47"/>
      <c r="G8"/>
      <c r="H8"/>
    </row>
    <row r="9" spans="1:9" x14ac:dyDescent="0.25">
      <c r="B9" s="47"/>
      <c r="C9" s="47"/>
      <c r="D9" s="47"/>
      <c r="E9" s="47"/>
      <c r="F9" s="47"/>
      <c r="G9" s="47"/>
      <c r="H9" s="47"/>
    </row>
    <row r="10" spans="1:9" x14ac:dyDescent="0.25">
      <c r="A10"/>
      <c r="B10"/>
      <c r="C10"/>
      <c r="D10"/>
      <c r="E10"/>
      <c r="F10"/>
      <c r="G10" s="47"/>
      <c r="H10" s="47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D21" s="47"/>
      <c r="E21" s="47"/>
      <c r="F21" s="47"/>
      <c r="G21"/>
      <c r="H21"/>
      <c r="I21"/>
    </row>
    <row r="22" spans="1:9" x14ac:dyDescent="0.25">
      <c r="G22" s="47"/>
      <c r="H22" s="47"/>
    </row>
    <row r="33" spans="6:6" x14ac:dyDescent="0.25">
      <c r="F33" s="44" t="s">
        <v>78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O26" sqref="O26"/>
    </sheetView>
  </sheetViews>
  <sheetFormatPr defaultRowHeight="12.75" x14ac:dyDescent="0.2"/>
  <cols>
    <col min="1" max="1" width="20.28515625" style="19" bestFit="1" customWidth="1"/>
    <col min="2" max="2" width="1.7109375" style="19" customWidth="1"/>
    <col min="3" max="3" width="17.7109375" style="19" bestFit="1" customWidth="1"/>
    <col min="4" max="4" width="1.7109375" style="19" customWidth="1"/>
    <col min="5" max="5" width="10.28515625" style="19" bestFit="1" customWidth="1"/>
    <col min="6" max="6" width="1.7109375" style="19" customWidth="1"/>
    <col min="7" max="7" width="10.28515625" style="19" bestFit="1" customWidth="1"/>
    <col min="8" max="8" width="1.5703125" style="19" customWidth="1"/>
    <col min="9" max="9" width="12.7109375" style="19" customWidth="1"/>
    <col min="10" max="10" width="2.140625" style="19" customWidth="1"/>
    <col min="11" max="11" width="9.85546875" style="19" bestFit="1" customWidth="1"/>
    <col min="12" max="12" width="1.7109375" style="19" customWidth="1"/>
    <col min="13" max="13" width="10.7109375" style="19" bestFit="1" customWidth="1"/>
    <col min="14" max="14" width="1.85546875" style="19" customWidth="1"/>
    <col min="15" max="15" width="11.28515625" style="19" customWidth="1"/>
    <col min="16" max="18" width="8.85546875" style="19"/>
  </cols>
  <sheetData>
    <row r="1" spans="1:20" ht="15.75" x14ac:dyDescent="0.25">
      <c r="A1" s="98" t="s">
        <v>15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S1" s="19"/>
      <c r="T1" s="19"/>
    </row>
    <row r="2" spans="1:20" s="19" customFormat="1" ht="15.75" x14ac:dyDescent="0.25">
      <c r="A2" s="99" t="s">
        <v>83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0" ht="15.75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S3" s="19"/>
      <c r="T3" s="19"/>
    </row>
    <row r="4" spans="1:20" x14ac:dyDescent="0.2">
      <c r="S4" s="19"/>
      <c r="T4" s="19"/>
    </row>
    <row r="5" spans="1:20" x14ac:dyDescent="0.2">
      <c r="A5" s="20"/>
      <c r="B5" s="20"/>
      <c r="C5" s="20" t="s">
        <v>16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 t="s">
        <v>17</v>
      </c>
      <c r="S5" s="19"/>
      <c r="T5" s="19"/>
    </row>
    <row r="6" spans="1:20" ht="15.75" thickBot="1" x14ac:dyDescent="0.3">
      <c r="A6" s="20"/>
      <c r="B6" s="20"/>
      <c r="C6" s="23" t="s">
        <v>18</v>
      </c>
      <c r="D6" s="20"/>
      <c r="E6" s="85" t="s">
        <v>72</v>
      </c>
      <c r="F6" s="86"/>
      <c r="G6" s="95" t="s">
        <v>75</v>
      </c>
      <c r="H6" s="86"/>
      <c r="I6" s="95" t="s">
        <v>81</v>
      </c>
      <c r="J6" s="85"/>
      <c r="K6" s="95" t="s">
        <v>82</v>
      </c>
      <c r="M6" s="23" t="s">
        <v>19</v>
      </c>
      <c r="N6" s="20"/>
      <c r="O6" s="23" t="s">
        <v>20</v>
      </c>
      <c r="S6" s="19"/>
      <c r="T6" s="19"/>
    </row>
    <row r="7" spans="1:20" ht="15" x14ac:dyDescent="0.25">
      <c r="E7" s="86"/>
      <c r="F7" s="86"/>
      <c r="G7" s="86"/>
      <c r="H7" s="86"/>
      <c r="I7" s="86"/>
      <c r="J7" s="86"/>
      <c r="K7" s="86"/>
      <c r="S7" s="19"/>
      <c r="T7" s="19"/>
    </row>
    <row r="8" spans="1:20" ht="15" x14ac:dyDescent="0.25">
      <c r="A8" s="19" t="s">
        <v>24</v>
      </c>
      <c r="C8" s="24" t="s">
        <v>27</v>
      </c>
      <c r="E8" s="87">
        <v>94643</v>
      </c>
      <c r="F8" s="88"/>
      <c r="G8" s="87">
        <v>107094</v>
      </c>
      <c r="H8" s="88"/>
      <c r="I8" s="87">
        <v>94336.666666666672</v>
      </c>
      <c r="J8" s="87"/>
      <c r="K8" s="87">
        <v>121346.6692</v>
      </c>
      <c r="L8" s="22"/>
      <c r="M8" s="57">
        <f>SUM(E8:K8)</f>
        <v>417420.33586666669</v>
      </c>
      <c r="O8" s="58">
        <f>M8/$M$18</f>
        <v>0.73875346599756087</v>
      </c>
      <c r="S8" s="19"/>
      <c r="T8" s="19"/>
    </row>
    <row r="9" spans="1:20" ht="15" x14ac:dyDescent="0.25">
      <c r="C9" s="25"/>
      <c r="E9" s="89"/>
      <c r="F9" s="88"/>
      <c r="G9" s="89"/>
      <c r="H9" s="88"/>
      <c r="I9" s="89"/>
      <c r="J9" s="89"/>
      <c r="K9" s="89"/>
      <c r="L9" s="22"/>
      <c r="M9" s="22"/>
      <c r="O9" s="59"/>
      <c r="S9" s="19"/>
      <c r="T9" s="19"/>
    </row>
    <row r="10" spans="1:20" ht="15" x14ac:dyDescent="0.25">
      <c r="A10" s="19" t="s">
        <v>25</v>
      </c>
      <c r="C10" s="24">
        <v>41710250</v>
      </c>
      <c r="E10" s="90">
        <v>0</v>
      </c>
      <c r="F10" s="88"/>
      <c r="G10" s="90">
        <v>0</v>
      </c>
      <c r="H10" s="88"/>
      <c r="I10" s="90">
        <v>0</v>
      </c>
      <c r="J10" s="91"/>
      <c r="K10" s="90">
        <v>0</v>
      </c>
      <c r="L10" s="22"/>
      <c r="M10" s="57">
        <f>SUM(E10:K10)</f>
        <v>0</v>
      </c>
      <c r="O10" s="58">
        <f>M10/$M$18</f>
        <v>0</v>
      </c>
      <c r="S10" s="19"/>
      <c r="T10" s="19"/>
    </row>
    <row r="11" spans="1:20" ht="15" x14ac:dyDescent="0.25">
      <c r="C11" s="25"/>
      <c r="E11" s="89"/>
      <c r="F11" s="88"/>
      <c r="G11" s="89"/>
      <c r="H11" s="88"/>
      <c r="I11" s="89"/>
      <c r="J11" s="89"/>
      <c r="K11" s="89"/>
      <c r="L11" s="22"/>
      <c r="M11" s="60"/>
      <c r="O11" s="59"/>
      <c r="S11" s="19"/>
      <c r="T11" s="19"/>
    </row>
    <row r="12" spans="1:20" ht="15" x14ac:dyDescent="0.25">
      <c r="A12" s="19" t="s">
        <v>21</v>
      </c>
      <c r="C12" s="25">
        <v>18600818</v>
      </c>
      <c r="E12" s="87">
        <v>18662</v>
      </c>
      <c r="F12" s="88"/>
      <c r="G12" s="87">
        <v>15103</v>
      </c>
      <c r="H12" s="88"/>
      <c r="I12" s="87">
        <v>5390.666666666667</v>
      </c>
      <c r="J12" s="87"/>
      <c r="K12" s="87">
        <v>25546.6672</v>
      </c>
      <c r="L12" s="22"/>
      <c r="M12" s="57">
        <f>SUM(E12:K12)</f>
        <v>64702.333866666668</v>
      </c>
      <c r="O12" s="58">
        <f>M12/$M$18</f>
        <v>0.11451064860768893</v>
      </c>
      <c r="S12" s="19"/>
      <c r="T12" s="19"/>
    </row>
    <row r="13" spans="1:20" ht="15" x14ac:dyDescent="0.25">
      <c r="C13" s="25"/>
      <c r="E13" s="89"/>
      <c r="F13" s="88"/>
      <c r="G13" s="89"/>
      <c r="H13" s="88"/>
      <c r="I13" s="89"/>
      <c r="J13" s="89"/>
      <c r="K13" s="89"/>
      <c r="L13" s="22"/>
      <c r="M13" s="60"/>
      <c r="O13" s="59"/>
      <c r="S13" s="19"/>
      <c r="T13" s="19"/>
    </row>
    <row r="14" spans="1:20" ht="15" x14ac:dyDescent="0.25">
      <c r="A14" s="19" t="s">
        <v>22</v>
      </c>
      <c r="C14" s="25" t="s">
        <v>60</v>
      </c>
      <c r="E14" s="87">
        <v>19995</v>
      </c>
      <c r="F14" s="88"/>
      <c r="G14" s="87">
        <v>15103</v>
      </c>
      <c r="H14" s="88"/>
      <c r="I14" s="87">
        <v>35039.333333333336</v>
      </c>
      <c r="J14" s="87"/>
      <c r="K14" s="87">
        <v>12773.3336</v>
      </c>
      <c r="L14" s="22"/>
      <c r="M14" s="57">
        <f>SUM(E14:K14)</f>
        <v>82910.666933333341</v>
      </c>
      <c r="O14" s="58">
        <f>M14/$M$18</f>
        <v>0.14673588539475027</v>
      </c>
      <c r="S14" s="19"/>
      <c r="T14" s="19"/>
    </row>
    <row r="15" spans="1:20" ht="15" x14ac:dyDescent="0.25">
      <c r="C15" s="25"/>
      <c r="E15" s="92"/>
      <c r="F15" s="88"/>
      <c r="G15" s="92"/>
      <c r="H15" s="88"/>
      <c r="I15" s="92"/>
      <c r="J15" s="92"/>
      <c r="K15" s="92"/>
      <c r="L15" s="22"/>
      <c r="M15" s="60"/>
      <c r="O15" s="59"/>
      <c r="S15" s="19"/>
      <c r="T15" s="19"/>
    </row>
    <row r="16" spans="1:20" ht="15" x14ac:dyDescent="0.25">
      <c r="A16" s="19" t="s">
        <v>28</v>
      </c>
      <c r="C16" s="25">
        <v>18600883</v>
      </c>
      <c r="E16" s="91">
        <v>0</v>
      </c>
      <c r="F16" s="88"/>
      <c r="G16" s="91">
        <v>0</v>
      </c>
      <c r="H16" s="88"/>
      <c r="I16" s="91">
        <v>0</v>
      </c>
      <c r="J16" s="91"/>
      <c r="K16" s="91">
        <v>0</v>
      </c>
      <c r="L16" s="22"/>
      <c r="M16" s="57">
        <f>SUM(E16:K16)</f>
        <v>0</v>
      </c>
      <c r="O16" s="58">
        <f>M16/$M$18</f>
        <v>0</v>
      </c>
      <c r="S16" s="19"/>
      <c r="T16" s="19"/>
    </row>
    <row r="17" spans="1:20" x14ac:dyDescent="0.2">
      <c r="C17" s="25"/>
      <c r="E17" s="93"/>
      <c r="F17" s="22"/>
      <c r="G17" s="93"/>
      <c r="H17" s="22"/>
      <c r="I17" s="93"/>
      <c r="J17" s="93"/>
      <c r="K17" s="93"/>
      <c r="L17" s="22"/>
      <c r="M17" s="60"/>
      <c r="O17" s="59"/>
      <c r="S17" s="19"/>
      <c r="T17" s="19"/>
    </row>
    <row r="18" spans="1:20" ht="13.5" thickBot="1" x14ac:dyDescent="0.25">
      <c r="A18" s="19" t="s">
        <v>23</v>
      </c>
      <c r="C18" s="25"/>
      <c r="E18" s="61">
        <f>SUM(E8:E16)</f>
        <v>133300</v>
      </c>
      <c r="F18" s="22"/>
      <c r="G18" s="61">
        <f>SUM(G8:G16)</f>
        <v>137300</v>
      </c>
      <c r="H18" s="22"/>
      <c r="I18" s="61">
        <f>SUM(I8:I16)</f>
        <v>134766.66666666669</v>
      </c>
      <c r="J18" s="61"/>
      <c r="K18" s="61">
        <f>SUM(K8:K16)</f>
        <v>159666.67000000001</v>
      </c>
      <c r="L18" s="22"/>
      <c r="M18" s="61">
        <f>SUM(M8:M16)</f>
        <v>565033.33666666667</v>
      </c>
      <c r="O18" s="62">
        <f>SUM(O8:O16)</f>
        <v>1</v>
      </c>
      <c r="S18" s="19"/>
      <c r="T18" s="19"/>
    </row>
    <row r="19" spans="1:20" ht="15.75" thickTop="1" x14ac:dyDescent="0.35">
      <c r="C19" s="41"/>
      <c r="D19" s="27"/>
      <c r="E19" s="42"/>
      <c r="F19" s="26"/>
      <c r="G19" s="42"/>
      <c r="H19" s="42"/>
      <c r="I19" s="26"/>
      <c r="J19" s="42"/>
      <c r="K19" s="26"/>
      <c r="L19" s="26"/>
      <c r="M19" s="42"/>
      <c r="N19" s="27"/>
      <c r="O19" s="27"/>
      <c r="P19" s="27"/>
      <c r="Q19" s="27"/>
      <c r="S19" s="19"/>
      <c r="T19" s="19"/>
    </row>
    <row r="20" spans="1:20" x14ac:dyDescent="0.2">
      <c r="A20" s="19" t="s">
        <v>61</v>
      </c>
      <c r="C20" s="27"/>
      <c r="D20" s="27"/>
      <c r="E20" s="43"/>
      <c r="F20" s="26"/>
      <c r="G20" s="26"/>
      <c r="H20" s="26"/>
      <c r="I20" s="26"/>
      <c r="J20" s="43"/>
      <c r="K20" s="26"/>
      <c r="L20" s="26"/>
      <c r="M20" s="43"/>
      <c r="N20" s="27"/>
      <c r="O20" s="27"/>
      <c r="P20" s="27"/>
      <c r="Q20" s="27"/>
      <c r="S20" s="19"/>
      <c r="T20" s="19"/>
    </row>
    <row r="21" spans="1:20" x14ac:dyDescent="0.2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S21" s="19"/>
      <c r="T21" s="19"/>
    </row>
    <row r="22" spans="1:20" x14ac:dyDescent="0.2">
      <c r="C22" s="27"/>
      <c r="D22" s="27"/>
      <c r="E22" s="27"/>
      <c r="F22" s="27"/>
      <c r="G22" s="27"/>
      <c r="H22" s="27"/>
      <c r="I22" s="27"/>
      <c r="J22" s="28"/>
      <c r="K22" s="27"/>
      <c r="L22" s="27"/>
      <c r="M22" s="27"/>
      <c r="N22" s="27"/>
      <c r="O22" s="27"/>
      <c r="P22" s="27"/>
      <c r="Q22" s="27"/>
      <c r="S22" s="19"/>
      <c r="T22" s="19"/>
    </row>
    <row r="23" spans="1:20" x14ac:dyDescent="0.2">
      <c r="C23" s="27"/>
      <c r="D23" s="27"/>
      <c r="E23" s="27"/>
      <c r="F23" s="27"/>
      <c r="G23" s="27"/>
      <c r="H23" s="27"/>
      <c r="I23" s="27"/>
      <c r="J23" s="28"/>
      <c r="K23" s="27"/>
      <c r="L23" s="27"/>
      <c r="M23" s="27"/>
      <c r="N23" s="27"/>
      <c r="O23" s="27"/>
      <c r="P23" s="27"/>
      <c r="Q23" s="27"/>
      <c r="S23" s="19"/>
      <c r="T23" s="19"/>
    </row>
    <row r="24" spans="1:20" x14ac:dyDescent="0.2">
      <c r="C24" s="27"/>
      <c r="D24" s="27"/>
      <c r="E24" s="27"/>
      <c r="F24" s="27"/>
      <c r="G24" s="27"/>
      <c r="H24" s="27"/>
      <c r="I24" s="27"/>
      <c r="J24" s="28"/>
      <c r="K24" s="27"/>
      <c r="L24" s="27"/>
      <c r="M24" s="27"/>
      <c r="N24" s="27"/>
      <c r="O24" s="27"/>
      <c r="P24" s="27"/>
      <c r="Q24" s="27"/>
      <c r="S24" s="19"/>
      <c r="T24" s="19"/>
    </row>
    <row r="25" spans="1:20" x14ac:dyDescent="0.2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20" x14ac:dyDescent="0.2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0C1A606-F394-44F7-B5DD-972239B5CACD}"/>
</file>

<file path=customXml/itemProps2.xml><?xml version="1.0" encoding="utf-8"?>
<ds:datastoreItem xmlns:ds="http://schemas.openxmlformats.org/officeDocument/2006/customXml" ds:itemID="{D1678075-E4F4-4CC5-8E93-07405521933D}"/>
</file>

<file path=customXml/itemProps3.xml><?xml version="1.0" encoding="utf-8"?>
<ds:datastoreItem xmlns:ds="http://schemas.openxmlformats.org/officeDocument/2006/customXml" ds:itemID="{F2EA91CE-94BF-41BE-9989-8CF75D9AA80D}"/>
</file>

<file path=customXml/itemProps4.xml><?xml version="1.0" encoding="utf-8"?>
<ds:datastoreItem xmlns:ds="http://schemas.openxmlformats.org/officeDocument/2006/customXml" ds:itemID="{62BCB7C4-C1D1-467D-95B8-2E581ECD0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 Elec</vt:lpstr>
      <vt:lpstr> Gas</vt:lpstr>
      <vt:lpstr>Main wp</vt:lpstr>
      <vt:lpstr>CE Allocation</vt:lpstr>
      <vt:lpstr>Director's Fees</vt:lpstr>
      <vt:lpstr>'Main wp'!Print_Area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SFree</cp:lastModifiedBy>
  <cp:lastPrinted>2019-03-27T16:01:52Z</cp:lastPrinted>
  <dcterms:created xsi:type="dcterms:W3CDTF">2003-08-20T17:00:45Z</dcterms:created>
  <dcterms:modified xsi:type="dcterms:W3CDTF">2019-03-29T14:50:09Z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0x0101006E56B4D1795A2E4DB2F0B01679ED314A00C2F97BD1BDA82C498D0C8725A0429E83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