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150" windowWidth="20730" windowHeight="5385"/>
  </bookViews>
  <sheets>
    <sheet name="References" sheetId="5" r:id="rId1"/>
    <sheet name="G-48 DF Calc" sheetId="3" r:id="rId2"/>
    <sheet name="G-48 Price Out" sheetId="1" r:id="rId3"/>
    <sheet name="DF Schedule" sheetId="4" r:id="rId4"/>
    <sheet name="Rate Schedule G-48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3" hidden="1">#REF!</definedName>
    <definedName name="_132Graph_h" localSheetId="1" hidden="1">#REF!</definedName>
    <definedName name="_132Graph_h" localSheetId="4" hidden="1">#REF!</definedName>
    <definedName name="_132Graph_h" localSheetId="0" hidden="1">#REF!</definedName>
    <definedName name="_132Graph_h" hidden="1">#REF!</definedName>
    <definedName name="_ACT1" localSheetId="3">[4]Hidden!#REF!</definedName>
    <definedName name="_ACT1" localSheetId="1">[4]Hidden!#REF!</definedName>
    <definedName name="_ACT1" localSheetId="4">[4]Hidden!#REF!</definedName>
    <definedName name="_ACT1" localSheetId="0">[5]Hidden!#REF!</definedName>
    <definedName name="_ACT1">[6]Hidden!#REF!</definedName>
    <definedName name="_ACT2" localSheetId="3">[4]Hidden!#REF!</definedName>
    <definedName name="_ACT2" localSheetId="1">[4]Hidden!#REF!</definedName>
    <definedName name="_ACT2" localSheetId="4">[4]Hidden!#REF!</definedName>
    <definedName name="_ACT2" localSheetId="0">[5]Hidden!#REF!</definedName>
    <definedName name="_ACT2">[6]Hidden!#REF!</definedName>
    <definedName name="_ACT3" localSheetId="3">[4]Hidden!#REF!</definedName>
    <definedName name="_ACT3" localSheetId="1">[4]Hidden!#REF!</definedName>
    <definedName name="_ACT3" localSheetId="4">[4]Hidden!#REF!</definedName>
    <definedName name="_ACT3" localSheetId="0">[5]Hidden!#REF!</definedName>
    <definedName name="_ACT3">[6]Hidden!#REF!</definedName>
    <definedName name="_COS1" localSheetId="1">#REF!</definedName>
    <definedName name="_COS1">#REF!</definedName>
    <definedName name="_COS2" localSheetId="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Fill" hidden="1">#REF!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3" hidden="1">#REF!</definedName>
    <definedName name="_max" localSheetId="1" hidden="1">#REF!</definedName>
    <definedName name="_max" localSheetId="4" hidden="1">#REF!</definedName>
    <definedName name="_max" localSheetId="0" hidden="1">#REF!</definedName>
    <definedName name="_max" hidden="1">#REF!</definedName>
    <definedName name="_Mon" localSheetId="3" hidden="1">#REF!</definedName>
    <definedName name="_Mon" localSheetId="1" hidden="1">#REF!</definedName>
    <definedName name="_Mon" localSheetId="0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3" hidden="1">#REF!</definedName>
    <definedName name="_Sort" localSheetId="1" hidden="1">#REF!</definedName>
    <definedName name="_Sort" localSheetId="4" hidden="1">#REF!</definedName>
    <definedName name="_Sort" localSheetId="0" hidden="1">#REF!</definedName>
    <definedName name="_Sort" hidden="1">#REF!</definedName>
    <definedName name="_Sort1" hidden="1">'[2]#REF'!$A$10:$Z$281</definedName>
    <definedName name="_sort3" hidden="1">[3]XXXXXX!$G$10:$J$11</definedName>
    <definedName name="Accounts" localSheetId="3">#REF!</definedName>
    <definedName name="ACCT" localSheetId="3">[4]Hidden!#REF!</definedName>
    <definedName name="ACCT" localSheetId="1">[4]Hidden!#REF!</definedName>
    <definedName name="ACCT" localSheetId="4">[4]Hidden!#REF!</definedName>
    <definedName name="ACCT" localSheetId="0">[5]Hidden!#REF!</definedName>
    <definedName name="ACCT">[1]Hidden!$D$11</definedName>
    <definedName name="ACCT.ConsolSum">[1]Hidden!$Q$11</definedName>
    <definedName name="ACT_CUR" localSheetId="3">[4]Hidden!#REF!</definedName>
    <definedName name="ACT_CUR" localSheetId="1">[4]Hidden!#REF!</definedName>
    <definedName name="ACT_CUR" localSheetId="4">[4]Hidden!#REF!</definedName>
    <definedName name="ACT_CUR" localSheetId="0">[5]Hidden!#REF!</definedName>
    <definedName name="ACT_CUR">[6]Hidden!#REF!</definedName>
    <definedName name="ACT_YTD" localSheetId="3">[4]Hidden!#REF!</definedName>
    <definedName name="ACT_YTD" localSheetId="1">[4]Hidden!#REF!</definedName>
    <definedName name="ACT_YTD" localSheetId="4">[4]Hidden!#REF!</definedName>
    <definedName name="ACT_YTD" localSheetId="0">[5]Hidden!#REF!</definedName>
    <definedName name="ACT_YTD">[6]Hidden!#REF!</definedName>
    <definedName name="AmountCount" localSheetId="3">#REF!</definedName>
    <definedName name="AmountCount" localSheetId="1">#REF!</definedName>
    <definedName name="AmountCount" localSheetId="4">#REF!</definedName>
    <definedName name="AmountCount" localSheetId="0">#REF!</definedName>
    <definedName name="AmountCount">#REF!</definedName>
    <definedName name="AmountCount1" localSheetId="3">#REF!</definedName>
    <definedName name="AmountCount1" localSheetId="1">#REF!</definedName>
    <definedName name="AmountCount1" localSheetId="0">#REF!</definedName>
    <definedName name="AmountCount1">#REF!</definedName>
    <definedName name="AmountFrom" localSheetId="3">#REF!</definedName>
    <definedName name="AmountTo" localSheetId="3">#REF!</definedName>
    <definedName name="AmountTotal" localSheetId="3">#REF!</definedName>
    <definedName name="AmountTotal" localSheetId="1">#REF!</definedName>
    <definedName name="AmountTotal" localSheetId="4">#REF!</definedName>
    <definedName name="AmountTotal" localSheetId="0">#REF!</definedName>
    <definedName name="AmountTotal">#REF!</definedName>
    <definedName name="AmountTotal1" localSheetId="3">#REF!</definedName>
    <definedName name="AmountTotal1" localSheetId="1">#REF!</definedName>
    <definedName name="AmountTotal1" localSheetId="0">#REF!</definedName>
    <definedName name="AmountTotal1">#REF!</definedName>
    <definedName name="BookRev" localSheetId="3">'[7]Pacific Regulated - Price Out'!$F$50</definedName>
    <definedName name="BookRev" localSheetId="1">'[7]Pacific Regulated - Price Out'!$F$50</definedName>
    <definedName name="BookRev" localSheetId="4">'[7]Pacific Regulated - Price Out'!$F$50</definedName>
    <definedName name="BookRev" localSheetId="0">'[8]Pacific Regulated - Price Out'!$F$50</definedName>
    <definedName name="BookRev">'[9]Pacific Regulated - Price Out'!$F$50</definedName>
    <definedName name="BookRev_com" localSheetId="3">'[7]Pacific Regulated - Price Out'!$F$214</definedName>
    <definedName name="BookRev_com" localSheetId="1">'[7]Pacific Regulated - Price Out'!$F$214</definedName>
    <definedName name="BookRev_com" localSheetId="4">'[7]Pacific Regulated - Price Out'!$F$214</definedName>
    <definedName name="BookRev_com" localSheetId="0">'[8]Pacific Regulated - Price Out'!$F$214</definedName>
    <definedName name="BookRev_com">'[9]Pacific Regulated - Price Out'!$F$214</definedName>
    <definedName name="BookRev_mfr" localSheetId="3">'[7]Pacific Regulated - Price Out'!$F$222</definedName>
    <definedName name="BookRev_mfr" localSheetId="1">'[7]Pacific Regulated - Price Out'!$F$222</definedName>
    <definedName name="BookRev_mfr" localSheetId="4">'[7]Pacific Regulated - Price Out'!$F$222</definedName>
    <definedName name="BookRev_mfr" localSheetId="0">'[8]Pacific Regulated - Price Out'!$F$222</definedName>
    <definedName name="BookRev_mfr">'[9]Pacific Regulated - Price Out'!$F$222</definedName>
    <definedName name="BookRev_ro" localSheetId="3">'[7]Pacific Regulated - Price Out'!$F$282</definedName>
    <definedName name="BookRev_ro" localSheetId="1">'[7]Pacific Regulated - Price Out'!$F$282</definedName>
    <definedName name="BookRev_ro" localSheetId="4">'[7]Pacific Regulated - Price Out'!$F$282</definedName>
    <definedName name="BookRev_ro" localSheetId="0">'[8]Pacific Regulated - Price Out'!$F$282</definedName>
    <definedName name="BookRev_ro">'[9]Pacific Regulated - Price Out'!$F$282</definedName>
    <definedName name="BookRev_rr" localSheetId="3">'[7]Pacific Regulated - Price Out'!$F$59</definedName>
    <definedName name="BookRev_rr" localSheetId="1">'[7]Pacific Regulated - Price Out'!$F$59</definedName>
    <definedName name="BookRev_rr" localSheetId="4">'[7]Pacific Regulated - Price Out'!$F$59</definedName>
    <definedName name="BookRev_rr" localSheetId="0">'[8]Pacific Regulated - Price Out'!$F$59</definedName>
    <definedName name="BookRev_rr">'[9]Pacific Regulated - Price Out'!$F$59</definedName>
    <definedName name="BookRev_yw" localSheetId="3">'[7]Pacific Regulated - Price Out'!$F$70</definedName>
    <definedName name="BookRev_yw" localSheetId="1">'[7]Pacific Regulated - Price Out'!$F$70</definedName>
    <definedName name="BookRev_yw" localSheetId="4">'[7]Pacific Regulated - Price Out'!$F$70</definedName>
    <definedName name="BookRev_yw" localSheetId="0">'[8]Pacific Regulated - Price Out'!$F$70</definedName>
    <definedName name="BookRev_yw">'[9]Pacific Regulated - Price Out'!$F$70</definedName>
    <definedName name="BREMAIR_COST_of_SERVICE_STUDY" localSheetId="3">#REF!</definedName>
    <definedName name="BREMAIR_COST_of_SERVICE_STUDY" localSheetId="1">#REF!</definedName>
    <definedName name="BREMAIR_COST_of_SERVICE_STUDY" localSheetId="4">#REF!</definedName>
    <definedName name="BREMAIR_COST_of_SERVICE_STUDY" localSheetId="0">#REF!</definedName>
    <definedName name="BREMAIR_COST_of_SERVICE_STUDY">#REF!</definedName>
    <definedName name="BUD_CUR" localSheetId="3">[4]Hidden!#REF!</definedName>
    <definedName name="BUD_CUR" localSheetId="1">[4]Hidden!#REF!</definedName>
    <definedName name="BUD_CUR" localSheetId="4">[4]Hidden!#REF!</definedName>
    <definedName name="BUD_CUR" localSheetId="0">[5]Hidden!#REF!</definedName>
    <definedName name="BUD_CUR">[6]Hidden!#REF!</definedName>
    <definedName name="BUD_YTD" localSheetId="3">[4]Hidden!#REF!</definedName>
    <definedName name="BUD_YTD" localSheetId="1">[4]Hidden!#REF!</definedName>
    <definedName name="BUD_YTD" localSheetId="4">[4]Hidden!#REF!</definedName>
    <definedName name="BUD_YTD" localSheetId="0">[5]Hidden!#REF!</definedName>
    <definedName name="BUD_YTD">[6]Hidden!#REF!</definedName>
    <definedName name="CalRecyTons" localSheetId="3">'[10]Recycl Tons, Commodity Value'!$L$23</definedName>
    <definedName name="CalRecyTons" localSheetId="1">'[10]Recycl Tons, Commodity Value'!$L$23</definedName>
    <definedName name="CalRecyTons" localSheetId="4">'[10]Recycl Tons, Commodity Value'!$L$23</definedName>
    <definedName name="CalRecyTons" localSheetId="0">'[11]Recycl Tons, Commodity Value'!$L$23</definedName>
    <definedName name="CalRecyTons">'[12]Recycl Tons, Commodity Value'!$L$23</definedName>
    <definedName name="CheckTotals" localSheetId="3">#REF!</definedName>
    <definedName name="CheckTotals" localSheetId="1">#REF!</definedName>
    <definedName name="CheckTotals" localSheetId="4">#REF!</definedName>
    <definedName name="CheckTotals" localSheetId="0">#REF!</definedName>
    <definedName name="CheckTotals">#REF!</definedName>
    <definedName name="colgroup">[1]Orientation!$G$6</definedName>
    <definedName name="colsegment">[1]Orientation!$F$6</definedName>
    <definedName name="CommlStaffPriceOut" localSheetId="1">'[13]Price Out-Reg EASTSIDE-Resi'!#REF!</definedName>
    <definedName name="CommlStaffPriceOut">'[13]Price Out-Reg EASTSIDE-Resi'!#REF!</definedName>
    <definedName name="CRCTable" localSheetId="3">#REF!</definedName>
    <definedName name="CRCTable" localSheetId="1">#REF!</definedName>
    <definedName name="CRCTable" localSheetId="4">#REF!</definedName>
    <definedName name="CRCTable" localSheetId="0">#REF!</definedName>
    <definedName name="CRCTable">#REF!</definedName>
    <definedName name="CRCTableOLD" localSheetId="3">#REF!</definedName>
    <definedName name="CRCTableOLD" localSheetId="1">#REF!</definedName>
    <definedName name="CRCTableOLD" localSheetId="4">#REF!</definedName>
    <definedName name="CRCTableOLD" localSheetId="0">#REF!</definedName>
    <definedName name="CRCTableOLD">#REF!</definedName>
    <definedName name="CriteriaType">[14]ControlPanel!$Z$2:$Z$5</definedName>
    <definedName name="CurrentMonth" localSheetId="3">'[15]38000 Other Rev'!$H$8</definedName>
    <definedName name="CurrentMonth" localSheetId="1">'[15]38000 Other Rev'!$H$8</definedName>
    <definedName name="CurrentMonth" localSheetId="4">'[15]38000 Other Rev'!$H$8</definedName>
    <definedName name="CurrentMonth" localSheetId="0">'[15]38000 Other Rev'!$H$8</definedName>
    <definedName name="CurrentMonth">'[16]38000 Other Rev'!$H$8</definedName>
    <definedName name="Cutomers" localSheetId="3">#REF!</definedName>
    <definedName name="Cutomers" localSheetId="1">#REF!</definedName>
    <definedName name="Cutomers" localSheetId="4">#REF!</definedName>
    <definedName name="Cutomers" localSheetId="0">#REF!</definedName>
    <definedName name="Cutomers">#REF!</definedName>
    <definedName name="_xlnm.Database" localSheetId="3">#REF!</definedName>
    <definedName name="_xlnm.Database" localSheetId="1">#REF!</definedName>
    <definedName name="_xlnm.Database" localSheetId="4">#REF!</definedName>
    <definedName name="_xlnm.Database" localSheetId="0">#REF!</definedName>
    <definedName name="_xlnm.Database">#REF!</definedName>
    <definedName name="Database1" localSheetId="3">#REF!</definedName>
    <definedName name="Database1" localSheetId="1">#REF!</definedName>
    <definedName name="Database1" localSheetId="4">#REF!</definedName>
    <definedName name="Database1" localSheetId="0">#REF!</definedName>
    <definedName name="Database1">#REF!</definedName>
    <definedName name="DateFrom" localSheetId="3">'[15]38000 Other Rev'!$G$12</definedName>
    <definedName name="DateFrom" localSheetId="1">'[15]38000 Other Rev'!$G$12</definedName>
    <definedName name="DateFrom" localSheetId="4">'[15]38000 Other Rev'!$G$12</definedName>
    <definedName name="DateFrom" localSheetId="0">'[15]38000 Other Rev'!$G$12</definedName>
    <definedName name="DateFrom">'[16]38000 Other Rev'!$G$12</definedName>
    <definedName name="DateTo" localSheetId="3">'[15]38000 Other Rev'!$G$13</definedName>
    <definedName name="DateTo" localSheetId="1">'[15]38000 Other Rev'!$G$13</definedName>
    <definedName name="DateTo" localSheetId="4">'[15]38000 Other Rev'!$G$13</definedName>
    <definedName name="DateTo" localSheetId="0">'[15]38000 Other Rev'!$G$13</definedName>
    <definedName name="DateTo">'[16]38000 Other Rev'!$G$13</definedName>
    <definedName name="DBxStaffPriceOut" localSheetId="1">'[13]Price Out-Reg EASTSIDE-Resi'!#REF!</definedName>
    <definedName name="DBxStaffPriceOut">'[13]Price Out-Reg EASTSIDE-Resi'!#REF!</definedName>
    <definedName name="DEPT" localSheetId="3">[4]Hidden!#REF!</definedName>
    <definedName name="DEPT" localSheetId="1">[4]Hidden!#REF!</definedName>
    <definedName name="DEPT" localSheetId="4">[4]Hidden!#REF!</definedName>
    <definedName name="DEPT" localSheetId="0">[5]Hidden!#REF!</definedName>
    <definedName name="DEPT">[6]Hidden!#REF!</definedName>
    <definedName name="Dist" localSheetId="3">[17]Data!$E$3</definedName>
    <definedName name="Dist" localSheetId="1">[17]Data!$E$3</definedName>
    <definedName name="Dist" localSheetId="4">[17]Data!$E$3</definedName>
    <definedName name="Dist" localSheetId="0">[17]Data!$E$3</definedName>
    <definedName name="Dist">[18]Data!$E$3</definedName>
    <definedName name="District" localSheetId="1">'[19]Vashon BS'!#REF!</definedName>
    <definedName name="District" localSheetId="4">'[19]Vashon BS'!#REF!</definedName>
    <definedName name="District" localSheetId="0">'[20]Vashon BS'!#REF!</definedName>
    <definedName name="District">#REF!</definedName>
    <definedName name="DistrictNum" localSheetId="3">#REF!</definedName>
    <definedName name="DistrictNum" localSheetId="1">#REF!</definedName>
    <definedName name="DistrictNum" localSheetId="4">#REF!</definedName>
    <definedName name="DistrictNum" localSheetId="0">#REF!</definedName>
    <definedName name="DistrictNum">#REF!</definedName>
    <definedName name="Districts" localSheetId="3">#REF!</definedName>
    <definedName name="dOG" localSheetId="1">#REF!</definedName>
    <definedName name="dOG">#REF!</definedName>
    <definedName name="drlFilter">[1]Settings!$D$27</definedName>
    <definedName name="End" localSheetId="3">#REF!</definedName>
    <definedName name="End" localSheetId="1">#REF!</definedName>
    <definedName name="End" localSheetId="4">#REF!</definedName>
    <definedName name="End" localSheetId="0">#REF!</definedName>
    <definedName name="End">#REF!</definedName>
    <definedName name="EntrieShownLimit" localSheetId="3">'[15]38000 Other Rev'!$D$6</definedName>
    <definedName name="EntrieShownLimit" localSheetId="1">'[15]38000 Other Rev'!$D$6</definedName>
    <definedName name="EntrieShownLimit" localSheetId="4">'[15]38000 Other Rev'!$D$6</definedName>
    <definedName name="EntrieShownLimit" localSheetId="0">'[15]38000 Other Rev'!$D$6</definedName>
    <definedName name="EntrieShownLimit">'[16]38000 Other Rev'!$D$6</definedName>
    <definedName name="ExcludeIC" localSheetId="3">'[15]2025 BS'!#REF!</definedName>
    <definedName name="ExcludeIC" localSheetId="1">'[19]Vashon BS'!#REF!</definedName>
    <definedName name="ExcludeIC" localSheetId="4">'[19]Vashon BS'!#REF!</definedName>
    <definedName name="ExcludeIC" localSheetId="0">'[20]Vashon BS'!#REF!</definedName>
    <definedName name="ExcludeIC">#REF!</definedName>
    <definedName name="EXT" localSheetId="1">#REF!</definedName>
    <definedName name="EXT">#REF!</definedName>
    <definedName name="FBTable" localSheetId="3">#REF!</definedName>
    <definedName name="FBTable" localSheetId="1">#REF!</definedName>
    <definedName name="FBTable" localSheetId="4">#REF!</definedName>
    <definedName name="FBTable" localSheetId="0">#REF!</definedName>
    <definedName name="FBTable">#REF!</definedName>
    <definedName name="FBTableOld" localSheetId="3">#REF!</definedName>
    <definedName name="FBTableOld" localSheetId="1">#REF!</definedName>
    <definedName name="FBTableOld" localSheetId="4">#REF!</definedName>
    <definedName name="FBTableOld" localSheetId="0">#REF!</definedName>
    <definedName name="FBTableOld">#REF!</definedName>
    <definedName name="filter">[1]Settings!$B$14:$H$25</definedName>
    <definedName name="FromMonth" localSheetId="3">#REF!</definedName>
    <definedName name="FundsApprPend" localSheetId="3">[17]Data!#REF!</definedName>
    <definedName name="FundsApprPend" localSheetId="1">[17]Data!#REF!</definedName>
    <definedName name="FundsApprPend" localSheetId="4">[17]Data!#REF!</definedName>
    <definedName name="FundsApprPend" localSheetId="0">[17]Data!#REF!</definedName>
    <definedName name="FundsApprPend">[18]Data!#REF!</definedName>
    <definedName name="FundsBudUnbud" localSheetId="3">[17]Data!#REF!</definedName>
    <definedName name="FundsBudUnbud" localSheetId="1">[17]Data!#REF!</definedName>
    <definedName name="FundsBudUnbud" localSheetId="4">[17]Data!#REF!</definedName>
    <definedName name="FundsBudUnbud" localSheetId="0">[17]Data!#REF!</definedName>
    <definedName name="FundsBudUnbud">[18]Data!#REF!</definedName>
    <definedName name="GLMappingStart" localSheetId="3">#REF!</definedName>
    <definedName name="GLMappingStart" localSheetId="1">#REF!</definedName>
    <definedName name="GLMappingStart" localSheetId="4">#REF!</definedName>
    <definedName name="GLMappingStart" localSheetId="0">#REF!</definedName>
    <definedName name="GLMappingStart">#REF!</definedName>
    <definedName name="GLMappingStart1" localSheetId="3">#REF!</definedName>
    <definedName name="GLMappingStart1" localSheetId="1">#REF!</definedName>
    <definedName name="GLMappingStart1" localSheetId="0">#REF!</definedName>
    <definedName name="GLMappingStart1">#REF!</definedName>
    <definedName name="Import_Range" localSheetId="3">[17]Data!#REF!</definedName>
    <definedName name="Import_Range" localSheetId="1">[17]Data!#REF!</definedName>
    <definedName name="Import_Range" localSheetId="4">[17]Data!#REF!</definedName>
    <definedName name="Import_Range" localSheetId="0">[17]Data!#REF!</definedName>
    <definedName name="Import_Range">[18]Data!#REF!</definedName>
    <definedName name="IncomeStmnt" localSheetId="3">#REF!</definedName>
    <definedName name="IncomeStmnt" localSheetId="1">#REF!</definedName>
    <definedName name="IncomeStmnt" localSheetId="4">#REF!</definedName>
    <definedName name="IncomeStmnt" localSheetId="0">#REF!</definedName>
    <definedName name="IncomeStmnt">#REF!</definedName>
    <definedName name="INPUT" localSheetId="3">#REF!</definedName>
    <definedName name="INPUT" localSheetId="1">#REF!</definedName>
    <definedName name="INPUT" localSheetId="4">#REF!</definedName>
    <definedName name="INPUT" localSheetId="0">#REF!</definedName>
    <definedName name="INPUT">#REF!</definedName>
    <definedName name="Insurance" localSheetId="3">#REF!</definedName>
    <definedName name="Insurance" localSheetId="1">#REF!</definedName>
    <definedName name="Insurance" localSheetId="4">#REF!</definedName>
    <definedName name="Insurance" localSheetId="0">#REF!</definedName>
    <definedName name="Insurance">#REF!</definedName>
    <definedName name="Interject_LastPulledValues_BalanceRange" localSheetId="1">#REF!</definedName>
    <definedName name="Interject_LastPulledValues_BalanceRange">#REF!</definedName>
    <definedName name="Interject_LastPulledValues_DescriptionRange" localSheetId="1">#REF!</definedName>
    <definedName name="Interject_LastPulledValues_DescriptionRange">#REF!</definedName>
    <definedName name="Interject_LastPulledValues_LastChangeGUID" localSheetId="1">#REF!</definedName>
    <definedName name="Interject_LastPulledValues_LastChangeGUID">#REF!</definedName>
    <definedName name="Interject_LastPulledValues_PreviousLastChangeGUID" localSheetId="1">#REF!</definedName>
    <definedName name="Interject_LastPulledValues_PreviousLastChangeGUID">#REF!</definedName>
    <definedName name="Invoice_Start" localSheetId="3">[17]Invoice_Drill!#REF!</definedName>
    <definedName name="Invoice_Start" localSheetId="1">[17]Invoice_Drill!#REF!</definedName>
    <definedName name="Invoice_Start" localSheetId="4">[17]Invoice_Drill!#REF!</definedName>
    <definedName name="Invoice_Start" localSheetId="0">[17]Invoice_Drill!#REF!</definedName>
    <definedName name="Invoice_Start">[18]Invoice_Drill!#REF!</definedName>
    <definedName name="JEDetail" localSheetId="3">#REF!</definedName>
    <definedName name="JEDetail" localSheetId="1">#REF!</definedName>
    <definedName name="JEDetail" localSheetId="4">#REF!</definedName>
    <definedName name="JEDetail" localSheetId="0">#REF!</definedName>
    <definedName name="JEDetail">#REF!</definedName>
    <definedName name="JEDetail1" localSheetId="3">#REF!</definedName>
    <definedName name="JEDetail1" localSheetId="1">#REF!</definedName>
    <definedName name="JEDetail1" localSheetId="0">#REF!</definedName>
    <definedName name="JEDetail1">#REF!</definedName>
    <definedName name="JEType" localSheetId="3">#REF!</definedName>
    <definedName name="JEType" localSheetId="1">#REF!</definedName>
    <definedName name="JEType" localSheetId="4">#REF!</definedName>
    <definedName name="JEType" localSheetId="0">#REF!</definedName>
    <definedName name="JEType">#REF!</definedName>
    <definedName name="JEType1" localSheetId="3">#REF!</definedName>
    <definedName name="JEType1" localSheetId="1">#REF!</definedName>
    <definedName name="JEType1" localSheetId="0">#REF!</definedName>
    <definedName name="JEType1">#REF!</definedName>
    <definedName name="lblBillAreaStatus" localSheetId="3">#REF!</definedName>
    <definedName name="lblBillAreaStatus" localSheetId="1">#REF!</definedName>
    <definedName name="lblBillAreaStatus" localSheetId="4">#REF!</definedName>
    <definedName name="lblBillAreaStatus" localSheetId="0">#REF!</definedName>
    <definedName name="lblBillAreaStatus">#REF!</definedName>
    <definedName name="lblBillCycleStatus" localSheetId="3">#REF!</definedName>
    <definedName name="lblBillCycleStatus" localSheetId="1">#REF!</definedName>
    <definedName name="lblBillCycleStatus" localSheetId="4">#REF!</definedName>
    <definedName name="lblBillCycleStatus" localSheetId="0">#REF!</definedName>
    <definedName name="lblBillCycleStatus">#REF!</definedName>
    <definedName name="lblCategoryStatus" localSheetId="3">#REF!</definedName>
    <definedName name="lblCategoryStatus" localSheetId="1">#REF!</definedName>
    <definedName name="lblCategoryStatus" localSheetId="4">#REF!</definedName>
    <definedName name="lblCategoryStatus" localSheetId="0">#REF!</definedName>
    <definedName name="lblCategoryStatus">#REF!</definedName>
    <definedName name="lblCompanyStatus" localSheetId="3">#REF!</definedName>
    <definedName name="lblCompanyStatus" localSheetId="1">#REF!</definedName>
    <definedName name="lblCompanyStatus" localSheetId="4">#REF!</definedName>
    <definedName name="lblCompanyStatus" localSheetId="0">#REF!</definedName>
    <definedName name="lblCompanyStatus">#REF!</definedName>
    <definedName name="lblDatabaseStatus" localSheetId="3">#REF!</definedName>
    <definedName name="lblDatabaseStatus" localSheetId="1">#REF!</definedName>
    <definedName name="lblDatabaseStatus" localSheetId="4">#REF!</definedName>
    <definedName name="lblDatabaseStatus" localSheetId="0">#REF!</definedName>
    <definedName name="lblDatabaseStatus">#REF!</definedName>
    <definedName name="lblPullStatus" localSheetId="3">#REF!</definedName>
    <definedName name="lblPullStatus" localSheetId="1">#REF!</definedName>
    <definedName name="lblPullStatus" localSheetId="4">#REF!</definedName>
    <definedName name="lblPullStatus" localSheetId="0">#REF!</definedName>
    <definedName name="lblPullStatus">#REF!</definedName>
    <definedName name="lllllllllllllllllllll" localSheetId="3">#REF!</definedName>
    <definedName name="lllllllllllllllllllll" localSheetId="1">#REF!</definedName>
    <definedName name="lllllllllllllllllllll" localSheetId="4">#REF!</definedName>
    <definedName name="lllllllllllllllllllll" localSheetId="0">#REF!</definedName>
    <definedName name="lllllllllllllllllllll">#REF!</definedName>
    <definedName name="MainDataEnd" localSheetId="3">#REF!</definedName>
    <definedName name="MainDataEnd" localSheetId="1">#REF!</definedName>
    <definedName name="MainDataEnd" localSheetId="4">#REF!</definedName>
    <definedName name="MainDataEnd" localSheetId="0">#REF!</definedName>
    <definedName name="MainDataEnd">#REF!</definedName>
    <definedName name="MainDataStart" localSheetId="3">#REF!</definedName>
    <definedName name="MainDataStart" localSheetId="1">#REF!</definedName>
    <definedName name="MainDataStart" localSheetId="4">#REF!</definedName>
    <definedName name="MainDataStart" localSheetId="0">#REF!</definedName>
    <definedName name="MainDataStart">#REF!</definedName>
    <definedName name="MapKeyStart" localSheetId="3">#REF!</definedName>
    <definedName name="MapKeyStart" localSheetId="1">#REF!</definedName>
    <definedName name="MapKeyStart" localSheetId="4">#REF!</definedName>
    <definedName name="MapKeyStart" localSheetId="0">#REF!</definedName>
    <definedName name="MapKeyStart">#REF!</definedName>
    <definedName name="master_def" localSheetId="3">#REF!</definedName>
    <definedName name="master_def" localSheetId="1">#REF!</definedName>
    <definedName name="master_def" localSheetId="4">#REF!</definedName>
    <definedName name="master_def" localSheetId="0">#REF!</definedName>
    <definedName name="master_def">#REF!</definedName>
    <definedName name="MATRIX" localSheetId="1">#REF!</definedName>
    <definedName name="MATRIX">#REF!</definedName>
    <definedName name="MemoAttachment" localSheetId="3">#REF!</definedName>
    <definedName name="MemoAttachment" localSheetId="1">#REF!</definedName>
    <definedName name="MemoAttachment" localSheetId="0">#REF!</definedName>
    <definedName name="MemoAttachment">#REF!</definedName>
    <definedName name="MetaSet">[1]Orientation!$C$22</definedName>
    <definedName name="MFStaffPriceOut" localSheetId="1">'[13]Price Out-Reg EASTSIDE-Resi'!#REF!</definedName>
    <definedName name="MFStaffPriceOut">'[13]Price Out-Reg EASTSIDE-Resi'!#REF!</definedName>
    <definedName name="MonthList" localSheetId="3">'[17]Lookup Tables'!$A$1:$A$13</definedName>
    <definedName name="MonthList" localSheetId="1">'[17]Lookup Tables'!$A$1:$A$13</definedName>
    <definedName name="MonthList" localSheetId="4">'[17]Lookup Tables'!$A$1:$A$13</definedName>
    <definedName name="MonthList" localSheetId="0">'[17]Lookup Tables'!$A$1:$A$13</definedName>
    <definedName name="MonthList">'[18]Lookup Tables'!$A$1:$A$13</definedName>
    <definedName name="NewOnlyOrg">#N/A</definedName>
    <definedName name="nn" localSheetId="1">#REF!</definedName>
    <definedName name="nn">#REF!</definedName>
    <definedName name="NOTES" localSheetId="3">#REF!</definedName>
    <definedName name="NOTES" localSheetId="1">#REF!</definedName>
    <definedName name="NOTES" localSheetId="4">#REF!</definedName>
    <definedName name="NOTES" localSheetId="0">#REF!</definedName>
    <definedName name="NOTES">#REF!</definedName>
    <definedName name="NR" localSheetId="3">#REF!</definedName>
    <definedName name="NR" localSheetId="1">#REF!</definedName>
    <definedName name="NR" localSheetId="0">#REF!</definedName>
    <definedName name="NR">#REF!</definedName>
    <definedName name="OfficerSalary">#N/A</definedName>
    <definedName name="OffsetAcctBil">[21]JEexport!$L$10</definedName>
    <definedName name="OffsetAcctPmt">[21]JEexport!$L$9</definedName>
    <definedName name="Org11_13">#N/A</definedName>
    <definedName name="Org7_10">#N/A</definedName>
    <definedName name="p" localSheetId="3">#REF!</definedName>
    <definedName name="p" localSheetId="1">#REF!</definedName>
    <definedName name="p" localSheetId="4">#REF!</definedName>
    <definedName name="p" localSheetId="0">#REF!</definedName>
    <definedName name="p">#REF!</definedName>
    <definedName name="PAGE_1" localSheetId="3">#REF!</definedName>
    <definedName name="PAGE_1" localSheetId="1">#REF!</definedName>
    <definedName name="PAGE_1" localSheetId="4">#REF!</definedName>
    <definedName name="PAGE_1" localSheetId="0">#REF!</definedName>
    <definedName name="PAGE_1">#REF!</definedName>
    <definedName name="Page16" localSheetId="1">#REF!</definedName>
    <definedName name="Page16">#REF!</definedName>
    <definedName name="Page17" localSheetId="1">#REF!</definedName>
    <definedName name="Page17">#REF!</definedName>
    <definedName name="Page18" localSheetId="1">#REF!</definedName>
    <definedName name="Page18">#REF!</definedName>
    <definedName name="Page7a" localSheetId="1">#REF!</definedName>
    <definedName name="Page7a">#REF!</definedName>
    <definedName name="pBatchID" localSheetId="3">#REF!</definedName>
    <definedName name="pBatchID" localSheetId="1">#REF!</definedName>
    <definedName name="pBatchID" localSheetId="4">#REF!</definedName>
    <definedName name="pBatchID" localSheetId="0">#REF!</definedName>
    <definedName name="pBatchID">#REF!</definedName>
    <definedName name="pBillArea" localSheetId="3">#REF!</definedName>
    <definedName name="pBillArea" localSheetId="1">#REF!</definedName>
    <definedName name="pBillArea" localSheetId="4">#REF!</definedName>
    <definedName name="pBillArea" localSheetId="0">#REF!</definedName>
    <definedName name="pBillArea">#REF!</definedName>
    <definedName name="pBillCycle" localSheetId="3">#REF!</definedName>
    <definedName name="pBillCycle" localSheetId="1">#REF!</definedName>
    <definedName name="pBillCycle" localSheetId="4">#REF!</definedName>
    <definedName name="pBillCycle" localSheetId="0">#REF!</definedName>
    <definedName name="pBillCycle">#REF!</definedName>
    <definedName name="pCategory" localSheetId="3">#REF!</definedName>
    <definedName name="pCategory" localSheetId="1">#REF!</definedName>
    <definedName name="pCategory" localSheetId="4">#REF!</definedName>
    <definedName name="pCategory" localSheetId="0">#REF!</definedName>
    <definedName name="pCategory">#REF!</definedName>
    <definedName name="pCompany" localSheetId="3">#REF!</definedName>
    <definedName name="pCompany" localSheetId="1">#REF!</definedName>
    <definedName name="pCompany" localSheetId="4">#REF!</definedName>
    <definedName name="pCompany" localSheetId="0">#REF!</definedName>
    <definedName name="pCompany">#REF!</definedName>
    <definedName name="pCustomerNumber" localSheetId="3">#REF!</definedName>
    <definedName name="pCustomerNumber" localSheetId="1">#REF!</definedName>
    <definedName name="pCustomerNumber" localSheetId="4">#REF!</definedName>
    <definedName name="pCustomerNumber" localSheetId="0">#REF!</definedName>
    <definedName name="pCustomerNumber">#REF!</definedName>
    <definedName name="pDatabase" localSheetId="3">#REF!</definedName>
    <definedName name="pDatabase" localSheetId="1">#REF!</definedName>
    <definedName name="pDatabase" localSheetId="4">#REF!</definedName>
    <definedName name="pDatabase" localSheetId="0">#REF!</definedName>
    <definedName name="pDatabase">#REF!</definedName>
    <definedName name="pEndPostDate" localSheetId="3">#REF!</definedName>
    <definedName name="pEndPostDate" localSheetId="1">#REF!</definedName>
    <definedName name="pEndPostDate" localSheetId="4">#REF!</definedName>
    <definedName name="pEndPostDate" localSheetId="0">#REF!</definedName>
    <definedName name="pEndPostDate">#REF!</definedName>
    <definedName name="Period" localSheetId="3">#REF!</definedName>
    <definedName name="Period" localSheetId="1">#REF!</definedName>
    <definedName name="Period" localSheetId="4">#REF!</definedName>
    <definedName name="Period" localSheetId="0">#REF!</definedName>
    <definedName name="Period">#REF!</definedName>
    <definedName name="pMonth" localSheetId="3">#REF!</definedName>
    <definedName name="pMonth" localSheetId="1">#REF!</definedName>
    <definedName name="pMonth" localSheetId="4">#REF!</definedName>
    <definedName name="pMonth" localSheetId="0">#REF!</definedName>
    <definedName name="pMonth">#REF!</definedName>
    <definedName name="pOnlyShowLastTranx" localSheetId="3">#REF!</definedName>
    <definedName name="pOnlyShowLastTranx" localSheetId="1">#REF!</definedName>
    <definedName name="pOnlyShowLastTranx" localSheetId="4">#REF!</definedName>
    <definedName name="pOnlyShowLastTranx" localSheetId="0">#REF!</definedName>
    <definedName name="pOnlyShowLastTranx">#REF!</definedName>
    <definedName name="Posting" localSheetId="3">#REF!</definedName>
    <definedName name="primtbl">[1]Orientation!$C$23</definedName>
    <definedName name="_xlnm.Print_Area" localSheetId="3">'DF Schedule'!$A$1:$O$44</definedName>
    <definedName name="_xlnm.Print_Area" localSheetId="1">'G-48 DF Calc'!$A$1:$R$100</definedName>
    <definedName name="_xlnm.Print_Area" localSheetId="2">'G-48 Price Out'!$A$1:$V$144</definedName>
    <definedName name="_xlnm.Print_Area" localSheetId="4">'Rate Schedule G-48'!$A$1:$E$82</definedName>
    <definedName name="_xlnm.Print_Area" localSheetId="0">#REF!</definedName>
    <definedName name="_xlnm.Print_Area">#REF!</definedName>
    <definedName name="Print_Area_MI" localSheetId="3">#REF!</definedName>
    <definedName name="Print_Area_MI" localSheetId="1">#REF!</definedName>
    <definedName name="Print_Area_MI" localSheetId="4">#REF!</definedName>
    <definedName name="Print_Area_MI" localSheetId="0">#REF!</definedName>
    <definedName name="Print_Area_MI">#REF!</definedName>
    <definedName name="Print_Area1" localSheetId="3">#REF!</definedName>
    <definedName name="Print_Area1" localSheetId="1">#REF!</definedName>
    <definedName name="Print_Area1" localSheetId="4">#REF!</definedName>
    <definedName name="Print_Area1" localSheetId="0">#REF!</definedName>
    <definedName name="Print_Area1">#REF!</definedName>
    <definedName name="Print_Area2" localSheetId="3">#REF!</definedName>
    <definedName name="Print_Area2" localSheetId="1">#REF!</definedName>
    <definedName name="Print_Area2" localSheetId="4">#REF!</definedName>
    <definedName name="Print_Area2" localSheetId="0">#REF!</definedName>
    <definedName name="Print_Area2">#REF!</definedName>
    <definedName name="Print_Area3" localSheetId="3">#REF!</definedName>
    <definedName name="Print_Area3" localSheetId="1">#REF!</definedName>
    <definedName name="Print_Area3" localSheetId="4">#REF!</definedName>
    <definedName name="Print_Area3" localSheetId="0">#REF!</definedName>
    <definedName name="Print_Area3">#REF!</definedName>
    <definedName name="Print_Area5" localSheetId="3">#REF!</definedName>
    <definedName name="Print_Area5" localSheetId="1">#REF!</definedName>
    <definedName name="Print_Area5" localSheetId="4">#REF!</definedName>
    <definedName name="Print_Area5" localSheetId="0">#REF!</definedName>
    <definedName name="Print_Area5">#REF!</definedName>
    <definedName name="_xlnm.Print_Titles" localSheetId="1">'G-48 DF Calc'!$5:$5</definedName>
    <definedName name="_xlnm.Print_Titles" localSheetId="2">'G-48 Price Out'!$1:$6</definedName>
    <definedName name="_xlnm.Print_Titles" localSheetId="4">'Rate Schedule G-48'!$5:$5</definedName>
    <definedName name="Print1" localSheetId="3">#REF!</definedName>
    <definedName name="Print1" localSheetId="1">#REF!</definedName>
    <definedName name="Print1" localSheetId="4">#REF!</definedName>
    <definedName name="Print1" localSheetId="0">#REF!</definedName>
    <definedName name="Print1">#REF!</definedName>
    <definedName name="Print2" localSheetId="3">#REF!</definedName>
    <definedName name="Print2" localSheetId="1">#REF!</definedName>
    <definedName name="Print2" localSheetId="4">#REF!</definedName>
    <definedName name="Print2" localSheetId="0">#REF!</definedName>
    <definedName name="Print2">#REF!</definedName>
    <definedName name="Print5" localSheetId="3">#REF!</definedName>
    <definedName name="Print5" localSheetId="1">#REF!</definedName>
    <definedName name="Print5" localSheetId="4">#REF!</definedName>
    <definedName name="Print5" localSheetId="0">#REF!</definedName>
    <definedName name="Print5">#REF!</definedName>
    <definedName name="ProRev" localSheetId="3">'[7]Pacific Regulated - Price Out'!$M$49</definedName>
    <definedName name="ProRev" localSheetId="1">'[7]Pacific Regulated - Price Out'!$M$49</definedName>
    <definedName name="ProRev" localSheetId="4">'[7]Pacific Regulated - Price Out'!$M$49</definedName>
    <definedName name="ProRev" localSheetId="0">'[8]Pacific Regulated - Price Out'!$M$49</definedName>
    <definedName name="ProRev">'[9]Pacific Regulated - Price Out'!$M$49</definedName>
    <definedName name="ProRev_com" localSheetId="3">'[7]Pacific Regulated - Price Out'!$M$213</definedName>
    <definedName name="ProRev_com" localSheetId="1">'[7]Pacific Regulated - Price Out'!$M$213</definedName>
    <definedName name="ProRev_com" localSheetId="4">'[7]Pacific Regulated - Price Out'!$M$213</definedName>
    <definedName name="ProRev_com" localSheetId="0">'[8]Pacific Regulated - Price Out'!$M$213</definedName>
    <definedName name="ProRev_com">'[9]Pacific Regulated - Price Out'!$M$213</definedName>
    <definedName name="ProRev_mfr" localSheetId="3">'[7]Pacific Regulated - Price Out'!$M$221</definedName>
    <definedName name="ProRev_mfr" localSheetId="1">'[7]Pacific Regulated - Price Out'!$M$221</definedName>
    <definedName name="ProRev_mfr" localSheetId="4">'[7]Pacific Regulated - Price Out'!$M$221</definedName>
    <definedName name="ProRev_mfr" localSheetId="0">'[8]Pacific Regulated - Price Out'!$M$221</definedName>
    <definedName name="ProRev_mfr">'[9]Pacific Regulated - Price Out'!$M$221</definedName>
    <definedName name="ProRev_ro" localSheetId="3">'[7]Pacific Regulated - Price Out'!$M$281</definedName>
    <definedName name="ProRev_ro" localSheetId="1">'[7]Pacific Regulated - Price Out'!$M$281</definedName>
    <definedName name="ProRev_ro" localSheetId="4">'[7]Pacific Regulated - Price Out'!$M$281</definedName>
    <definedName name="ProRev_ro" localSheetId="0">'[8]Pacific Regulated - Price Out'!$M$281</definedName>
    <definedName name="ProRev_ro">'[9]Pacific Regulated - Price Out'!$M$281</definedName>
    <definedName name="ProRev_rr" localSheetId="3">'[7]Pacific Regulated - Price Out'!$M$58</definedName>
    <definedName name="ProRev_rr" localSheetId="1">'[7]Pacific Regulated - Price Out'!$M$58</definedName>
    <definedName name="ProRev_rr" localSheetId="4">'[7]Pacific Regulated - Price Out'!$M$58</definedName>
    <definedName name="ProRev_rr" localSheetId="0">'[8]Pacific Regulated - Price Out'!$M$58</definedName>
    <definedName name="ProRev_rr">'[9]Pacific Regulated - Price Out'!$M$58</definedName>
    <definedName name="ProRev_yw" localSheetId="3">'[7]Pacific Regulated - Price Out'!$M$69</definedName>
    <definedName name="ProRev_yw" localSheetId="1">'[7]Pacific Regulated - Price Out'!$M$69</definedName>
    <definedName name="ProRev_yw" localSheetId="4">'[7]Pacific Regulated - Price Out'!$M$69</definedName>
    <definedName name="ProRev_yw" localSheetId="0">'[8]Pacific Regulated - Price Out'!$M$69</definedName>
    <definedName name="ProRev_yw">'[9]Pacific Regulated - Price Out'!$M$69</definedName>
    <definedName name="pServer" localSheetId="3">#REF!</definedName>
    <definedName name="pServer" localSheetId="1">#REF!</definedName>
    <definedName name="pServer" localSheetId="4">#REF!</definedName>
    <definedName name="pServer" localSheetId="0">#REF!</definedName>
    <definedName name="pServer">#REF!</definedName>
    <definedName name="pServiceCode" localSheetId="3">#REF!</definedName>
    <definedName name="pServiceCode" localSheetId="1">#REF!</definedName>
    <definedName name="pServiceCode" localSheetId="4">#REF!</definedName>
    <definedName name="pServiceCode" localSheetId="0">#REF!</definedName>
    <definedName name="pServiceCode">#REF!</definedName>
    <definedName name="pShowAllUnposted" localSheetId="3">#REF!</definedName>
    <definedName name="pShowAllUnposted" localSheetId="1">#REF!</definedName>
    <definedName name="pShowAllUnposted" localSheetId="4">#REF!</definedName>
    <definedName name="pShowAllUnposted" localSheetId="0">#REF!</definedName>
    <definedName name="pShowAllUnposted">#REF!</definedName>
    <definedName name="pShowCustomerDetail" localSheetId="3">#REF!</definedName>
    <definedName name="pShowCustomerDetail" localSheetId="1">#REF!</definedName>
    <definedName name="pShowCustomerDetail" localSheetId="4">#REF!</definedName>
    <definedName name="pShowCustomerDetail" localSheetId="0">#REF!</definedName>
    <definedName name="pShowCustomerDetail">#REF!</definedName>
    <definedName name="pSortOption" localSheetId="3">#REF!</definedName>
    <definedName name="pSortOption" localSheetId="1">#REF!</definedName>
    <definedName name="pSortOption" localSheetId="4">#REF!</definedName>
    <definedName name="pSortOption" localSheetId="0">#REF!</definedName>
    <definedName name="pSortOption">#REF!</definedName>
    <definedName name="pStartPostDate" localSheetId="3">#REF!</definedName>
    <definedName name="pStartPostDate" localSheetId="1">#REF!</definedName>
    <definedName name="pStartPostDate" localSheetId="4">#REF!</definedName>
    <definedName name="pStartPostDate" localSheetId="0">#REF!</definedName>
    <definedName name="pStartPostDate">#REF!</definedName>
    <definedName name="pTransType" localSheetId="3">#REF!</definedName>
    <definedName name="pTransType" localSheetId="1">#REF!</definedName>
    <definedName name="pTransType" localSheetId="4">#REF!</definedName>
    <definedName name="pTransType" localSheetId="0">#REF!</definedName>
    <definedName name="pTransType">#REF!</definedName>
    <definedName name="RCW_81.04.080">#N/A</definedName>
    <definedName name="RecyDisposal">#N/A</definedName>
    <definedName name="Reg_Cust_Billed_Percent">'[22]Consolidated IS 2009 2010'!$AK$20</definedName>
    <definedName name="Reg_Cust_Percent">'[22]Consolidated IS 2009 2010'!$AC$20</definedName>
    <definedName name="Reg_Drive_Percent">'[22]Consolidated IS 2009 2010'!$AC$40</definedName>
    <definedName name="Reg_Haul_Rev_Percent">'[22]Consolidated IS 2009 2010'!$Z$18</definedName>
    <definedName name="Reg_Lab_Percent">'[22]Consolidated IS 2009 2010'!$AC$39</definedName>
    <definedName name="Reg_Steel_Cont_Percent">'[22]Consolidated IS 2009 2010'!$AE$120</definedName>
    <definedName name="RegulatedIS">'[22]2009 IS'!$A$12:$Q$655</definedName>
    <definedName name="RelatedSalary">#N/A</definedName>
    <definedName name="report_type">[1]Orientation!$C$24</definedName>
    <definedName name="ReportNames">[23]ControlPanel!$S$2:$S$16</definedName>
    <definedName name="ReportVersion">[1]Settings!$D$5</definedName>
    <definedName name="ReslStaffPriceOut" localSheetId="1">'[13]Price Out-Reg EASTSIDE-Resi'!#REF!</definedName>
    <definedName name="ReslStaffPriceOut">'[13]Price Out-Reg EASTSIDE-Resi'!#REF!</definedName>
    <definedName name="RetainedEarnings" localSheetId="3">#REF!</definedName>
    <definedName name="RetainedEarnings" localSheetId="1">#REF!</definedName>
    <definedName name="RetainedEarnings" localSheetId="4">#REF!</definedName>
    <definedName name="RetainedEarnings" localSheetId="0">#REF!</definedName>
    <definedName name="RetainedEarnings">#REF!</definedName>
    <definedName name="RevCust" localSheetId="3">[24]RevenuesCust!#REF!</definedName>
    <definedName name="RevCust" localSheetId="1">[24]RevenuesCust!#REF!</definedName>
    <definedName name="RevCust" localSheetId="4">[24]RevenuesCust!#REF!</definedName>
    <definedName name="RevCust" localSheetId="0">[25]RevenuesCust!#REF!</definedName>
    <definedName name="RevCust">[26]RevenuesCust!#REF!</definedName>
    <definedName name="RevCustomer" localSheetId="3">#REF!</definedName>
    <definedName name="RevCustomer" localSheetId="1">#REF!</definedName>
    <definedName name="RevCustomer" localSheetId="4">#REF!</definedName>
    <definedName name="RevCustomer" localSheetId="0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1">#REF!</definedName>
    <definedName name="sortcol" localSheetId="4">#REF!</definedName>
    <definedName name="sortcol" localSheetId="0">#REF!</definedName>
    <definedName name="sortcol">#REF!</definedName>
    <definedName name="sSRCDate" localSheetId="3">'[27]Feb''12 FAR Data'!#REF!</definedName>
    <definedName name="sSRCDate" localSheetId="1">'[28]Feb''12 FAR Data'!#REF!</definedName>
    <definedName name="sSRCDate" localSheetId="4">'[28]Feb''12 FAR Data'!#REF!</definedName>
    <definedName name="sSRCDate" localSheetId="0">'[29]Feb''12 FAR Data'!#REF!</definedName>
    <definedName name="sSRCDate">'[30]Feb''12 FAR Data'!#REF!</definedName>
    <definedName name="SubSystems" localSheetId="3">#REF!</definedName>
    <definedName name="Supplemental_filter">[1]Settings!$C$31</definedName>
    <definedName name="SWDisposal">#N/A</definedName>
    <definedName name="System" localSheetId="3">[31]BS_Close!$V$8</definedName>
    <definedName name="System" localSheetId="1">[31]BS_Close!$V$8</definedName>
    <definedName name="System" localSheetId="4">[31]BS_Close!$V$8</definedName>
    <definedName name="System" localSheetId="0">[31]BS_Close!$V$8</definedName>
    <definedName name="System">#REF!</definedName>
    <definedName name="Systems" localSheetId="3">#REF!</definedName>
    <definedName name="TemplateEnd" localSheetId="3">#REF!</definedName>
    <definedName name="TemplateEnd" localSheetId="1">#REF!</definedName>
    <definedName name="TemplateEnd" localSheetId="4">#REF!</definedName>
    <definedName name="TemplateEnd" localSheetId="0">#REF!</definedName>
    <definedName name="TemplateEnd">#REF!</definedName>
    <definedName name="TemplateStart" localSheetId="3">#REF!</definedName>
    <definedName name="TemplateStart" localSheetId="1">#REF!</definedName>
    <definedName name="TemplateStart" localSheetId="4">#REF!</definedName>
    <definedName name="TemplateStart" localSheetId="0">#REF!</definedName>
    <definedName name="TemplateStart">#REF!</definedName>
    <definedName name="TheTable" localSheetId="3">#REF!</definedName>
    <definedName name="TheTable" localSheetId="1">#REF!</definedName>
    <definedName name="TheTable" localSheetId="4">#REF!</definedName>
    <definedName name="TheTable" localSheetId="0">#REF!</definedName>
    <definedName name="TheTable">#REF!</definedName>
    <definedName name="TheTableOLD" localSheetId="3">#REF!</definedName>
    <definedName name="TheTableOLD" localSheetId="1">#REF!</definedName>
    <definedName name="TheTableOLD" localSheetId="4">#REF!</definedName>
    <definedName name="TheTableOLD" localSheetId="0">#REF!</definedName>
    <definedName name="TheTableOLD">#REF!</definedName>
    <definedName name="timeseries">[1]Orientation!$B$6:$C$13</definedName>
    <definedName name="ToMonth" localSheetId="3">#REF!</definedName>
    <definedName name="Tons" localSheetId="1">#REF!</definedName>
    <definedName name="Tons">#REF!</definedName>
    <definedName name="Total_Comm" localSheetId="3">'[10]Tariff Rate Sheet'!$L$214</definedName>
    <definedName name="Total_Comm" localSheetId="1">'[10]Tariff Rate Sheet'!$L$214</definedName>
    <definedName name="Total_Comm" localSheetId="4">'[10]Tariff Rate Sheet'!$L$214</definedName>
    <definedName name="Total_Comm" localSheetId="0">'[11]Tariff Rate Sheet'!$L$214</definedName>
    <definedName name="Total_Comm">'[12]Tariff Rate Sheet'!$L$214</definedName>
    <definedName name="Total_DB" localSheetId="3">'[10]Tariff Rate Sheet'!$L$278</definedName>
    <definedName name="Total_DB" localSheetId="1">'[10]Tariff Rate Sheet'!$L$278</definedName>
    <definedName name="Total_DB" localSheetId="4">'[10]Tariff Rate Sheet'!$L$278</definedName>
    <definedName name="Total_DB" localSheetId="0">'[11]Tariff Rate Sheet'!$L$278</definedName>
    <definedName name="Total_DB">'[12]Tariff Rate Sheet'!$L$278</definedName>
    <definedName name="Total_Resi" localSheetId="3">'[10]Tariff Rate Sheet'!$L$107</definedName>
    <definedName name="Total_Resi" localSheetId="1">'[10]Tariff Rate Sheet'!$L$107</definedName>
    <definedName name="Total_Resi" localSheetId="4">'[10]Tariff Rate Sheet'!$L$107</definedName>
    <definedName name="Total_Resi" localSheetId="0">'[11]Tariff Rate Sheet'!$L$107</definedName>
    <definedName name="Total_Resi">'[12]Tariff Rate Sheet'!$L$107</definedName>
    <definedName name="Transactions" localSheetId="3">#REF!</definedName>
    <definedName name="Transactions" localSheetId="1">#REF!</definedName>
    <definedName name="Transactions" localSheetId="4">#REF!</definedName>
    <definedName name="Transactions" localSheetId="0">#REF!</definedName>
    <definedName name="Transactions">#REF!</definedName>
    <definedName name="UnregulatedIS">'[22]2010 IS'!$A$12:$Q$654</definedName>
    <definedName name="VendorCode" localSheetId="3">#REF!</definedName>
    <definedName name="Version" localSheetId="3">[17]Data!#REF!</definedName>
    <definedName name="Version" localSheetId="1">[17]Data!#REF!</definedName>
    <definedName name="Version" localSheetId="4">[17]Data!#REF!</definedName>
    <definedName name="Version" localSheetId="0">[17]Data!#REF!</definedName>
    <definedName name="Version">[18]Data!#REF!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 localSheetId="1">#REF!</definedName>
    <definedName name="WTable" localSheetId="4">#REF!</definedName>
    <definedName name="WTable" localSheetId="0">#REF!</definedName>
    <definedName name="WTable">#REF!</definedName>
    <definedName name="WTableOld" localSheetId="3">#REF!</definedName>
    <definedName name="WTableOld" localSheetId="1">#REF!</definedName>
    <definedName name="WTableOld" localSheetId="4">#REF!</definedName>
    <definedName name="WTableOld" localSheetId="0">#REF!</definedName>
    <definedName name="WTableOld">#REF!</definedName>
    <definedName name="ww" localSheetId="3">#REF!</definedName>
    <definedName name="ww" localSheetId="1">#REF!</definedName>
    <definedName name="ww" localSheetId="0">#REF!</definedName>
    <definedName name="ww">#REF!</definedName>
    <definedName name="xperiod">[1]Orientation!$G$15</definedName>
    <definedName name="xtabin" localSheetId="3">[4]Hidden!#REF!</definedName>
    <definedName name="xtabin" localSheetId="1">[4]Hidden!#REF!</definedName>
    <definedName name="xtabin" localSheetId="4">[4]Hidden!#REF!</definedName>
    <definedName name="xtabin" localSheetId="0">[5]Hidden!#REF!</definedName>
    <definedName name="xtabin">[6]Hidden!#REF!</definedName>
    <definedName name="xx" localSheetId="3">#REF!</definedName>
    <definedName name="xx" localSheetId="1">#REF!</definedName>
    <definedName name="xx" localSheetId="4">#REF!</definedName>
    <definedName name="xx" localSheetId="0">#REF!</definedName>
    <definedName name="xx">#REF!</definedName>
    <definedName name="xxx" localSheetId="3">#REF!</definedName>
    <definedName name="xxx" localSheetId="1">#REF!</definedName>
    <definedName name="xxx" localSheetId="0">#REF!</definedName>
    <definedName name="xxx">#REF!</definedName>
    <definedName name="xxxx" localSheetId="3">#REF!</definedName>
    <definedName name="xxxx" localSheetId="1">#REF!</definedName>
    <definedName name="xxxx" localSheetId="0">#REF!</definedName>
    <definedName name="xxxx">#REF!</definedName>
    <definedName name="YearMonth" localSheetId="1">'[19]Vashon BS'!#REF!</definedName>
    <definedName name="YearMonth" localSheetId="4">'[19]Vashon BS'!#REF!</definedName>
    <definedName name="YearMonth" localSheetId="0">'[20]Vashon BS'!#REF!</definedName>
    <definedName name="YearMonth">#REF!</definedName>
    <definedName name="YWMedWasteDisp">#N/A</definedName>
    <definedName name="yy" localSheetId="3">#REF!</definedName>
    <definedName name="yy" localSheetId="1">#REF!</definedName>
    <definedName name="yy" localSheetId="4">#REF!</definedName>
    <definedName name="yy" localSheetId="0">#REF!</definedName>
    <definedName name="yy">#REF!</definedName>
  </definedNames>
  <calcPr calcId="145621" iterate="1" iterateDelta="0" concurrentManualCount="4"/>
</workbook>
</file>

<file path=xl/calcChain.xml><?xml version="1.0" encoding="utf-8"?>
<calcChain xmlns="http://schemas.openxmlformats.org/spreadsheetml/2006/main">
  <c r="D61" i="5" l="1"/>
  <c r="C61" i="5"/>
  <c r="D60" i="5"/>
  <c r="K86" i="3" l="1"/>
  <c r="K85" i="3"/>
  <c r="K84" i="3"/>
  <c r="K83" i="3"/>
  <c r="K81" i="3"/>
  <c r="K80" i="3"/>
  <c r="K79" i="3"/>
  <c r="K78" i="3"/>
  <c r="K76" i="3"/>
  <c r="K75" i="3"/>
  <c r="K74" i="3"/>
  <c r="K73" i="3"/>
  <c r="K71" i="3"/>
  <c r="K70" i="3"/>
  <c r="K69" i="3"/>
  <c r="K68" i="3"/>
  <c r="K67" i="3"/>
  <c r="K66" i="3"/>
  <c r="K63" i="3"/>
  <c r="K62" i="3"/>
  <c r="K61" i="3"/>
  <c r="K60" i="3"/>
  <c r="K59" i="3"/>
  <c r="K56" i="3"/>
  <c r="K55" i="3"/>
  <c r="K54" i="3"/>
  <c r="K53" i="3"/>
  <c r="K52" i="3"/>
  <c r="K49" i="3"/>
  <c r="K48" i="3"/>
  <c r="K47" i="3"/>
  <c r="K46" i="3"/>
  <c r="K45" i="3"/>
  <c r="K41" i="3"/>
  <c r="K40" i="3"/>
  <c r="K39" i="3"/>
  <c r="K38" i="3"/>
  <c r="K37" i="3"/>
  <c r="K36" i="3"/>
  <c r="K30" i="3"/>
  <c r="K29" i="3"/>
  <c r="K28" i="3"/>
  <c r="K27" i="3"/>
  <c r="K24" i="3"/>
  <c r="K23" i="3"/>
  <c r="K22" i="3"/>
  <c r="K21" i="3"/>
  <c r="K19" i="3"/>
  <c r="K18" i="3"/>
  <c r="K17" i="3"/>
  <c r="K16" i="3"/>
  <c r="K15" i="3"/>
  <c r="K14" i="3"/>
  <c r="K13" i="3"/>
  <c r="K12" i="3"/>
  <c r="K11" i="3"/>
  <c r="K8" i="3"/>
  <c r="C37" i="6"/>
  <c r="C36" i="6"/>
  <c r="C34" i="6"/>
  <c r="C35" i="6"/>
  <c r="C33" i="6"/>
  <c r="E86" i="3" l="1"/>
  <c r="E85" i="3"/>
  <c r="M86" i="3"/>
  <c r="F86" i="3"/>
  <c r="C86" i="3"/>
  <c r="D85" i="3"/>
  <c r="C85" i="3"/>
  <c r="E81" i="3"/>
  <c r="F81" i="3" s="1"/>
  <c r="E80" i="3"/>
  <c r="M81" i="3"/>
  <c r="C81" i="3"/>
  <c r="D80" i="3"/>
  <c r="C80" i="3"/>
  <c r="E79" i="3"/>
  <c r="C83" i="3"/>
  <c r="E83" i="3"/>
  <c r="F83" i="3" s="1"/>
  <c r="M83" i="3"/>
  <c r="E84" i="3"/>
  <c r="F84" i="3" s="1"/>
  <c r="M84" i="3"/>
  <c r="E76" i="3"/>
  <c r="F76" i="3" s="1"/>
  <c r="E75" i="3"/>
  <c r="M76" i="3"/>
  <c r="C76" i="3"/>
  <c r="D75" i="3"/>
  <c r="C75" i="3"/>
  <c r="M85" i="3" l="1"/>
  <c r="F85" i="3"/>
  <c r="M80" i="3"/>
  <c r="F80" i="3"/>
  <c r="M75" i="3"/>
  <c r="F75" i="3"/>
  <c r="C78" i="3"/>
  <c r="C73" i="3"/>
  <c r="C71" i="3"/>
  <c r="C70" i="3"/>
  <c r="C69" i="3"/>
  <c r="C67" i="3"/>
  <c r="C66" i="3"/>
  <c r="C63" i="3"/>
  <c r="C62" i="3"/>
  <c r="C61" i="3"/>
  <c r="C60" i="3"/>
  <c r="C59" i="3"/>
  <c r="C56" i="3"/>
  <c r="C55" i="3"/>
  <c r="C54" i="3"/>
  <c r="C53" i="3"/>
  <c r="C52" i="3"/>
  <c r="C49" i="3"/>
  <c r="C48" i="3"/>
  <c r="C47" i="3"/>
  <c r="C46" i="3"/>
  <c r="C45" i="3"/>
  <c r="C37" i="3"/>
  <c r="C38" i="3"/>
  <c r="C39" i="3"/>
  <c r="C40" i="3"/>
  <c r="C41" i="3"/>
  <c r="C36" i="3"/>
  <c r="E71" i="3"/>
  <c r="E70" i="3"/>
  <c r="E69" i="3"/>
  <c r="E67" i="3"/>
  <c r="E66" i="3"/>
  <c r="E68" i="3"/>
  <c r="C66" i="5" l="1"/>
  <c r="M37" i="3"/>
  <c r="M38" i="3"/>
  <c r="M39" i="3"/>
  <c r="M40" i="3"/>
  <c r="M41" i="3"/>
  <c r="M48" i="3"/>
  <c r="M55" i="3"/>
  <c r="M56" i="3"/>
  <c r="M61" i="3"/>
  <c r="M62" i="3"/>
  <c r="M63" i="3"/>
  <c r="M67" i="3"/>
  <c r="M70" i="3"/>
  <c r="M74" i="3"/>
  <c r="B96" i="3" l="1"/>
  <c r="B97" i="3" s="1"/>
  <c r="C74" i="5"/>
  <c r="V62" i="1" l="1"/>
  <c r="E45" i="3" l="1"/>
  <c r="E41" i="3"/>
  <c r="E15" i="3"/>
  <c r="M18" i="3" l="1"/>
  <c r="M22" i="3"/>
  <c r="M28" i="3"/>
  <c r="M29" i="3"/>
  <c r="E78" i="3"/>
  <c r="E74" i="3"/>
  <c r="E73" i="3"/>
  <c r="E37" i="3"/>
  <c r="E38" i="3"/>
  <c r="E39" i="3"/>
  <c r="E40" i="3"/>
  <c r="E36" i="3"/>
  <c r="E60" i="3" l="1"/>
  <c r="E61" i="3"/>
  <c r="E62" i="3"/>
  <c r="E63" i="3"/>
  <c r="E59" i="3"/>
  <c r="E53" i="3"/>
  <c r="E54" i="3"/>
  <c r="E55" i="3"/>
  <c r="E56" i="3"/>
  <c r="E52" i="3"/>
  <c r="E46" i="3"/>
  <c r="E47" i="3"/>
  <c r="E48" i="3"/>
  <c r="E49" i="3"/>
  <c r="F67" i="3"/>
  <c r="F70" i="3"/>
  <c r="F74" i="3"/>
  <c r="C28" i="3"/>
  <c r="D28" i="3" s="1"/>
  <c r="C29" i="3"/>
  <c r="D29" i="3" s="1"/>
  <c r="C30" i="3"/>
  <c r="C27" i="3"/>
  <c r="C8" i="3"/>
  <c r="E30" i="3"/>
  <c r="E29" i="3"/>
  <c r="E28" i="3"/>
  <c r="E27" i="3"/>
  <c r="E24" i="3"/>
  <c r="E23" i="3"/>
  <c r="E22" i="3"/>
  <c r="E21" i="3"/>
  <c r="E17" i="3"/>
  <c r="E18" i="3"/>
  <c r="E19" i="3"/>
  <c r="E16" i="3"/>
  <c r="E13" i="3"/>
  <c r="E14" i="3"/>
  <c r="E12" i="3"/>
  <c r="E11" i="3"/>
  <c r="E88" i="3" l="1"/>
  <c r="E8" i="3"/>
  <c r="E32" i="3" l="1"/>
  <c r="E89" i="3" s="1"/>
  <c r="T41" i="1"/>
  <c r="C75" i="5"/>
  <c r="E98" i="3" s="1"/>
  <c r="F98" i="3" s="1"/>
  <c r="D59" i="5"/>
  <c r="H58" i="5"/>
  <c r="H61" i="5" s="1"/>
  <c r="H63" i="5" s="1"/>
  <c r="D58" i="5"/>
  <c r="C53" i="5"/>
  <c r="C52" i="5"/>
  <c r="C50" i="5"/>
  <c r="C49" i="5"/>
  <c r="C48" i="5"/>
  <c r="C46" i="5"/>
  <c r="C45" i="5"/>
  <c r="C44" i="5"/>
  <c r="C43" i="5"/>
  <c r="C41" i="5"/>
  <c r="C40" i="5"/>
  <c r="C39" i="5"/>
  <c r="C12" i="5"/>
  <c r="I11" i="5"/>
  <c r="F11" i="5"/>
  <c r="C11" i="5"/>
  <c r="T43" i="1" s="1"/>
  <c r="C10" i="5"/>
  <c r="I10" i="5" s="1"/>
  <c r="T53" i="1" s="1"/>
  <c r="C9" i="5"/>
  <c r="C8" i="5"/>
  <c r="C7" i="5"/>
  <c r="E7" i="5" s="1"/>
  <c r="E6" i="5"/>
  <c r="C6" i="5"/>
  <c r="G6" i="5" s="1"/>
  <c r="N38" i="4"/>
  <c r="J38" i="4"/>
  <c r="F38" i="4"/>
  <c r="K38" i="4"/>
  <c r="G38" i="4"/>
  <c r="C38" i="4"/>
  <c r="O38" i="4" s="1"/>
  <c r="M38" i="4"/>
  <c r="L38" i="4"/>
  <c r="I38" i="4"/>
  <c r="H38" i="4"/>
  <c r="E38" i="4"/>
  <c r="D38" i="4"/>
  <c r="O36" i="4"/>
  <c r="M31" i="4"/>
  <c r="I31" i="4"/>
  <c r="E31" i="4"/>
  <c r="N25" i="4"/>
  <c r="N21" i="4" s="1"/>
  <c r="N22" i="4" s="1"/>
  <c r="N23" i="4" s="1"/>
  <c r="M25" i="4"/>
  <c r="M21" i="4" s="1"/>
  <c r="J25" i="4"/>
  <c r="J21" i="4" s="1"/>
  <c r="J22" i="4" s="1"/>
  <c r="J23" i="4" s="1"/>
  <c r="I25" i="4"/>
  <c r="I21" i="4" s="1"/>
  <c r="F25" i="4"/>
  <c r="F21" i="4" s="1"/>
  <c r="F22" i="4" s="1"/>
  <c r="F23" i="4" s="1"/>
  <c r="E25" i="4"/>
  <c r="E21" i="4" s="1"/>
  <c r="K25" i="4"/>
  <c r="G25" i="4"/>
  <c r="D25" i="4"/>
  <c r="C25" i="4"/>
  <c r="L25" i="4"/>
  <c r="L21" i="4" s="1"/>
  <c r="K20" i="4"/>
  <c r="K22" i="4" s="1"/>
  <c r="K23" i="4" s="1"/>
  <c r="H25" i="4"/>
  <c r="H21" i="4" s="1"/>
  <c r="G20" i="4"/>
  <c r="G22" i="4" s="1"/>
  <c r="G23" i="4" s="1"/>
  <c r="C22" i="4"/>
  <c r="C23" i="4" s="1"/>
  <c r="K21" i="4"/>
  <c r="G21" i="4"/>
  <c r="D21" i="4"/>
  <c r="C21" i="4"/>
  <c r="N20" i="4"/>
  <c r="M20" i="4"/>
  <c r="L20" i="4"/>
  <c r="L22" i="4" s="1"/>
  <c r="L23" i="4" s="1"/>
  <c r="J20" i="4"/>
  <c r="I20" i="4"/>
  <c r="H20" i="4"/>
  <c r="H22" i="4" s="1"/>
  <c r="H23" i="4" s="1"/>
  <c r="F20" i="4"/>
  <c r="E20" i="4"/>
  <c r="D20" i="4"/>
  <c r="D22" i="4" s="1"/>
  <c r="D23" i="4" s="1"/>
  <c r="C20" i="4"/>
  <c r="O20" i="4" s="1"/>
  <c r="E19" i="4"/>
  <c r="F19" i="4" s="1"/>
  <c r="G19" i="4" s="1"/>
  <c r="H19" i="4" s="1"/>
  <c r="I19" i="4" s="1"/>
  <c r="J19" i="4" s="1"/>
  <c r="K19" i="4" s="1"/>
  <c r="L19" i="4" s="1"/>
  <c r="M19" i="4" s="1"/>
  <c r="N19" i="4" s="1"/>
  <c r="D19" i="4"/>
  <c r="C19" i="4"/>
  <c r="M13" i="4"/>
  <c r="J11" i="4"/>
  <c r="I13" i="4"/>
  <c r="F11" i="4"/>
  <c r="E13" i="4"/>
  <c r="J13" i="4"/>
  <c r="J32" i="4" s="1"/>
  <c r="F13" i="4"/>
  <c r="F32" i="4" s="1"/>
  <c r="N31" i="4"/>
  <c r="L13" i="4"/>
  <c r="K31" i="4"/>
  <c r="J31" i="4"/>
  <c r="H13" i="4"/>
  <c r="G31" i="4"/>
  <c r="F31" i="4"/>
  <c r="D13" i="4"/>
  <c r="C31" i="4"/>
  <c r="J9" i="4"/>
  <c r="F9" i="4"/>
  <c r="N8" i="4"/>
  <c r="M8" i="4"/>
  <c r="K8" i="4"/>
  <c r="J8" i="4"/>
  <c r="J10" i="4" s="1"/>
  <c r="I8" i="4"/>
  <c r="G8" i="4"/>
  <c r="F8" i="4"/>
  <c r="F10" i="4" s="1"/>
  <c r="E8" i="4"/>
  <c r="C8" i="4"/>
  <c r="F7" i="4"/>
  <c r="G7" i="4" s="1"/>
  <c r="H7" i="4" s="1"/>
  <c r="I7" i="4" s="1"/>
  <c r="J7" i="4" s="1"/>
  <c r="K7" i="4" s="1"/>
  <c r="L7" i="4" s="1"/>
  <c r="M7" i="4" s="1"/>
  <c r="N7" i="4" s="1"/>
  <c r="E7" i="4"/>
  <c r="D7" i="4"/>
  <c r="F6" i="5" l="1"/>
  <c r="F9" i="5"/>
  <c r="T46" i="1"/>
  <c r="T54" i="1"/>
  <c r="D10" i="5"/>
  <c r="H7" i="5"/>
  <c r="T59" i="1"/>
  <c r="G10" i="5"/>
  <c r="C84" i="3"/>
  <c r="C74" i="3"/>
  <c r="C23" i="3"/>
  <c r="C17" i="3"/>
  <c r="C16" i="3"/>
  <c r="C19" i="3"/>
  <c r="C79" i="3"/>
  <c r="C18" i="3"/>
  <c r="D18" i="3" s="1"/>
  <c r="C22" i="3"/>
  <c r="D22" i="3" s="1"/>
  <c r="C68" i="3"/>
  <c r="C15" i="3"/>
  <c r="T61" i="1"/>
  <c r="T49" i="1"/>
  <c r="T70" i="1"/>
  <c r="T65" i="1"/>
  <c r="T44" i="1"/>
  <c r="C11" i="3"/>
  <c r="C21" i="3"/>
  <c r="C14" i="3"/>
  <c r="H6" i="5"/>
  <c r="F7" i="5"/>
  <c r="D9" i="5"/>
  <c r="T55" i="1" s="1"/>
  <c r="E10" i="5"/>
  <c r="H11" i="5"/>
  <c r="T60" i="1"/>
  <c r="T48" i="1"/>
  <c r="T69" i="1"/>
  <c r="T62" i="1"/>
  <c r="U62" i="1" s="1"/>
  <c r="C13" i="3"/>
  <c r="I12" i="5"/>
  <c r="C24" i="3"/>
  <c r="T75" i="1"/>
  <c r="T71" i="1"/>
  <c r="T64" i="1"/>
  <c r="T73" i="1"/>
  <c r="T63" i="1"/>
  <c r="T76" i="1"/>
  <c r="T74" i="1"/>
  <c r="T72" i="1"/>
  <c r="C12" i="3"/>
  <c r="I8" i="5"/>
  <c r="T57" i="1"/>
  <c r="T47" i="1"/>
  <c r="H10" i="5"/>
  <c r="D6" i="5"/>
  <c r="I6" i="5"/>
  <c r="I7" i="5"/>
  <c r="H9" i="5"/>
  <c r="F10" i="5"/>
  <c r="E11" i="5"/>
  <c r="T40" i="1"/>
  <c r="D40" i="6"/>
  <c r="E40" i="6" s="1"/>
  <c r="C64" i="5"/>
  <c r="C65" i="5" s="1"/>
  <c r="C67" i="5" s="1"/>
  <c r="E61" i="5"/>
  <c r="F8" i="5"/>
  <c r="G9" i="5"/>
  <c r="F12" i="5"/>
  <c r="G12" i="5"/>
  <c r="G7" i="5"/>
  <c r="D8" i="5"/>
  <c r="T58" i="1" s="1"/>
  <c r="H8" i="5"/>
  <c r="E9" i="5"/>
  <c r="I9" i="5"/>
  <c r="T56" i="1" s="1"/>
  <c r="G11" i="5"/>
  <c r="D12" i="5"/>
  <c r="H12" i="5"/>
  <c r="G8" i="5"/>
  <c r="D7" i="5"/>
  <c r="E8" i="5"/>
  <c r="D11" i="5"/>
  <c r="E12" i="5"/>
  <c r="C40" i="4"/>
  <c r="G40" i="4"/>
  <c r="E32" i="4"/>
  <c r="E33" i="4" s="1"/>
  <c r="E41" i="4" s="1"/>
  <c r="E9" i="4"/>
  <c r="E10" i="4" s="1"/>
  <c r="M9" i="4"/>
  <c r="M10" i="4" s="1"/>
  <c r="M11" i="4" s="1"/>
  <c r="M32" i="4"/>
  <c r="M33" i="4"/>
  <c r="M41" i="4" s="1"/>
  <c r="H9" i="4"/>
  <c r="H32" i="4"/>
  <c r="M22" i="4"/>
  <c r="M23" i="4" s="1"/>
  <c r="D9" i="4"/>
  <c r="D32" i="4"/>
  <c r="L9" i="4"/>
  <c r="L32" i="4"/>
  <c r="I22" i="4"/>
  <c r="I23" i="4" s="1"/>
  <c r="O25" i="4"/>
  <c r="K40" i="4"/>
  <c r="I32" i="4"/>
  <c r="I33" i="4" s="1"/>
  <c r="I41" i="4" s="1"/>
  <c r="I9" i="4"/>
  <c r="I10" i="4" s="1"/>
  <c r="F40" i="4"/>
  <c r="F33" i="4"/>
  <c r="F41" i="4" s="1"/>
  <c r="J40" i="4"/>
  <c r="J33" i="4"/>
  <c r="J41" i="4" s="1"/>
  <c r="N40" i="4"/>
  <c r="E22" i="4"/>
  <c r="E23" i="4" s="1"/>
  <c r="O21" i="4"/>
  <c r="O22" i="4" s="1"/>
  <c r="O12" i="4"/>
  <c r="N13" i="4"/>
  <c r="O24" i="4"/>
  <c r="O26" i="4" s="1"/>
  <c r="D31" i="4"/>
  <c r="H31" i="4"/>
  <c r="L31" i="4"/>
  <c r="O37" i="4"/>
  <c r="E40" i="4"/>
  <c r="I40" i="4"/>
  <c r="M40" i="4"/>
  <c r="K13" i="4"/>
  <c r="C13" i="4"/>
  <c r="D8" i="4"/>
  <c r="D10" i="4" s="1"/>
  <c r="D11" i="4" s="1"/>
  <c r="H8" i="4"/>
  <c r="L8" i="4"/>
  <c r="L10" i="4" s="1"/>
  <c r="L11" i="4" s="1"/>
  <c r="E11" i="4"/>
  <c r="I11" i="4"/>
  <c r="O8" i="4"/>
  <c r="G13" i="4"/>
  <c r="T67" i="1" l="1"/>
  <c r="T51" i="1"/>
  <c r="T68" i="1"/>
  <c r="T52" i="1"/>
  <c r="T42" i="1"/>
  <c r="T66" i="1"/>
  <c r="T50" i="1"/>
  <c r="T45" i="1"/>
  <c r="H40" i="4"/>
  <c r="H33" i="4"/>
  <c r="H41" i="4" s="1"/>
  <c r="G9" i="4"/>
  <c r="G10" i="4" s="1"/>
  <c r="G11" i="4" s="1"/>
  <c r="G32" i="4"/>
  <c r="G33" i="4" s="1"/>
  <c r="G41" i="4" s="1"/>
  <c r="C9" i="4"/>
  <c r="O13" i="4"/>
  <c r="O14" i="4" s="1"/>
  <c r="C32" i="4"/>
  <c r="D40" i="4"/>
  <c r="O40" i="4" s="1"/>
  <c r="D33" i="4"/>
  <c r="D41" i="4" s="1"/>
  <c r="K9" i="4"/>
  <c r="K10" i="4" s="1"/>
  <c r="K11" i="4" s="1"/>
  <c r="K32" i="4"/>
  <c r="K33" i="4" s="1"/>
  <c r="K41" i="4" s="1"/>
  <c r="H10" i="4"/>
  <c r="H11" i="4" s="1"/>
  <c r="L40" i="4"/>
  <c r="L33" i="4"/>
  <c r="L41" i="4" s="1"/>
  <c r="N32" i="4"/>
  <c r="N33" i="4" s="1"/>
  <c r="N41" i="4" s="1"/>
  <c r="N9" i="4"/>
  <c r="N10" i="4" s="1"/>
  <c r="N11" i="4" s="1"/>
  <c r="O31" i="4"/>
  <c r="O32" i="4" l="1"/>
  <c r="O33" i="4" s="1"/>
  <c r="C33" i="4"/>
  <c r="C41" i="4" s="1"/>
  <c r="O41" i="4" s="1"/>
  <c r="O9" i="4"/>
  <c r="O10" i="4" s="1"/>
  <c r="C10" i="4"/>
  <c r="C11" i="4" s="1"/>
  <c r="G140" i="1" l="1"/>
  <c r="F142" i="1"/>
  <c r="G138" i="1"/>
  <c r="F137" i="1"/>
  <c r="G133" i="1"/>
  <c r="G135" i="1" s="1"/>
  <c r="F135" i="1"/>
  <c r="E135" i="1"/>
  <c r="J128" i="1"/>
  <c r="I128" i="1"/>
  <c r="K128" i="1" s="1"/>
  <c r="G127" i="1"/>
  <c r="I127" i="1"/>
  <c r="G126" i="1"/>
  <c r="D126" i="1"/>
  <c r="G125" i="1"/>
  <c r="J125" i="1"/>
  <c r="G124" i="1"/>
  <c r="J124" i="1"/>
  <c r="I123" i="1"/>
  <c r="J123" i="1"/>
  <c r="G122" i="1"/>
  <c r="G118" i="1"/>
  <c r="J118" i="1"/>
  <c r="G117" i="1"/>
  <c r="J117" i="1"/>
  <c r="J116" i="1"/>
  <c r="J115" i="1"/>
  <c r="G114" i="1"/>
  <c r="J114" i="1"/>
  <c r="G113" i="1"/>
  <c r="G112" i="1"/>
  <c r="G111" i="1"/>
  <c r="J111" i="1"/>
  <c r="J109" i="1"/>
  <c r="J101" i="1"/>
  <c r="G101" i="1"/>
  <c r="C101" i="1"/>
  <c r="I101" i="1" s="1"/>
  <c r="K101" i="1" s="1"/>
  <c r="J100" i="1"/>
  <c r="C100" i="1"/>
  <c r="C99" i="1"/>
  <c r="C98" i="1"/>
  <c r="C97" i="1"/>
  <c r="J96" i="1"/>
  <c r="C95" i="1"/>
  <c r="C94" i="1"/>
  <c r="G93" i="1"/>
  <c r="C93" i="1"/>
  <c r="G92" i="1"/>
  <c r="C92" i="1"/>
  <c r="J91" i="1"/>
  <c r="I90" i="1"/>
  <c r="J89" i="1"/>
  <c r="I88" i="1"/>
  <c r="J87" i="1"/>
  <c r="G83" i="1"/>
  <c r="G82" i="1"/>
  <c r="C81" i="1"/>
  <c r="C80" i="1"/>
  <c r="I80" i="1" s="1"/>
  <c r="G79" i="1"/>
  <c r="C79" i="1"/>
  <c r="J78" i="1"/>
  <c r="I77" i="1"/>
  <c r="I76" i="1"/>
  <c r="I75" i="1"/>
  <c r="G74" i="1"/>
  <c r="I73" i="1"/>
  <c r="I72" i="1"/>
  <c r="I68" i="1"/>
  <c r="I67" i="1"/>
  <c r="I66" i="1"/>
  <c r="I65" i="1"/>
  <c r="I63" i="1"/>
  <c r="I62" i="1"/>
  <c r="G61" i="1"/>
  <c r="G59" i="1"/>
  <c r="J59" i="1"/>
  <c r="G57" i="1"/>
  <c r="J57" i="1"/>
  <c r="I56" i="1"/>
  <c r="G55" i="1"/>
  <c r="I54" i="1"/>
  <c r="G53" i="1"/>
  <c r="G51" i="1"/>
  <c r="J51" i="1"/>
  <c r="G49" i="1"/>
  <c r="J49" i="1"/>
  <c r="G47" i="1"/>
  <c r="I46" i="1"/>
  <c r="G45" i="1"/>
  <c r="G43" i="1"/>
  <c r="J43" i="1"/>
  <c r="G41" i="1"/>
  <c r="J41" i="1"/>
  <c r="F39" i="1"/>
  <c r="J33" i="1"/>
  <c r="G33" i="1"/>
  <c r="G31" i="1"/>
  <c r="I31" i="1"/>
  <c r="J30" i="1"/>
  <c r="G29" i="1"/>
  <c r="G28" i="1"/>
  <c r="J28" i="1"/>
  <c r="G27" i="1"/>
  <c r="I26" i="1"/>
  <c r="G25" i="1"/>
  <c r="G23" i="1"/>
  <c r="J23" i="1"/>
  <c r="I21" i="1"/>
  <c r="J21" i="1"/>
  <c r="J20" i="1"/>
  <c r="I20" i="1"/>
  <c r="G19" i="1"/>
  <c r="G17" i="1"/>
  <c r="J17" i="1"/>
  <c r="J16" i="1"/>
  <c r="I15" i="1"/>
  <c r="J15" i="1"/>
  <c r="I14" i="1"/>
  <c r="J14" i="1"/>
  <c r="I13" i="1"/>
  <c r="J12" i="1"/>
  <c r="M97" i="1"/>
  <c r="Q97" i="1" s="1"/>
  <c r="J71" i="1" l="1"/>
  <c r="J84" i="1"/>
  <c r="J122" i="1"/>
  <c r="F35" i="1"/>
  <c r="G13" i="1"/>
  <c r="I22" i="1"/>
  <c r="I30" i="1"/>
  <c r="I42" i="1"/>
  <c r="I50" i="1"/>
  <c r="J53" i="1"/>
  <c r="I58" i="1"/>
  <c r="J61" i="1"/>
  <c r="E35" i="1"/>
  <c r="J13" i="1"/>
  <c r="G15" i="1"/>
  <c r="I18" i="1"/>
  <c r="I19" i="1"/>
  <c r="G21" i="1"/>
  <c r="G24" i="1"/>
  <c r="I25" i="1"/>
  <c r="I29" i="1"/>
  <c r="I32" i="1"/>
  <c r="I44" i="1"/>
  <c r="J47" i="1"/>
  <c r="I52" i="1"/>
  <c r="J55" i="1"/>
  <c r="I60" i="1"/>
  <c r="I64" i="1"/>
  <c r="G67" i="1"/>
  <c r="I69" i="1"/>
  <c r="I70" i="1"/>
  <c r="I71" i="1"/>
  <c r="G77" i="1"/>
  <c r="I79" i="1"/>
  <c r="G97" i="1"/>
  <c r="G99" i="1"/>
  <c r="F130" i="1"/>
  <c r="J113" i="1"/>
  <c r="J119" i="1"/>
  <c r="J120" i="1"/>
  <c r="J121" i="1"/>
  <c r="G123" i="1"/>
  <c r="G139" i="1"/>
  <c r="G142" i="1" s="1"/>
  <c r="I119" i="1"/>
  <c r="I120" i="1"/>
  <c r="I92" i="1"/>
  <c r="I93" i="1"/>
  <c r="G63" i="1"/>
  <c r="I16" i="1"/>
  <c r="I17" i="1"/>
  <c r="J19" i="1"/>
  <c r="I23" i="1"/>
  <c r="J25" i="1"/>
  <c r="I27" i="1"/>
  <c r="J32" i="1"/>
  <c r="J45" i="1"/>
  <c r="G65" i="1"/>
  <c r="J69" i="1"/>
  <c r="I74" i="1"/>
  <c r="I115" i="1"/>
  <c r="I116" i="1"/>
  <c r="J48" i="1"/>
  <c r="J64" i="1"/>
  <c r="I100" i="1"/>
  <c r="J110" i="1"/>
  <c r="F103" i="1"/>
  <c r="I48" i="1"/>
  <c r="M18" i="1"/>
  <c r="M40" i="1"/>
  <c r="Q40" i="1" s="1"/>
  <c r="J50" i="1"/>
  <c r="J58" i="1"/>
  <c r="J76" i="1"/>
  <c r="J94" i="1"/>
  <c r="J95" i="1"/>
  <c r="J18" i="1"/>
  <c r="M43" i="1"/>
  <c r="Q43" i="1" s="1"/>
  <c r="J68" i="1"/>
  <c r="J72" i="1"/>
  <c r="K30" i="1"/>
  <c r="J42" i="1"/>
  <c r="J56" i="1"/>
  <c r="J83" i="1"/>
  <c r="J98" i="1"/>
  <c r="K15" i="1"/>
  <c r="B16" i="3" s="1"/>
  <c r="K16" i="1"/>
  <c r="B17" i="3" s="1"/>
  <c r="K20" i="1"/>
  <c r="B21" i="3" s="1"/>
  <c r="M32" i="1"/>
  <c r="Q32" i="1" s="1"/>
  <c r="M42" i="1"/>
  <c r="Q42" i="1" s="1"/>
  <c r="J44" i="1"/>
  <c r="M45" i="1"/>
  <c r="M50" i="1"/>
  <c r="Q50" i="1" s="1"/>
  <c r="J52" i="1"/>
  <c r="M53" i="1"/>
  <c r="M58" i="1"/>
  <c r="Q58" i="1" s="1"/>
  <c r="J60" i="1"/>
  <c r="M61" i="1"/>
  <c r="Q61" i="1" s="1"/>
  <c r="K64" i="1"/>
  <c r="M64" i="1"/>
  <c r="K68" i="1"/>
  <c r="M68" i="1"/>
  <c r="Q68" i="1" s="1"/>
  <c r="M72" i="1"/>
  <c r="M75" i="1"/>
  <c r="K76" i="1"/>
  <c r="J77" i="1"/>
  <c r="M95" i="1"/>
  <c r="Q95" i="1" s="1"/>
  <c r="M99" i="1"/>
  <c r="Q99" i="1" s="1"/>
  <c r="K120" i="1"/>
  <c r="K13" i="1"/>
  <c r="B14" i="3" s="1"/>
  <c r="Q18" i="1"/>
  <c r="M20" i="1"/>
  <c r="Q20" i="1" s="1"/>
  <c r="M22" i="1"/>
  <c r="Q22" i="1" s="1"/>
  <c r="M24" i="1"/>
  <c r="Q24" i="1" s="1"/>
  <c r="M26" i="1"/>
  <c r="Q26" i="1" s="1"/>
  <c r="K14" i="1"/>
  <c r="B15" i="3" s="1"/>
  <c r="K18" i="1"/>
  <c r="M30" i="1"/>
  <c r="Q30" i="1" s="1"/>
  <c r="K32" i="1"/>
  <c r="O32" i="1" s="1"/>
  <c r="M44" i="1"/>
  <c r="Q44" i="1" s="1"/>
  <c r="Q45" i="1"/>
  <c r="J46" i="1"/>
  <c r="M47" i="1"/>
  <c r="Q47" i="1" s="1"/>
  <c r="K48" i="1"/>
  <c r="M52" i="1"/>
  <c r="Q52" i="1" s="1"/>
  <c r="Q53" i="1"/>
  <c r="J54" i="1"/>
  <c r="K54" i="1" s="1"/>
  <c r="M55" i="1"/>
  <c r="Q55" i="1" s="1"/>
  <c r="K56" i="1"/>
  <c r="M60" i="1"/>
  <c r="Q60" i="1" s="1"/>
  <c r="J62" i="1"/>
  <c r="J66" i="1"/>
  <c r="J70" i="1"/>
  <c r="K70" i="1" s="1"/>
  <c r="K72" i="1"/>
  <c r="M76" i="1"/>
  <c r="M77" i="1"/>
  <c r="Q77" i="1" s="1"/>
  <c r="C96" i="1"/>
  <c r="J112" i="1"/>
  <c r="K115" i="1"/>
  <c r="K19" i="1"/>
  <c r="B12" i="3" s="1"/>
  <c r="K21" i="1"/>
  <c r="B23" i="3" s="1"/>
  <c r="J22" i="1"/>
  <c r="K22" i="1" s="1"/>
  <c r="B30" i="3" s="1"/>
  <c r="K23" i="1"/>
  <c r="B27" i="3" s="1"/>
  <c r="J24" i="1"/>
  <c r="K25" i="1"/>
  <c r="J26" i="1"/>
  <c r="K26" i="1" s="1"/>
  <c r="O26" i="1" s="1"/>
  <c r="M28" i="1"/>
  <c r="Q28" i="1" s="1"/>
  <c r="O30" i="1"/>
  <c r="M41" i="1"/>
  <c r="Q41" i="1" s="1"/>
  <c r="M46" i="1"/>
  <c r="Q46" i="1" s="1"/>
  <c r="M49" i="1"/>
  <c r="Q49" i="1" s="1"/>
  <c r="M54" i="1"/>
  <c r="Q54" i="1" s="1"/>
  <c r="M57" i="1"/>
  <c r="Q57" i="1" s="1"/>
  <c r="M62" i="1"/>
  <c r="O62" i="1" s="1"/>
  <c r="K66" i="1"/>
  <c r="M66" i="1"/>
  <c r="K71" i="1"/>
  <c r="J80" i="1"/>
  <c r="J81" i="1"/>
  <c r="J92" i="1"/>
  <c r="I94" i="1"/>
  <c r="K94" i="1" s="1"/>
  <c r="I95" i="1"/>
  <c r="M96" i="1"/>
  <c r="Q96" i="1" s="1"/>
  <c r="I98" i="1"/>
  <c r="M100" i="1"/>
  <c r="Q100" i="1" s="1"/>
  <c r="K116" i="1"/>
  <c r="K17" i="1"/>
  <c r="B19" i="3" s="1"/>
  <c r="M12" i="1"/>
  <c r="Q12" i="1" s="1"/>
  <c r="M14" i="1"/>
  <c r="Q14" i="1" s="1"/>
  <c r="M16" i="1"/>
  <c r="Q16" i="1" s="1"/>
  <c r="K44" i="1"/>
  <c r="M48" i="1"/>
  <c r="Q48" i="1" s="1"/>
  <c r="M51" i="1"/>
  <c r="Q51" i="1" s="1"/>
  <c r="K52" i="1"/>
  <c r="M56" i="1"/>
  <c r="Q56" i="1" s="1"/>
  <c r="M59" i="1"/>
  <c r="Q59" i="1" s="1"/>
  <c r="K60" i="1"/>
  <c r="K69" i="1"/>
  <c r="M70" i="1"/>
  <c r="Q70" i="1" s="1"/>
  <c r="M88" i="1"/>
  <c r="Q88" i="1" s="1"/>
  <c r="K92" i="1"/>
  <c r="M93" i="1"/>
  <c r="Q93" i="1" s="1"/>
  <c r="I96" i="1"/>
  <c r="K96" i="1" s="1"/>
  <c r="O96" i="1" s="1"/>
  <c r="K119" i="1"/>
  <c r="K123" i="1"/>
  <c r="K46" i="1"/>
  <c r="K42" i="1"/>
  <c r="K50" i="1"/>
  <c r="K58" i="1"/>
  <c r="G12" i="1"/>
  <c r="G14" i="1"/>
  <c r="G16" i="1"/>
  <c r="G18" i="1"/>
  <c r="G20" i="1"/>
  <c r="G22" i="1"/>
  <c r="G26" i="1"/>
  <c r="J27" i="1"/>
  <c r="K27" i="1" s="1"/>
  <c r="J29" i="1"/>
  <c r="K29" i="1" s="1"/>
  <c r="G30" i="1"/>
  <c r="J31" i="1"/>
  <c r="K31" i="1" s="1"/>
  <c r="G32" i="1"/>
  <c r="R32" i="1" s="1"/>
  <c r="G42" i="1"/>
  <c r="I43" i="1"/>
  <c r="K43" i="1" s="1"/>
  <c r="G44" i="1"/>
  <c r="I45" i="1"/>
  <c r="K45" i="1" s="1"/>
  <c r="G48" i="1"/>
  <c r="G50" i="1"/>
  <c r="I51" i="1"/>
  <c r="K51" i="1" s="1"/>
  <c r="G54" i="1"/>
  <c r="I55" i="1"/>
  <c r="K55" i="1" s="1"/>
  <c r="G56" i="1"/>
  <c r="I57" i="1"/>
  <c r="K57" i="1" s="1"/>
  <c r="I59" i="1"/>
  <c r="K59" i="1" s="1"/>
  <c r="I12" i="1"/>
  <c r="K12" i="1" s="1"/>
  <c r="M13" i="1"/>
  <c r="O13" i="1" s="1"/>
  <c r="R13" i="1" s="1"/>
  <c r="M15" i="1"/>
  <c r="Q15" i="1" s="1"/>
  <c r="M17" i="1"/>
  <c r="Q17" i="1" s="1"/>
  <c r="M19" i="1"/>
  <c r="Q19" i="1" s="1"/>
  <c r="M21" i="1"/>
  <c r="O21" i="1" s="1"/>
  <c r="R21" i="1" s="1"/>
  <c r="M23" i="1"/>
  <c r="O23" i="1" s="1"/>
  <c r="R23" i="1" s="1"/>
  <c r="I24" i="1"/>
  <c r="M25" i="1"/>
  <c r="Q25" i="1" s="1"/>
  <c r="M27" i="1"/>
  <c r="Q27" i="1" s="1"/>
  <c r="I28" i="1"/>
  <c r="K28" i="1" s="1"/>
  <c r="M29" i="1"/>
  <c r="Q29" i="1" s="1"/>
  <c r="M31" i="1"/>
  <c r="Q31" i="1" s="1"/>
  <c r="I33" i="1"/>
  <c r="K33" i="1" s="1"/>
  <c r="J40" i="1"/>
  <c r="Q62" i="1"/>
  <c r="G70" i="1"/>
  <c r="G71" i="1"/>
  <c r="G72" i="1"/>
  <c r="J73" i="1"/>
  <c r="K73" i="1" s="1"/>
  <c r="G73" i="1"/>
  <c r="J74" i="1"/>
  <c r="K74" i="1" s="1"/>
  <c r="K77" i="1"/>
  <c r="K98" i="1"/>
  <c r="I110" i="1"/>
  <c r="K110" i="1" s="1"/>
  <c r="G110" i="1"/>
  <c r="E103" i="1"/>
  <c r="I40" i="1"/>
  <c r="J75" i="1"/>
  <c r="K75" i="1" s="1"/>
  <c r="G75" i="1"/>
  <c r="J79" i="1"/>
  <c r="K79" i="1" s="1"/>
  <c r="J86" i="1"/>
  <c r="G86" i="1"/>
  <c r="I109" i="1"/>
  <c r="K109" i="1" s="1"/>
  <c r="G109" i="1"/>
  <c r="F144" i="1"/>
  <c r="G64" i="1"/>
  <c r="G66" i="1"/>
  <c r="G68" i="1"/>
  <c r="G76" i="1"/>
  <c r="C85" i="1"/>
  <c r="I85" i="1" s="1"/>
  <c r="M85" i="1"/>
  <c r="Q85" i="1" s="1"/>
  <c r="G40" i="1"/>
  <c r="I41" i="1"/>
  <c r="K41" i="1" s="1"/>
  <c r="G46" i="1"/>
  <c r="I47" i="1"/>
  <c r="K47" i="1" s="1"/>
  <c r="I49" i="1"/>
  <c r="K49" i="1" s="1"/>
  <c r="G52" i="1"/>
  <c r="I53" i="1"/>
  <c r="K53" i="1" s="1"/>
  <c r="G58" i="1"/>
  <c r="G60" i="1"/>
  <c r="I61" i="1"/>
  <c r="K61" i="1" s="1"/>
  <c r="G62" i="1"/>
  <c r="R62" i="1" s="1"/>
  <c r="J63" i="1"/>
  <c r="K63" i="1" s="1"/>
  <c r="M63" i="1"/>
  <c r="Q63" i="1" s="1"/>
  <c r="Q64" i="1"/>
  <c r="J65" i="1"/>
  <c r="K65" i="1" s="1"/>
  <c r="M65" i="1"/>
  <c r="Q65" i="1" s="1"/>
  <c r="Q66" i="1"/>
  <c r="J67" i="1"/>
  <c r="K67" i="1" s="1"/>
  <c r="M67" i="1"/>
  <c r="Q67" i="1" s="1"/>
  <c r="G69" i="1"/>
  <c r="M73" i="1"/>
  <c r="Q73" i="1" s="1"/>
  <c r="M74" i="1"/>
  <c r="Q74" i="1" s="1"/>
  <c r="Q75" i="1"/>
  <c r="Q76" i="1"/>
  <c r="G78" i="1"/>
  <c r="I78" i="1"/>
  <c r="K78" i="1" s="1"/>
  <c r="K80" i="1"/>
  <c r="G81" i="1"/>
  <c r="I81" i="1"/>
  <c r="C82" i="1"/>
  <c r="I82" i="1" s="1"/>
  <c r="J90" i="1"/>
  <c r="K90" i="1" s="1"/>
  <c r="G90" i="1"/>
  <c r="J99" i="1"/>
  <c r="E130" i="1"/>
  <c r="I108" i="1"/>
  <c r="G108" i="1"/>
  <c r="J82" i="1"/>
  <c r="K100" i="1"/>
  <c r="O100" i="1" s="1"/>
  <c r="M128" i="1"/>
  <c r="Q128" i="1" s="1"/>
  <c r="M92" i="1"/>
  <c r="Q92" i="1" s="1"/>
  <c r="M91" i="1"/>
  <c r="Q91" i="1" s="1"/>
  <c r="M89" i="1"/>
  <c r="Q89" i="1" s="1"/>
  <c r="M87" i="1"/>
  <c r="Q87" i="1" s="1"/>
  <c r="M126" i="1"/>
  <c r="M124" i="1"/>
  <c r="Q124" i="1" s="1"/>
  <c r="M113" i="1"/>
  <c r="Q113" i="1" s="1"/>
  <c r="M111" i="1"/>
  <c r="Q111" i="1" s="1"/>
  <c r="M109" i="1"/>
  <c r="Q109" i="1" s="1"/>
  <c r="M101" i="1"/>
  <c r="Q101" i="1" s="1"/>
  <c r="M125" i="1"/>
  <c r="Q125" i="1" s="1"/>
  <c r="M112" i="1"/>
  <c r="Q112" i="1" s="1"/>
  <c r="M110" i="1"/>
  <c r="Q110" i="1" s="1"/>
  <c r="M108" i="1"/>
  <c r="Q108" i="1" s="1"/>
  <c r="M84" i="1"/>
  <c r="M83" i="1"/>
  <c r="Q83" i="1" s="1"/>
  <c r="M82" i="1"/>
  <c r="Q82" i="1" s="1"/>
  <c r="M81" i="1"/>
  <c r="Q81" i="1" s="1"/>
  <c r="M80" i="1"/>
  <c r="Q80" i="1" s="1"/>
  <c r="M79" i="1"/>
  <c r="Q79" i="1" s="1"/>
  <c r="M78" i="1"/>
  <c r="Q78" i="1" s="1"/>
  <c r="M33" i="1"/>
  <c r="Q33" i="1" s="1"/>
  <c r="M69" i="1"/>
  <c r="Q69" i="1" s="1"/>
  <c r="M71" i="1"/>
  <c r="Q71" i="1" s="1"/>
  <c r="Q72" i="1"/>
  <c r="G80" i="1"/>
  <c r="C83" i="1"/>
  <c r="I83" i="1" s="1"/>
  <c r="K83" i="1" s="1"/>
  <c r="G84" i="1"/>
  <c r="J85" i="1"/>
  <c r="G85" i="1"/>
  <c r="C86" i="1"/>
  <c r="I86" i="1" s="1"/>
  <c r="K86" i="1" s="1"/>
  <c r="M86" i="1"/>
  <c r="Q86" i="1" s="1"/>
  <c r="J88" i="1"/>
  <c r="K88" i="1" s="1"/>
  <c r="O88" i="1" s="1"/>
  <c r="G88" i="1"/>
  <c r="M90" i="1"/>
  <c r="Q90" i="1" s="1"/>
  <c r="J93" i="1"/>
  <c r="K93" i="1" s="1"/>
  <c r="O93" i="1" s="1"/>
  <c r="R93" i="1" s="1"/>
  <c r="M94" i="1"/>
  <c r="Q94" i="1" s="1"/>
  <c r="K95" i="1"/>
  <c r="O95" i="1" s="1"/>
  <c r="J97" i="1"/>
  <c r="M98" i="1"/>
  <c r="Q98" i="1" s="1"/>
  <c r="I111" i="1"/>
  <c r="K111" i="1" s="1"/>
  <c r="I112" i="1"/>
  <c r="K112" i="1" s="1"/>
  <c r="G115" i="1"/>
  <c r="I117" i="1"/>
  <c r="K117" i="1" s="1"/>
  <c r="M117" i="1"/>
  <c r="Q117" i="1" s="1"/>
  <c r="G119" i="1"/>
  <c r="I121" i="1"/>
  <c r="K121" i="1" s="1"/>
  <c r="M121" i="1"/>
  <c r="Q121" i="1" s="1"/>
  <c r="M116" i="1"/>
  <c r="Q116" i="1" s="1"/>
  <c r="M120" i="1"/>
  <c r="Q120" i="1" s="1"/>
  <c r="M115" i="1"/>
  <c r="Q115" i="1" s="1"/>
  <c r="M119" i="1"/>
  <c r="Q119" i="1" s="1"/>
  <c r="G121" i="1"/>
  <c r="M123" i="1"/>
  <c r="Q123" i="1" s="1"/>
  <c r="Q84" i="1"/>
  <c r="C84" i="1"/>
  <c r="I84" i="1" s="1"/>
  <c r="K84" i="1" s="1"/>
  <c r="I113" i="1"/>
  <c r="K113" i="1" s="1"/>
  <c r="I114" i="1"/>
  <c r="K114" i="1" s="1"/>
  <c r="M114" i="1"/>
  <c r="Q114" i="1" s="1"/>
  <c r="G116" i="1"/>
  <c r="I118" i="1"/>
  <c r="K118" i="1" s="1"/>
  <c r="M118" i="1"/>
  <c r="Q118" i="1" s="1"/>
  <c r="G120" i="1"/>
  <c r="I122" i="1"/>
  <c r="K122" i="1" s="1"/>
  <c r="M122" i="1"/>
  <c r="Q122" i="1" s="1"/>
  <c r="G87" i="1"/>
  <c r="G89" i="1"/>
  <c r="G91" i="1"/>
  <c r="G95" i="1"/>
  <c r="J126" i="1"/>
  <c r="I125" i="1"/>
  <c r="K125" i="1" s="1"/>
  <c r="O125" i="1" s="1"/>
  <c r="R125" i="1" s="1"/>
  <c r="I87" i="1"/>
  <c r="K87" i="1" s="1"/>
  <c r="I89" i="1"/>
  <c r="K89" i="1" s="1"/>
  <c r="I91" i="1"/>
  <c r="K91" i="1" s="1"/>
  <c r="O91" i="1" s="1"/>
  <c r="G94" i="1"/>
  <c r="G96" i="1"/>
  <c r="I97" i="1"/>
  <c r="G98" i="1"/>
  <c r="I99" i="1"/>
  <c r="K99" i="1" s="1"/>
  <c r="O99" i="1" s="1"/>
  <c r="R99" i="1" s="1"/>
  <c r="G100" i="1"/>
  <c r="J108" i="1"/>
  <c r="I124" i="1"/>
  <c r="K124" i="1" s="1"/>
  <c r="Q126" i="1"/>
  <c r="I126" i="1"/>
  <c r="D127" i="1"/>
  <c r="M127" i="1" s="1"/>
  <c r="G128" i="1"/>
  <c r="E142" i="1"/>
  <c r="M23" i="3" l="1"/>
  <c r="D23" i="3"/>
  <c r="F23" i="3" s="1"/>
  <c r="E144" i="1"/>
  <c r="K40" i="1"/>
  <c r="V40" i="1" s="1"/>
  <c r="V49" i="1"/>
  <c r="U49" i="1"/>
  <c r="U40" i="1"/>
  <c r="V57" i="1"/>
  <c r="U57" i="1"/>
  <c r="V51" i="1"/>
  <c r="U51" i="1"/>
  <c r="O50" i="1"/>
  <c r="V50" i="1"/>
  <c r="U50" i="1"/>
  <c r="D12" i="3"/>
  <c r="F12" i="3" s="1"/>
  <c r="M12" i="3"/>
  <c r="U48" i="1"/>
  <c r="V48" i="1"/>
  <c r="M15" i="3"/>
  <c r="D15" i="3"/>
  <c r="F15" i="3" s="1"/>
  <c r="M16" i="3"/>
  <c r="D16" i="3"/>
  <c r="F16" i="3" s="1"/>
  <c r="V63" i="1"/>
  <c r="U63" i="1"/>
  <c r="D60" i="3" s="1"/>
  <c r="O47" i="1"/>
  <c r="R47" i="1" s="1"/>
  <c r="V47" i="1"/>
  <c r="U47" i="1"/>
  <c r="V74" i="1"/>
  <c r="U74" i="1"/>
  <c r="D53" i="3" s="1"/>
  <c r="O43" i="1"/>
  <c r="R43" i="1" s="1"/>
  <c r="V43" i="1"/>
  <c r="U43" i="1"/>
  <c r="O42" i="1"/>
  <c r="V42" i="1"/>
  <c r="U42" i="1"/>
  <c r="V44" i="1"/>
  <c r="U44" i="1"/>
  <c r="D19" i="3"/>
  <c r="F19" i="3" s="1"/>
  <c r="M19" i="3"/>
  <c r="V66" i="1"/>
  <c r="U66" i="1"/>
  <c r="V54" i="1"/>
  <c r="U54" i="1"/>
  <c r="V64" i="1"/>
  <c r="U64" i="1"/>
  <c r="D59" i="3" s="1"/>
  <c r="V65" i="1"/>
  <c r="B68" i="3" s="1"/>
  <c r="U65" i="1"/>
  <c r="O53" i="1"/>
  <c r="R53" i="1" s="1"/>
  <c r="V53" i="1"/>
  <c r="U53" i="1"/>
  <c r="O75" i="1"/>
  <c r="V75" i="1"/>
  <c r="U75" i="1"/>
  <c r="D54" i="3" s="1"/>
  <c r="B11" i="3"/>
  <c r="O55" i="1"/>
  <c r="R55" i="1" s="1"/>
  <c r="V55" i="1"/>
  <c r="U55" i="1"/>
  <c r="O46" i="1"/>
  <c r="R46" i="1" s="1"/>
  <c r="V46" i="1"/>
  <c r="U46" i="1"/>
  <c r="V69" i="1"/>
  <c r="U69" i="1"/>
  <c r="V52" i="1"/>
  <c r="U52" i="1"/>
  <c r="M30" i="3"/>
  <c r="D30" i="3"/>
  <c r="F30" i="3" s="1"/>
  <c r="O72" i="1"/>
  <c r="R72" i="1" s="1"/>
  <c r="V72" i="1"/>
  <c r="U72" i="1"/>
  <c r="D69" i="3" s="1"/>
  <c r="M14" i="3"/>
  <c r="D14" i="3"/>
  <c r="F14" i="3" s="1"/>
  <c r="M21" i="3"/>
  <c r="D21" i="3"/>
  <c r="F21" i="3" s="1"/>
  <c r="O67" i="1"/>
  <c r="R67" i="1" s="1"/>
  <c r="V67" i="1"/>
  <c r="U67" i="1"/>
  <c r="O61" i="1"/>
  <c r="R61" i="1" s="1"/>
  <c r="V61" i="1"/>
  <c r="U61" i="1"/>
  <c r="D49" i="3" s="1"/>
  <c r="O41" i="1"/>
  <c r="R41" i="1" s="1"/>
  <c r="V41" i="1"/>
  <c r="U41" i="1"/>
  <c r="V73" i="1"/>
  <c r="U73" i="1"/>
  <c r="D52" i="3" s="1"/>
  <c r="O59" i="1"/>
  <c r="R59" i="1" s="1"/>
  <c r="V59" i="1"/>
  <c r="U59" i="1"/>
  <c r="O45" i="1"/>
  <c r="R45" i="1" s="1"/>
  <c r="V45" i="1"/>
  <c r="U45" i="1"/>
  <c r="O58" i="1"/>
  <c r="R58" i="1" s="1"/>
  <c r="V58" i="1"/>
  <c r="U58" i="1"/>
  <c r="O60" i="1"/>
  <c r="R60" i="1" s="1"/>
  <c r="V60" i="1"/>
  <c r="U60" i="1"/>
  <c r="V71" i="1"/>
  <c r="U71" i="1"/>
  <c r="D71" i="3" s="1"/>
  <c r="M24" i="3"/>
  <c r="D24" i="3"/>
  <c r="V70" i="1"/>
  <c r="B79" i="3" s="1"/>
  <c r="U70" i="1"/>
  <c r="V56" i="1"/>
  <c r="U56" i="1"/>
  <c r="O18" i="1"/>
  <c r="R18" i="1" s="1"/>
  <c r="B13" i="3"/>
  <c r="V76" i="1"/>
  <c r="B36" i="3" s="1"/>
  <c r="D36" i="3" s="1"/>
  <c r="U76" i="1"/>
  <c r="V68" i="1"/>
  <c r="U68" i="1"/>
  <c r="D17" i="3"/>
  <c r="F17" i="3" s="1"/>
  <c r="M17" i="3"/>
  <c r="O84" i="1"/>
  <c r="O22" i="1"/>
  <c r="R22" i="1" s="1"/>
  <c r="O57" i="1"/>
  <c r="R57" i="1" s="1"/>
  <c r="O113" i="1"/>
  <c r="R113" i="1" s="1"/>
  <c r="O63" i="1"/>
  <c r="R63" i="1" s="1"/>
  <c r="R50" i="1"/>
  <c r="R30" i="1"/>
  <c r="O44" i="1"/>
  <c r="R44" i="1" s="1"/>
  <c r="O54" i="1"/>
  <c r="R54" i="1" s="1"/>
  <c r="O74" i="1"/>
  <c r="R74" i="1" s="1"/>
  <c r="O19" i="1"/>
  <c r="R19" i="1" s="1"/>
  <c r="O48" i="1"/>
  <c r="R48" i="1" s="1"/>
  <c r="R42" i="1"/>
  <c r="O17" i="1"/>
  <c r="R17" i="1" s="1"/>
  <c r="O66" i="1"/>
  <c r="O27" i="1"/>
  <c r="R27" i="1" s="1"/>
  <c r="Q21" i="1"/>
  <c r="O56" i="1"/>
  <c r="R56" i="1" s="1"/>
  <c r="O121" i="1"/>
  <c r="R121" i="1" s="1"/>
  <c r="O83" i="1"/>
  <c r="R83" i="1" s="1"/>
  <c r="K108" i="1"/>
  <c r="O108" i="1" s="1"/>
  <c r="R108" i="1" s="1"/>
  <c r="O90" i="1"/>
  <c r="R90" i="1" s="1"/>
  <c r="O80" i="1"/>
  <c r="R80" i="1" s="1"/>
  <c r="O65" i="1"/>
  <c r="R65" i="1" s="1"/>
  <c r="O29" i="1"/>
  <c r="R29" i="1" s="1"/>
  <c r="O52" i="1"/>
  <c r="R52" i="1" s="1"/>
  <c r="O76" i="1"/>
  <c r="R76" i="1" s="1"/>
  <c r="O68" i="1"/>
  <c r="R68" i="1" s="1"/>
  <c r="O20" i="1"/>
  <c r="R20" i="1" s="1"/>
  <c r="O79" i="1"/>
  <c r="R79" i="1" s="1"/>
  <c r="K24" i="1"/>
  <c r="O25" i="1"/>
  <c r="R25" i="1" s="1"/>
  <c r="O14" i="1"/>
  <c r="R14" i="1" s="1"/>
  <c r="O16" i="1"/>
  <c r="R16" i="1" s="1"/>
  <c r="O87" i="1"/>
  <c r="R87" i="1" s="1"/>
  <c r="O112" i="1"/>
  <c r="R112" i="1" s="1"/>
  <c r="O128" i="1"/>
  <c r="R128" i="1" s="1"/>
  <c r="J127" i="1"/>
  <c r="K127" i="1" s="1"/>
  <c r="O116" i="1"/>
  <c r="O111" i="1"/>
  <c r="R111" i="1" s="1"/>
  <c r="K81" i="1"/>
  <c r="O81" i="1" s="1"/>
  <c r="R81" i="1" s="1"/>
  <c r="O49" i="1"/>
  <c r="R49" i="1" s="1"/>
  <c r="R66" i="1"/>
  <c r="O109" i="1"/>
  <c r="R109" i="1" s="1"/>
  <c r="O77" i="1"/>
  <c r="R77" i="1" s="1"/>
  <c r="O28" i="1"/>
  <c r="R28" i="1" s="1"/>
  <c r="O51" i="1"/>
  <c r="R51" i="1" s="1"/>
  <c r="O31" i="1"/>
  <c r="R31" i="1" s="1"/>
  <c r="R26" i="1"/>
  <c r="Q13" i="1"/>
  <c r="O70" i="1"/>
  <c r="R70" i="1" s="1"/>
  <c r="O64" i="1"/>
  <c r="R64" i="1" s="1"/>
  <c r="G103" i="1"/>
  <c r="O124" i="1"/>
  <c r="R124" i="1" s="1"/>
  <c r="R84" i="1"/>
  <c r="O94" i="1"/>
  <c r="R94" i="1" s="1"/>
  <c r="O110" i="1"/>
  <c r="R110" i="1" s="1"/>
  <c r="O33" i="1"/>
  <c r="R33" i="1" s="1"/>
  <c r="Q23" i="1"/>
  <c r="K103" i="1"/>
  <c r="O40" i="1"/>
  <c r="R40" i="1" s="1"/>
  <c r="O114" i="1"/>
  <c r="R114" i="1" s="1"/>
  <c r="O115" i="1"/>
  <c r="R115" i="1" s="1"/>
  <c r="O89" i="1"/>
  <c r="R89" i="1" s="1"/>
  <c r="K82" i="1"/>
  <c r="O82" i="1" s="1"/>
  <c r="R82" i="1" s="1"/>
  <c r="O92" i="1"/>
  <c r="R92" i="1" s="1"/>
  <c r="O98" i="1"/>
  <c r="R98" i="1" s="1"/>
  <c r="K35" i="1"/>
  <c r="O12" i="1"/>
  <c r="R12" i="1" s="1"/>
  <c r="G35" i="1"/>
  <c r="O15" i="1"/>
  <c r="R15" i="1" s="1"/>
  <c r="O127" i="1"/>
  <c r="R127" i="1" s="1"/>
  <c r="O101" i="1"/>
  <c r="O73" i="1"/>
  <c r="R73" i="1" s="1"/>
  <c r="K126" i="1"/>
  <c r="O120" i="1"/>
  <c r="R120" i="1" s="1"/>
  <c r="O86" i="1"/>
  <c r="R86" i="1" s="1"/>
  <c r="Q127" i="1"/>
  <c r="K97" i="1"/>
  <c r="O97" i="1" s="1"/>
  <c r="R97" i="1" s="1"/>
  <c r="R95" i="1"/>
  <c r="O118" i="1"/>
  <c r="R118" i="1" s="1"/>
  <c r="O119" i="1"/>
  <c r="R119" i="1" s="1"/>
  <c r="R88" i="1"/>
  <c r="R100" i="1"/>
  <c r="R96" i="1"/>
  <c r="R91" i="1"/>
  <c r="O122" i="1"/>
  <c r="R122" i="1" s="1"/>
  <c r="R116" i="1"/>
  <c r="O123" i="1"/>
  <c r="R123" i="1" s="1"/>
  <c r="O117" i="1"/>
  <c r="R117" i="1" s="1"/>
  <c r="G130" i="1"/>
  <c r="O78" i="1"/>
  <c r="R78" i="1" s="1"/>
  <c r="K85" i="1"/>
  <c r="O85" i="1" s="1"/>
  <c r="R85" i="1" s="1"/>
  <c r="R75" i="1"/>
  <c r="O69" i="1"/>
  <c r="R69" i="1" s="1"/>
  <c r="O71" i="1"/>
  <c r="R71" i="1" s="1"/>
  <c r="D68" i="3" l="1"/>
  <c r="F68" i="3" s="1"/>
  <c r="M68" i="3"/>
  <c r="D79" i="3"/>
  <c r="F79" i="3" s="1"/>
  <c r="M79" i="3"/>
  <c r="M69" i="3"/>
  <c r="F69" i="3"/>
  <c r="D66" i="3"/>
  <c r="F78" i="3"/>
  <c r="M78" i="3"/>
  <c r="F71" i="3"/>
  <c r="M71" i="3"/>
  <c r="F49" i="3"/>
  <c r="M49" i="3"/>
  <c r="F54" i="3"/>
  <c r="M54" i="3"/>
  <c r="F59" i="3"/>
  <c r="M59" i="3"/>
  <c r="F53" i="3"/>
  <c r="M53" i="3"/>
  <c r="F36" i="3"/>
  <c r="M36" i="3"/>
  <c r="F52" i="3"/>
  <c r="M52" i="3"/>
  <c r="F60" i="3"/>
  <c r="M60" i="3"/>
  <c r="D13" i="3"/>
  <c r="F13" i="3" s="1"/>
  <c r="M13" i="3"/>
  <c r="M27" i="3"/>
  <c r="D27" i="3"/>
  <c r="F27" i="3" s="1"/>
  <c r="O24" i="1"/>
  <c r="R24" i="1" s="1"/>
  <c r="R35" i="1" s="1"/>
  <c r="B8" i="3"/>
  <c r="B31" i="3" s="1"/>
  <c r="M11" i="3"/>
  <c r="D11" i="3"/>
  <c r="F11" i="3" s="1"/>
  <c r="D47" i="3"/>
  <c r="D46" i="3"/>
  <c r="D45" i="3"/>
  <c r="M45" i="3" s="1"/>
  <c r="R103" i="1"/>
  <c r="K130" i="1"/>
  <c r="O126" i="1"/>
  <c r="R126" i="1" s="1"/>
  <c r="R130" i="1" s="1"/>
  <c r="G144" i="1"/>
  <c r="O103" i="1"/>
  <c r="M66" i="3" l="1"/>
  <c r="F66" i="3"/>
  <c r="F47" i="3"/>
  <c r="M47" i="3"/>
  <c r="F46" i="3"/>
  <c r="M46" i="3"/>
  <c r="F73" i="3"/>
  <c r="M73" i="3"/>
  <c r="B88" i="3"/>
  <c r="F45" i="3"/>
  <c r="D88" i="3"/>
  <c r="O35" i="1"/>
  <c r="M8" i="3"/>
  <c r="M32" i="3" s="1"/>
  <c r="B32" i="3"/>
  <c r="D8" i="3"/>
  <c r="O130" i="1"/>
  <c r="O133" i="1" s="1"/>
  <c r="O134" i="1" s="1"/>
  <c r="O136" i="1" s="1"/>
  <c r="Q3" i="1" s="1"/>
  <c r="B89" i="3" l="1"/>
  <c r="F8" i="3"/>
  <c r="D32" i="3"/>
  <c r="D89" i="3" s="1"/>
  <c r="B98" i="3" s="1"/>
  <c r="F88" i="3"/>
  <c r="M88" i="3"/>
  <c r="M89" i="3" s="1"/>
  <c r="F32" i="3" l="1"/>
  <c r="F89" i="3" s="1"/>
  <c r="B99" i="3" s="1"/>
  <c r="J85" i="3" l="1"/>
  <c r="L85" i="3" s="1"/>
  <c r="J86" i="3"/>
  <c r="L86" i="3" s="1"/>
  <c r="S86" i="3"/>
  <c r="G86" i="3"/>
  <c r="H86" i="3" s="1"/>
  <c r="I86" i="3" s="1"/>
  <c r="G85" i="3"/>
  <c r="H85" i="3" s="1"/>
  <c r="I85" i="3" s="1"/>
  <c r="J81" i="3"/>
  <c r="L81" i="3" s="1"/>
  <c r="G81" i="3"/>
  <c r="H81" i="3" s="1"/>
  <c r="I81" i="3" s="1"/>
  <c r="J80" i="3"/>
  <c r="L80" i="3" s="1"/>
  <c r="G80" i="3"/>
  <c r="H80" i="3" s="1"/>
  <c r="I80" i="3" s="1"/>
  <c r="J83" i="3"/>
  <c r="G83" i="3"/>
  <c r="H83" i="3" s="1"/>
  <c r="I83" i="3" s="1"/>
  <c r="G84" i="3"/>
  <c r="H84" i="3" s="1"/>
  <c r="I84" i="3" s="1"/>
  <c r="J84" i="3"/>
  <c r="L84" i="3" s="1"/>
  <c r="J75" i="3"/>
  <c r="D74" i="6" s="1"/>
  <c r="E74" i="6" s="1"/>
  <c r="J76" i="3"/>
  <c r="L76" i="3" s="1"/>
  <c r="G76" i="3"/>
  <c r="H76" i="3" s="1"/>
  <c r="I76" i="3" s="1"/>
  <c r="G75" i="3"/>
  <c r="H75" i="3" s="1"/>
  <c r="I75" i="3" s="1"/>
  <c r="S50" i="3"/>
  <c r="S72" i="3"/>
  <c r="S58" i="3"/>
  <c r="S20" i="3"/>
  <c r="S57" i="3"/>
  <c r="S25" i="3"/>
  <c r="S51" i="3"/>
  <c r="S26" i="3"/>
  <c r="J70" i="3"/>
  <c r="S70" i="3" s="1"/>
  <c r="J67" i="3"/>
  <c r="S67" i="3" s="1"/>
  <c r="J73" i="3"/>
  <c r="J78" i="3"/>
  <c r="J74" i="3"/>
  <c r="S74" i="3" s="1"/>
  <c r="J63" i="3"/>
  <c r="S63" i="3" s="1"/>
  <c r="J55" i="3"/>
  <c r="S55" i="3" s="1"/>
  <c r="J62" i="3"/>
  <c r="S62" i="3" s="1"/>
  <c r="J61" i="3"/>
  <c r="S61" i="3" s="1"/>
  <c r="J56" i="3"/>
  <c r="S56" i="3" s="1"/>
  <c r="J48" i="3"/>
  <c r="J37" i="3"/>
  <c r="S37" i="3" s="1"/>
  <c r="J39" i="3"/>
  <c r="S39" i="3" s="1"/>
  <c r="J41" i="3"/>
  <c r="S41" i="3" s="1"/>
  <c r="J38" i="3"/>
  <c r="S38" i="3" s="1"/>
  <c r="J40" i="3"/>
  <c r="S40" i="3" s="1"/>
  <c r="J29" i="3"/>
  <c r="J28" i="3"/>
  <c r="J24" i="3"/>
  <c r="J22" i="3"/>
  <c r="J18" i="3"/>
  <c r="G8" i="3"/>
  <c r="G11" i="3"/>
  <c r="H11" i="3" s="1"/>
  <c r="I11" i="3" s="1"/>
  <c r="G69" i="3"/>
  <c r="H69" i="3" s="1"/>
  <c r="I69" i="3" s="1"/>
  <c r="G67" i="3"/>
  <c r="H67" i="3" s="1"/>
  <c r="I67" i="3" s="1"/>
  <c r="G23" i="3"/>
  <c r="H23" i="3" s="1"/>
  <c r="I23" i="3" s="1"/>
  <c r="G74" i="3"/>
  <c r="H74" i="3" s="1"/>
  <c r="I74" i="3" s="1"/>
  <c r="G79" i="3"/>
  <c r="H79" i="3" s="1"/>
  <c r="I79" i="3" s="1"/>
  <c r="J79" i="3" s="1"/>
  <c r="S79" i="3" s="1"/>
  <c r="G70" i="3"/>
  <c r="H70" i="3" s="1"/>
  <c r="I70" i="3" s="1"/>
  <c r="G66" i="3"/>
  <c r="H66" i="3" s="1"/>
  <c r="I66" i="3" s="1"/>
  <c r="G68" i="3"/>
  <c r="H68" i="3" s="1"/>
  <c r="I68" i="3" s="1"/>
  <c r="J68" i="3" s="1"/>
  <c r="G78" i="3"/>
  <c r="H78" i="3" s="1"/>
  <c r="I78" i="3" s="1"/>
  <c r="G16" i="3"/>
  <c r="H16" i="3" s="1"/>
  <c r="I16" i="3" s="1"/>
  <c r="G52" i="3"/>
  <c r="H52" i="3" s="1"/>
  <c r="I52" i="3" s="1"/>
  <c r="G21" i="3"/>
  <c r="H21" i="3" s="1"/>
  <c r="I21" i="3" s="1"/>
  <c r="G12" i="3"/>
  <c r="H12" i="3" s="1"/>
  <c r="I12" i="3" s="1"/>
  <c r="G17" i="3"/>
  <c r="H17" i="3" s="1"/>
  <c r="I17" i="3" s="1"/>
  <c r="G15" i="3"/>
  <c r="H15" i="3" s="1"/>
  <c r="I15" i="3" s="1"/>
  <c r="G14" i="3"/>
  <c r="H14" i="3" s="1"/>
  <c r="I14" i="3" s="1"/>
  <c r="G19" i="3"/>
  <c r="H19" i="3" s="1"/>
  <c r="I19" i="3" s="1"/>
  <c r="G54" i="3"/>
  <c r="H54" i="3" s="1"/>
  <c r="I54" i="3" s="1"/>
  <c r="G60" i="3"/>
  <c r="H60" i="3" s="1"/>
  <c r="I60" i="3" s="1"/>
  <c r="G59" i="3"/>
  <c r="H59" i="3" s="1"/>
  <c r="I59" i="3" s="1"/>
  <c r="G30" i="3"/>
  <c r="H30" i="3" s="1"/>
  <c r="I30" i="3" s="1"/>
  <c r="G36" i="3"/>
  <c r="H36" i="3" s="1"/>
  <c r="I36" i="3" s="1"/>
  <c r="G71" i="3"/>
  <c r="H71" i="3" s="1"/>
  <c r="I71" i="3" s="1"/>
  <c r="G49" i="3"/>
  <c r="H49" i="3" s="1"/>
  <c r="I49" i="3" s="1"/>
  <c r="G53" i="3"/>
  <c r="H53" i="3" s="1"/>
  <c r="I53" i="3" s="1"/>
  <c r="G73" i="3"/>
  <c r="H73" i="3" s="1"/>
  <c r="I73" i="3" s="1"/>
  <c r="G27" i="3"/>
  <c r="H27" i="3" s="1"/>
  <c r="I27" i="3" s="1"/>
  <c r="G13" i="3"/>
  <c r="H13" i="3" s="1"/>
  <c r="I13" i="3" s="1"/>
  <c r="G46" i="3"/>
  <c r="H46" i="3" s="1"/>
  <c r="I46" i="3" s="1"/>
  <c r="G47" i="3"/>
  <c r="H47" i="3" s="1"/>
  <c r="I47" i="3" s="1"/>
  <c r="G45" i="3"/>
  <c r="S85" i="3" l="1"/>
  <c r="S18" i="3"/>
  <c r="D17" i="6"/>
  <c r="E17" i="6" s="1"/>
  <c r="L83" i="3"/>
  <c r="P83" i="3" s="1"/>
  <c r="D80" i="6"/>
  <c r="L28" i="3"/>
  <c r="D27" i="6"/>
  <c r="E27" i="6" s="1"/>
  <c r="S22" i="3"/>
  <c r="D21" i="6"/>
  <c r="E21" i="6" s="1"/>
  <c r="S78" i="3"/>
  <c r="D76" i="6"/>
  <c r="S29" i="3"/>
  <c r="D28" i="6"/>
  <c r="E28" i="6" s="1"/>
  <c r="S68" i="3"/>
  <c r="D67" i="6"/>
  <c r="E67" i="6" s="1"/>
  <c r="S24" i="3"/>
  <c r="D23" i="6"/>
  <c r="E23" i="6" s="1"/>
  <c r="S48" i="3"/>
  <c r="D47" i="6"/>
  <c r="S73" i="3"/>
  <c r="D72" i="6"/>
  <c r="S81" i="3"/>
  <c r="S80" i="3"/>
  <c r="N86" i="3"/>
  <c r="P86" i="3"/>
  <c r="P85" i="3"/>
  <c r="N85" i="3"/>
  <c r="N80" i="3"/>
  <c r="P80" i="3"/>
  <c r="N81" i="3"/>
  <c r="P81" i="3"/>
  <c r="S84" i="3"/>
  <c r="L75" i="3"/>
  <c r="P75" i="3" s="1"/>
  <c r="P84" i="3"/>
  <c r="N84" i="3"/>
  <c r="S83" i="3"/>
  <c r="S75" i="3"/>
  <c r="S76" i="3"/>
  <c r="N76" i="3"/>
  <c r="P76" i="3"/>
  <c r="H8" i="3"/>
  <c r="I8" i="3" s="1"/>
  <c r="J8" i="3" s="1"/>
  <c r="D7" i="6" s="1"/>
  <c r="E7" i="6" s="1"/>
  <c r="S28" i="3"/>
  <c r="J27" i="3"/>
  <c r="D26" i="6" s="1"/>
  <c r="E26" i="6" s="1"/>
  <c r="J60" i="3"/>
  <c r="J13" i="3"/>
  <c r="D12" i="6" s="1"/>
  <c r="E12" i="6" s="1"/>
  <c r="J49" i="3"/>
  <c r="D48" i="6" s="1"/>
  <c r="J59" i="3"/>
  <c r="J14" i="3"/>
  <c r="D13" i="6" s="1"/>
  <c r="E13" i="6" s="1"/>
  <c r="J12" i="3"/>
  <c r="D11" i="6" s="1"/>
  <c r="E11" i="6" s="1"/>
  <c r="J23" i="3"/>
  <c r="D22" i="6" s="1"/>
  <c r="E22" i="6" s="1"/>
  <c r="J15" i="3"/>
  <c r="D14" i="6" s="1"/>
  <c r="E14" i="6" s="1"/>
  <c r="J69" i="3"/>
  <c r="J52" i="3"/>
  <c r="J66" i="3"/>
  <c r="D65" i="6" s="1"/>
  <c r="J11" i="3"/>
  <c r="D10" i="6" s="1"/>
  <c r="E10" i="6" s="1"/>
  <c r="J71" i="3"/>
  <c r="J21" i="3"/>
  <c r="D20" i="6" s="1"/>
  <c r="E20" i="6" s="1"/>
  <c r="J47" i="3"/>
  <c r="D46" i="6" s="1"/>
  <c r="J36" i="3"/>
  <c r="D32" i="6" s="1"/>
  <c r="J54" i="3"/>
  <c r="J46" i="3"/>
  <c r="D45" i="6" s="1"/>
  <c r="J53" i="3"/>
  <c r="J30" i="3"/>
  <c r="D29" i="6" s="1"/>
  <c r="E29" i="6" s="1"/>
  <c r="J19" i="3"/>
  <c r="D18" i="6" s="1"/>
  <c r="E18" i="6" s="1"/>
  <c r="J17" i="3"/>
  <c r="D16" i="6" s="1"/>
  <c r="E16" i="6" s="1"/>
  <c r="J16" i="3"/>
  <c r="D15" i="6" s="1"/>
  <c r="E15" i="6" s="1"/>
  <c r="H45" i="3"/>
  <c r="G88" i="3"/>
  <c r="G32" i="3"/>
  <c r="N83" i="3" l="1"/>
  <c r="D73" i="6"/>
  <c r="E72" i="6"/>
  <c r="D81" i="6"/>
  <c r="E81" i="6" s="1"/>
  <c r="D83" i="6"/>
  <c r="E83" i="6" s="1"/>
  <c r="D82" i="6"/>
  <c r="E82" i="6" s="1"/>
  <c r="E80" i="6"/>
  <c r="E46" i="6"/>
  <c r="D53" i="6"/>
  <c r="E48" i="6"/>
  <c r="D55" i="6"/>
  <c r="D70" i="6"/>
  <c r="E70" i="6" s="1"/>
  <c r="D68" i="6"/>
  <c r="E68" i="6" s="1"/>
  <c r="D66" i="6"/>
  <c r="E66" i="6" s="1"/>
  <c r="D69" i="6"/>
  <c r="E69" i="6" s="1"/>
  <c r="E65" i="6"/>
  <c r="D52" i="6"/>
  <c r="E45" i="6"/>
  <c r="D54" i="6"/>
  <c r="E47" i="6"/>
  <c r="E76" i="6"/>
  <c r="D79" i="6"/>
  <c r="E79" i="6" s="1"/>
  <c r="D78" i="6"/>
  <c r="E78" i="6" s="1"/>
  <c r="D77" i="6"/>
  <c r="E77" i="6" s="1"/>
  <c r="D33" i="6"/>
  <c r="E32" i="6"/>
  <c r="N75" i="3"/>
  <c r="Q75" i="3" s="1"/>
  <c r="Q86" i="3"/>
  <c r="O86" i="3"/>
  <c r="O85" i="3"/>
  <c r="Q85" i="3"/>
  <c r="Q81" i="3"/>
  <c r="O81" i="3"/>
  <c r="O80" i="3"/>
  <c r="Q80" i="3"/>
  <c r="Q83" i="3"/>
  <c r="O83" i="3"/>
  <c r="O84" i="3"/>
  <c r="Q84" i="3"/>
  <c r="Q76" i="3"/>
  <c r="O76" i="3"/>
  <c r="L8" i="3"/>
  <c r="S8" i="3"/>
  <c r="H32" i="3"/>
  <c r="S52" i="3"/>
  <c r="S15" i="3"/>
  <c r="S23" i="3"/>
  <c r="S12" i="3"/>
  <c r="S13" i="3"/>
  <c r="S27" i="3"/>
  <c r="S36" i="3"/>
  <c r="S46" i="3"/>
  <c r="S21" i="3"/>
  <c r="S19" i="3"/>
  <c r="S69" i="3"/>
  <c r="S14" i="3"/>
  <c r="S47" i="3"/>
  <c r="S59" i="3"/>
  <c r="S17" i="3"/>
  <c r="S71" i="3"/>
  <c r="S30" i="3"/>
  <c r="S11" i="3"/>
  <c r="S16" i="3"/>
  <c r="S53" i="3"/>
  <c r="S54" i="3"/>
  <c r="S66" i="3"/>
  <c r="S49" i="3"/>
  <c r="S60" i="3"/>
  <c r="L22" i="3"/>
  <c r="L39" i="3"/>
  <c r="L17" i="3"/>
  <c r="L30" i="3"/>
  <c r="L46" i="3"/>
  <c r="L24" i="3"/>
  <c r="L36" i="3"/>
  <c r="L47" i="3"/>
  <c r="L21" i="3"/>
  <c r="L11" i="3"/>
  <c r="L74" i="3"/>
  <c r="L52" i="3"/>
  <c r="L69" i="3"/>
  <c r="L38" i="3"/>
  <c r="L63" i="3"/>
  <c r="L62" i="3"/>
  <c r="L79" i="3"/>
  <c r="L78" i="3"/>
  <c r="L14" i="3"/>
  <c r="L49" i="3"/>
  <c r="L18" i="3"/>
  <c r="L60" i="3"/>
  <c r="L41" i="3"/>
  <c r="L67" i="3"/>
  <c r="L70" i="3"/>
  <c r="L16" i="3"/>
  <c r="L19" i="3"/>
  <c r="L53" i="3"/>
  <c r="L68" i="3"/>
  <c r="L54" i="3"/>
  <c r="L73" i="3"/>
  <c r="L29" i="3"/>
  <c r="L71" i="3"/>
  <c r="L48" i="3"/>
  <c r="L55" i="3"/>
  <c r="L66" i="3"/>
  <c r="L37" i="3"/>
  <c r="L15" i="3"/>
  <c r="L61" i="3"/>
  <c r="L23" i="3"/>
  <c r="L40" i="3"/>
  <c r="L12" i="3"/>
  <c r="L59" i="3"/>
  <c r="L13" i="3"/>
  <c r="L56" i="3"/>
  <c r="L27" i="3"/>
  <c r="I32" i="3"/>
  <c r="G89" i="3"/>
  <c r="I45" i="3"/>
  <c r="J45" i="3" s="1"/>
  <c r="D44" i="6" s="1"/>
  <c r="H88" i="3"/>
  <c r="O75" i="3" l="1"/>
  <c r="E33" i="6"/>
  <c r="D34" i="6"/>
  <c r="D59" i="6"/>
  <c r="E59" i="6" s="1"/>
  <c r="E52" i="6"/>
  <c r="D60" i="6"/>
  <c r="E60" i="6" s="1"/>
  <c r="E53" i="6"/>
  <c r="E44" i="6"/>
  <c r="D51" i="6"/>
  <c r="D61" i="6"/>
  <c r="E61" i="6" s="1"/>
  <c r="E54" i="6"/>
  <c r="D62" i="6"/>
  <c r="E62" i="6" s="1"/>
  <c r="E55" i="6"/>
  <c r="D75" i="6"/>
  <c r="E75" i="6" s="1"/>
  <c r="E73" i="6"/>
  <c r="H89" i="3"/>
  <c r="P68" i="3"/>
  <c r="N68" i="3"/>
  <c r="P79" i="3"/>
  <c r="N79" i="3"/>
  <c r="O79" i="3" s="1"/>
  <c r="S45" i="3"/>
  <c r="P40" i="3"/>
  <c r="N40" i="3"/>
  <c r="N54" i="3"/>
  <c r="P54" i="3"/>
  <c r="N38" i="3"/>
  <c r="P38" i="3"/>
  <c r="N13" i="3"/>
  <c r="P13" i="3"/>
  <c r="P23" i="3"/>
  <c r="N23" i="3"/>
  <c r="N37" i="3"/>
  <c r="P37" i="3"/>
  <c r="N71" i="3"/>
  <c r="P71" i="3"/>
  <c r="P70" i="3"/>
  <c r="N70" i="3"/>
  <c r="P18" i="3"/>
  <c r="N18" i="3"/>
  <c r="P69" i="3"/>
  <c r="N69" i="3"/>
  <c r="P11" i="3"/>
  <c r="N11" i="3"/>
  <c r="P24" i="3"/>
  <c r="N24" i="3"/>
  <c r="P56" i="3"/>
  <c r="N56" i="3"/>
  <c r="N48" i="3"/>
  <c r="P48" i="3"/>
  <c r="P16" i="3"/>
  <c r="N16" i="3"/>
  <c r="N60" i="3"/>
  <c r="P60" i="3"/>
  <c r="P78" i="3"/>
  <c r="N78" i="3"/>
  <c r="P28" i="3"/>
  <c r="N28" i="3"/>
  <c r="P36" i="3"/>
  <c r="N36" i="3"/>
  <c r="N17" i="3"/>
  <c r="P17" i="3"/>
  <c r="P59" i="3"/>
  <c r="N59" i="3"/>
  <c r="N61" i="3"/>
  <c r="P61" i="3"/>
  <c r="N66" i="3"/>
  <c r="P66" i="3"/>
  <c r="N29" i="3"/>
  <c r="P29" i="3"/>
  <c r="P53" i="3"/>
  <c r="N53" i="3"/>
  <c r="N67" i="3"/>
  <c r="P67" i="3"/>
  <c r="N49" i="3"/>
  <c r="P49" i="3"/>
  <c r="P62" i="3"/>
  <c r="N62" i="3"/>
  <c r="P52" i="3"/>
  <c r="N52" i="3"/>
  <c r="N21" i="3"/>
  <c r="P21" i="3"/>
  <c r="P46" i="3"/>
  <c r="N46" i="3"/>
  <c r="N39" i="3"/>
  <c r="P39" i="3"/>
  <c r="P27" i="3"/>
  <c r="N27" i="3"/>
  <c r="N12" i="3"/>
  <c r="P12" i="3"/>
  <c r="N15" i="3"/>
  <c r="P15" i="3"/>
  <c r="N55" i="3"/>
  <c r="P55" i="3"/>
  <c r="P73" i="3"/>
  <c r="N73" i="3"/>
  <c r="N19" i="3"/>
  <c r="P19" i="3"/>
  <c r="P41" i="3"/>
  <c r="N41" i="3"/>
  <c r="P14" i="3"/>
  <c r="N14" i="3"/>
  <c r="P63" i="3"/>
  <c r="N63" i="3"/>
  <c r="P74" i="3"/>
  <c r="N74" i="3"/>
  <c r="P47" i="3"/>
  <c r="N47" i="3"/>
  <c r="N30" i="3"/>
  <c r="P30" i="3"/>
  <c r="N22" i="3"/>
  <c r="P22" i="3"/>
  <c r="L45" i="3"/>
  <c r="I88" i="3"/>
  <c r="I89" i="3" s="1"/>
  <c r="I90" i="3" s="1"/>
  <c r="P8" i="3"/>
  <c r="N8" i="3"/>
  <c r="O8" i="3" s="1"/>
  <c r="D58" i="6" l="1"/>
  <c r="E58" i="6" s="1"/>
  <c r="E51" i="6"/>
  <c r="D35" i="6"/>
  <c r="E34" i="6"/>
  <c r="O74" i="3"/>
  <c r="Q74" i="3"/>
  <c r="O62" i="3"/>
  <c r="Q62" i="3"/>
  <c r="Q28" i="3"/>
  <c r="O28" i="3"/>
  <c r="O56" i="3"/>
  <c r="Q56" i="3"/>
  <c r="O24" i="3"/>
  <c r="Q24" i="3"/>
  <c r="O69" i="3"/>
  <c r="Q69" i="3"/>
  <c r="Q18" i="3"/>
  <c r="O18" i="3"/>
  <c r="N45" i="3"/>
  <c r="P45" i="3"/>
  <c r="P88" i="3" s="1"/>
  <c r="Q55" i="3"/>
  <c r="O55" i="3"/>
  <c r="Q39" i="3"/>
  <c r="O39" i="3"/>
  <c r="O21" i="3"/>
  <c r="Q21" i="3"/>
  <c r="O67" i="3"/>
  <c r="Q67" i="3"/>
  <c r="Q29" i="3"/>
  <c r="O29" i="3"/>
  <c r="Q61" i="3"/>
  <c r="O61" i="3"/>
  <c r="O17" i="3"/>
  <c r="Q17" i="3"/>
  <c r="O60" i="3"/>
  <c r="Q60" i="3"/>
  <c r="Q48" i="3"/>
  <c r="O48" i="3"/>
  <c r="O68" i="3"/>
  <c r="Q68" i="3"/>
  <c r="O37" i="3"/>
  <c r="Q37" i="3"/>
  <c r="Q13" i="3"/>
  <c r="O13" i="3"/>
  <c r="O54" i="3"/>
  <c r="Q54" i="3"/>
  <c r="Q30" i="3"/>
  <c r="O30" i="3"/>
  <c r="O27" i="3"/>
  <c r="Q27" i="3"/>
  <c r="O59" i="3"/>
  <c r="Q59" i="3"/>
  <c r="O16" i="3"/>
  <c r="Q16" i="3"/>
  <c r="O11" i="3"/>
  <c r="Q11" i="3"/>
  <c r="O70" i="3"/>
  <c r="Q70" i="3"/>
  <c r="O23" i="3"/>
  <c r="Q23" i="3"/>
  <c r="Q40" i="3"/>
  <c r="O40" i="3"/>
  <c r="O14" i="3"/>
  <c r="Q14" i="3"/>
  <c r="O19" i="3"/>
  <c r="Q19" i="3"/>
  <c r="Q12" i="3"/>
  <c r="O12" i="3"/>
  <c r="Q47" i="3"/>
  <c r="O47" i="3"/>
  <c r="Q63" i="3"/>
  <c r="O63" i="3"/>
  <c r="Q41" i="3"/>
  <c r="O41" i="3"/>
  <c r="Q73" i="3"/>
  <c r="O73" i="3"/>
  <c r="O46" i="3"/>
  <c r="Q46" i="3"/>
  <c r="O52" i="3"/>
  <c r="Q52" i="3"/>
  <c r="O53" i="3"/>
  <c r="Q53" i="3"/>
  <c r="Q36" i="3"/>
  <c r="O36" i="3"/>
  <c r="O78" i="3"/>
  <c r="Q78" i="3"/>
  <c r="P32" i="3"/>
  <c r="O22" i="3"/>
  <c r="Q22" i="3"/>
  <c r="Q15" i="3"/>
  <c r="O15" i="3"/>
  <c r="O49" i="3"/>
  <c r="Q49" i="3"/>
  <c r="O66" i="3"/>
  <c r="Q66" i="3"/>
  <c r="Q79" i="3"/>
  <c r="O71" i="3"/>
  <c r="Q71" i="3"/>
  <c r="O38" i="3"/>
  <c r="Q38" i="3"/>
  <c r="Q8" i="3"/>
  <c r="N32" i="3"/>
  <c r="E35" i="6" l="1"/>
  <c r="D36" i="6"/>
  <c r="O32" i="3"/>
  <c r="E95" i="3" s="1"/>
  <c r="F95" i="3" s="1"/>
  <c r="Q32" i="3"/>
  <c r="P89" i="3"/>
  <c r="O45" i="3"/>
  <c r="O88" i="3" s="1"/>
  <c r="Q45" i="3"/>
  <c r="Q88" i="3" s="1"/>
  <c r="N88" i="3"/>
  <c r="N89" i="3" s="1"/>
  <c r="O89" i="3" l="1"/>
  <c r="O90" i="3" s="1"/>
  <c r="D37" i="6"/>
  <c r="E37" i="6" s="1"/>
  <c r="E36" i="6"/>
  <c r="Q89" i="3"/>
  <c r="E96" i="3"/>
  <c r="C71" i="5"/>
  <c r="C72" i="5" s="1"/>
  <c r="E97" i="3" l="1"/>
  <c r="F96" i="3"/>
</calcChain>
</file>

<file path=xl/comments1.xml><?xml version="1.0" encoding="utf-8"?>
<comments xmlns="http://schemas.openxmlformats.org/spreadsheetml/2006/main">
  <authors>
    <author>Heather Garland</author>
  </authors>
  <commentList>
    <comment ref="B93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Carson fish hatchery and Wind River Forest Service.</t>
        </r>
      </text>
    </comment>
  </commentList>
</comments>
</file>

<file path=xl/comments2.xml><?xml version="1.0" encoding="utf-8"?>
<comments xmlns="http://schemas.openxmlformats.org/spreadsheetml/2006/main">
  <authors>
    <author>Ben Thompson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1/17/2018 5:09:06 PM
Price increased to $71.16.</t>
        </r>
      </text>
    </comment>
  </commentList>
</comments>
</file>

<file path=xl/sharedStrings.xml><?xml version="1.0" encoding="utf-8"?>
<sst xmlns="http://schemas.openxmlformats.org/spreadsheetml/2006/main" count="668" uniqueCount="457">
  <si>
    <t>Columbia River Disposal, Inc. G-48</t>
  </si>
  <si>
    <t>Regulated Price Out</t>
  </si>
  <si>
    <t>January 1, 2017 - December 31, 2017</t>
  </si>
  <si>
    <t>LG Check</t>
  </si>
  <si>
    <t>Jan 17 - April 17</t>
  </si>
  <si>
    <t>May 17 - Dec 17</t>
  </si>
  <si>
    <t>Total</t>
  </si>
  <si>
    <t>Avg Cust</t>
  </si>
  <si>
    <t>Packer &amp; Roll-off</t>
  </si>
  <si>
    <t>Annual Rev Increase</t>
  </si>
  <si>
    <t>Proposed</t>
  </si>
  <si>
    <t>Service Code</t>
  </si>
  <si>
    <t>Service Code Description</t>
  </si>
  <si>
    <t>Tariff Rate</t>
  </si>
  <si>
    <t>Revenue</t>
  </si>
  <si>
    <t>Customers</t>
  </si>
  <si>
    <t>Per Month</t>
  </si>
  <si>
    <t>Annual Revenue</t>
  </si>
  <si>
    <t>Plug to Match LG</t>
  </si>
  <si>
    <t>RESIDENTIAL SERVICES</t>
  </si>
  <si>
    <t>RESIDENTIAL GARBAGE</t>
  </si>
  <si>
    <t>20R1W1</t>
  </si>
  <si>
    <t>1-20GAL CAN WEEKLY</t>
  </si>
  <si>
    <t>32R1W1</t>
  </si>
  <si>
    <t>1-32GAL CAN WEEKLY</t>
  </si>
  <si>
    <t>32R1W2</t>
  </si>
  <si>
    <t>2-32GAL CANS WEEKLY</t>
  </si>
  <si>
    <t>32R1W3</t>
  </si>
  <si>
    <t>3-32GAL CANS WEEKLY</t>
  </si>
  <si>
    <t>32R1W4</t>
  </si>
  <si>
    <t>4-32GAL CANS WEEKLY</t>
  </si>
  <si>
    <t>32R1W6</t>
  </si>
  <si>
    <t>6-32 GAL CANS WKLY</t>
  </si>
  <si>
    <t>32R1E1</t>
  </si>
  <si>
    <t>1-32GAL CAN EOW</t>
  </si>
  <si>
    <t>32R1M1</t>
  </si>
  <si>
    <t>1-32GAL CAN MONTHLY</t>
  </si>
  <si>
    <t>45R1W1</t>
  </si>
  <si>
    <t>1-45 GAL CAN WKLY</t>
  </si>
  <si>
    <t>60R1W1</t>
  </si>
  <si>
    <t>1-60GAL CART WEEKLY</t>
  </si>
  <si>
    <t>32R1OC</t>
  </si>
  <si>
    <t>1-32GAL CAN ON CALL</t>
  </si>
  <si>
    <t>EXTRA-RES</t>
  </si>
  <si>
    <t>EXTRA CAN, BAG, BOX - RES</t>
  </si>
  <si>
    <t>OW-RES</t>
  </si>
  <si>
    <t>OVERFILL / OVERWEIGHT CAN</t>
  </si>
  <si>
    <t>OS - RES</t>
  </si>
  <si>
    <t>OVERSIZE CAN - RES</t>
  </si>
  <si>
    <t>RTRIP</t>
  </si>
  <si>
    <t>SPECIAL OFF RTE TRIP FEE</t>
  </si>
  <si>
    <t>BULKY - RES</t>
  </si>
  <si>
    <t>BULKY ITEM PICK UP - RES</t>
  </si>
  <si>
    <t>WI-RES</t>
  </si>
  <si>
    <t>WALK IN/CARRYOUT 5-25FT</t>
  </si>
  <si>
    <t>WI2-RES</t>
  </si>
  <si>
    <t>CARRYOUT OVER 25FT</t>
  </si>
  <si>
    <t>DRIVEIN2-RES</t>
  </si>
  <si>
    <t>DRIVE IN 125FT-150FT - RES</t>
  </si>
  <si>
    <t>DRIVEIN2WK-RES</t>
  </si>
  <si>
    <t>DRIVE IN 125FT-150FT</t>
  </si>
  <si>
    <t>DRIVEIN-RES</t>
  </si>
  <si>
    <t>DRIVE IN - RES</t>
  </si>
  <si>
    <t>ADJ - RES</t>
  </si>
  <si>
    <t>ADJUSTMENT SERVICE - RES</t>
  </si>
  <si>
    <t>TOTAL RESIDENTIAL GARBAGE</t>
  </si>
  <si>
    <t>COMMERCIAL SERVICES</t>
  </si>
  <si>
    <t>COMMERCIAL GARBAGE</t>
  </si>
  <si>
    <t>P1YC1W1</t>
  </si>
  <si>
    <t>1-1YD CONT 1 X WEEKLY</t>
  </si>
  <si>
    <t>P1YC2W1</t>
  </si>
  <si>
    <t>1-1YD CONT 2X WKLY</t>
  </si>
  <si>
    <t>P1YC1W2</t>
  </si>
  <si>
    <t>2-1YD CONT. 1 X WEEKLY</t>
  </si>
  <si>
    <t>P1YCE1</t>
  </si>
  <si>
    <t>1-1YD CONT EOW</t>
  </si>
  <si>
    <t>P1.5YC1W1</t>
  </si>
  <si>
    <t>1-1.5YD CONT 1 X WEEKLY</t>
  </si>
  <si>
    <t>P1.5YC1W2</t>
  </si>
  <si>
    <t>2-1.5YD CONT 1 X WEEKLY</t>
  </si>
  <si>
    <t>P1.5YC2W1</t>
  </si>
  <si>
    <t>1-1.5YD CONT 2 X WEEKLY</t>
  </si>
  <si>
    <t>P1.5YC3W1</t>
  </si>
  <si>
    <t>1-1.5YD CONT 3 X WEEKLY</t>
  </si>
  <si>
    <t>P1.5YCE1</t>
  </si>
  <si>
    <t>1-1.5YD CONT EOW</t>
  </si>
  <si>
    <t>P2YC1W1</t>
  </si>
  <si>
    <t>1-2YD CONT 1 X WEEKLY</t>
  </si>
  <si>
    <t>P2YC1W2</t>
  </si>
  <si>
    <t>2-2YD CONT. 1 X WEEKLY</t>
  </si>
  <si>
    <t>P2YC1W3</t>
  </si>
  <si>
    <t>3-2YD CONT. 1 X WEEKLY</t>
  </si>
  <si>
    <t>P2YC1W4</t>
  </si>
  <si>
    <t>4-2YD CONT 1X WKLY</t>
  </si>
  <si>
    <t>P2YC1W7</t>
  </si>
  <si>
    <t>7-2YD CONT 1X WKLY</t>
  </si>
  <si>
    <t>P2YC2W1</t>
  </si>
  <si>
    <t>1-2YD CONT 2  X WEEKLY</t>
  </si>
  <si>
    <t>P2YC2W2</t>
  </si>
  <si>
    <t>2-2YD CONT 2X WKLY</t>
  </si>
  <si>
    <t>P2YC2W7</t>
  </si>
  <si>
    <t>7-2YD CONT 2X WKLY</t>
  </si>
  <si>
    <t>P2YC3W1</t>
  </si>
  <si>
    <t>1-2YD CONT. 3 X WEEKLY</t>
  </si>
  <si>
    <t>P2YC3W2</t>
  </si>
  <si>
    <t>2-2YD CONT. 3 X WEEKLY</t>
  </si>
  <si>
    <t>P2YC4W1</t>
  </si>
  <si>
    <t>1-2YD CONT. 4 X WEEKLY</t>
  </si>
  <si>
    <t>P2YCE1</t>
  </si>
  <si>
    <t>1-2YD CONT EOW</t>
  </si>
  <si>
    <t>P4YC1W1</t>
  </si>
  <si>
    <t>1-4YD CONT. 1 X WEEKLY</t>
  </si>
  <si>
    <t>P4YCE1</t>
  </si>
  <si>
    <t>1-4YD CONT. EOW</t>
  </si>
  <si>
    <t>R1.5TC-COM</t>
  </si>
  <si>
    <t>1.5 YD TEMP CONT PICKUP</t>
  </si>
  <si>
    <t>R1TC-COM</t>
  </si>
  <si>
    <t>1 YD TEMP CONT PICKUP</t>
  </si>
  <si>
    <t>32C1W1</t>
  </si>
  <si>
    <t>1-32GAL COMM 1 X WEEKLY</t>
  </si>
  <si>
    <t>32C1W2</t>
  </si>
  <si>
    <t>32C1W3</t>
  </si>
  <si>
    <t>32C1W4</t>
  </si>
  <si>
    <t>4-32GAL CANS 1 X WEEKLY</t>
  </si>
  <si>
    <t>32C1E1</t>
  </si>
  <si>
    <t>45C1W1</t>
  </si>
  <si>
    <t>45 GL 1X WK 1 COM</t>
  </si>
  <si>
    <t>EXTRA-COMM</t>
  </si>
  <si>
    <t>EXTRA CAN, BAG, BOX - COM</t>
  </si>
  <si>
    <t>32C1OC</t>
  </si>
  <si>
    <t>1YCOC1</t>
  </si>
  <si>
    <t>1-1YD CONTAINER ON CALL</t>
  </si>
  <si>
    <t>1.5YCOC1</t>
  </si>
  <si>
    <t>1-1.5 CONTAINER ON CALL</t>
  </si>
  <si>
    <t>2YCOC1</t>
  </si>
  <si>
    <t>1-2YD CONTAINER ON CALL</t>
  </si>
  <si>
    <t>BULKY - COMM</t>
  </si>
  <si>
    <t>BULKY ITEM PICK UP - COMM</t>
  </si>
  <si>
    <t>RENT1-COM</t>
  </si>
  <si>
    <t>1 YD CONT RENTAL</t>
  </si>
  <si>
    <t>RENT1TEMP-COM</t>
  </si>
  <si>
    <t>1 YD TEMP CONT RENTAL</t>
  </si>
  <si>
    <t>RENT1.5-COM</t>
  </si>
  <si>
    <t>1.5 YD CONT RENTAL</t>
  </si>
  <si>
    <t>RENT1.5TEMP-COM</t>
  </si>
  <si>
    <t>1.5 YD TEMP CONT RENTAL</t>
  </si>
  <si>
    <t>RENT2-COM</t>
  </si>
  <si>
    <t>2 YD CONT RENTAL</t>
  </si>
  <si>
    <t>RENT2TEMP-COM</t>
  </si>
  <si>
    <t>2 YD TEMP CONT RENTAL</t>
  </si>
  <si>
    <t>RENT4-COM</t>
  </si>
  <si>
    <t>4 YD CONT RENTAL</t>
  </si>
  <si>
    <t>DEL1-COM</t>
  </si>
  <si>
    <t>DELIVER 1 YD</t>
  </si>
  <si>
    <t>DEL1.5-COM</t>
  </si>
  <si>
    <t>DELIVER 1.5 YD</t>
  </si>
  <si>
    <t>DEL2-COM</t>
  </si>
  <si>
    <t>DELIVER 2 YD</t>
  </si>
  <si>
    <t>ACCESS1W-COM</t>
  </si>
  <si>
    <t>ACCESS/GATE FEE 1X WK</t>
  </si>
  <si>
    <t>ACCESS2W-COM</t>
  </si>
  <si>
    <t>ACCESS/GATE FEE 2X WK</t>
  </si>
  <si>
    <t>ACCESSEOW-COM</t>
  </si>
  <si>
    <t>ACCESS/GATE FEE EOW</t>
  </si>
  <si>
    <t>CLOCK</t>
  </si>
  <si>
    <t>COMM LOCK CHARGE</t>
  </si>
  <si>
    <t>CLOCK2W</t>
  </si>
  <si>
    <t>LOCK CHARGE 2X WK</t>
  </si>
  <si>
    <t>CLOCKE</t>
  </si>
  <si>
    <t>LOCK CHARGE EOW</t>
  </si>
  <si>
    <t>CONTRACTEDC</t>
  </si>
  <si>
    <t>CONTRACTED SERVICE - COM</t>
  </si>
  <si>
    <t>WI-COMM</t>
  </si>
  <si>
    <t>WALK IN - COMM</t>
  </si>
  <si>
    <t>DRIVEIN1-COM</t>
  </si>
  <si>
    <t>DRIVE IN UP TO 125FT - COM</t>
  </si>
  <si>
    <t>DRIVEIN2WK-COM</t>
  </si>
  <si>
    <t>ROLL1W-COM</t>
  </si>
  <si>
    <t>ROLL OUT FEE 1X WK</t>
  </si>
  <si>
    <t>ROLL-COM</t>
  </si>
  <si>
    <t>ROLLOUT CONTAINER - COM</t>
  </si>
  <si>
    <t>ROLLEOW-COM</t>
  </si>
  <si>
    <t>ROLL OUT FEE EOW</t>
  </si>
  <si>
    <t>REINSTATE-COMM</t>
  </si>
  <si>
    <t>REINSTATE FEE-COMM</t>
  </si>
  <si>
    <t>ADJ - COMM</t>
  </si>
  <si>
    <t>ADJUSTMENT SERVICE - COMM</t>
  </si>
  <si>
    <t>TOTAL COMMERCIAL GARBAGE</t>
  </si>
  <si>
    <t>DROP BOX SERVICES</t>
  </si>
  <si>
    <t>DROP BOX HAULS/RENTAL</t>
  </si>
  <si>
    <t>HAUL20P-RO</t>
  </si>
  <si>
    <t>HAUL 20 YD</t>
  </si>
  <si>
    <t>HAUL20-RO</t>
  </si>
  <si>
    <t>HAUL30P-RO</t>
  </si>
  <si>
    <t>HAUL 30 YD</t>
  </si>
  <si>
    <t>HAUL30-RO</t>
  </si>
  <si>
    <t>HAUL20ADD-RO</t>
  </si>
  <si>
    <t>ADDITIONAL 20 YD HAUL</t>
  </si>
  <si>
    <t>HAUL30ADD-RO</t>
  </si>
  <si>
    <t>ADDITIONAL 30 YD HAUL</t>
  </si>
  <si>
    <t>HAUL10TEMP-RO</t>
  </si>
  <si>
    <t>HAUL 10 YD TEMPORARY</t>
  </si>
  <si>
    <t>HAUL20TEMP-RO</t>
  </si>
  <si>
    <t>HAUL 20 YD TEMPORARY</t>
  </si>
  <si>
    <t>HAUL30TEMP-RO</t>
  </si>
  <si>
    <t>HAUL 30 YD TEMPORARY</t>
  </si>
  <si>
    <t>20YQCOMPC</t>
  </si>
  <si>
    <t>20YD COMP/CORR HAUL FEE</t>
  </si>
  <si>
    <t>40YCOMPT</t>
  </si>
  <si>
    <t>40YD COMP/TRASH HAUL FEE</t>
  </si>
  <si>
    <t>QDEL</t>
  </si>
  <si>
    <t>DROP BOX DELIVERY</t>
  </si>
  <si>
    <t>DEL-RO</t>
  </si>
  <si>
    <t>DELIVERY FEE - RO</t>
  </si>
  <si>
    <t>QMILE</t>
  </si>
  <si>
    <t>MILEAGE CHARGE</t>
  </si>
  <si>
    <t>QRENT</t>
  </si>
  <si>
    <t>MONTHLY DROP BOX RENTAL</t>
  </si>
  <si>
    <t>RENT20DAY-RO</t>
  </si>
  <si>
    <t>RENTAL 20 YD TEMP</t>
  </si>
  <si>
    <t>RENT20TEMP-RO</t>
  </si>
  <si>
    <t>RENT30DAY-RO</t>
  </si>
  <si>
    <t>RENTAL 30 YD TEMP</t>
  </si>
  <si>
    <t>RENT20MO-RO</t>
  </si>
  <si>
    <t>RENTAL 20 YD</t>
  </si>
  <si>
    <t>RENT30MO-RO</t>
  </si>
  <si>
    <t>RENTAL 30 YD</t>
  </si>
  <si>
    <t>ADJ - RO</t>
  </si>
  <si>
    <t>ADJUSTMENT SERVICE - RO</t>
  </si>
  <si>
    <t>PASSTHROUGH DISPOSAL</t>
  </si>
  <si>
    <t>Garbage Check</t>
  </si>
  <si>
    <t>DISP-RO</t>
  </si>
  <si>
    <t>DISPOSAL CHARGE - RO</t>
  </si>
  <si>
    <t>G-48</t>
  </si>
  <si>
    <t>TOTAL PASSTHROUGH DISPOSAL</t>
  </si>
  <si>
    <t>Per LG</t>
  </si>
  <si>
    <t>Service Charges</t>
  </si>
  <si>
    <t>FINCHG</t>
  </si>
  <si>
    <t>FINANCE CHARGE</t>
  </si>
  <si>
    <t>NSF FEES</t>
  </si>
  <si>
    <t>RETURNED CHECK FEE</t>
  </si>
  <si>
    <t>RETCK</t>
  </si>
  <si>
    <t>RETURNED CHECK</t>
  </si>
  <si>
    <t>TOTAL SERVICE CHARGES</t>
  </si>
  <si>
    <t>TOTAL REVENUE</t>
  </si>
  <si>
    <t>Columbia River Disposal, Inc G-48</t>
  </si>
  <si>
    <t>Over size</t>
  </si>
  <si>
    <t>Extra Units (32 gal)</t>
  </si>
  <si>
    <t>45 Gal</t>
  </si>
  <si>
    <t>60 Gal</t>
  </si>
  <si>
    <t>On Call</t>
  </si>
  <si>
    <t>Bulky</t>
  </si>
  <si>
    <t>Loose material</t>
  </si>
  <si>
    <t>Additional-Bulky</t>
  </si>
  <si>
    <t>Additional</t>
  </si>
  <si>
    <t>Minimum</t>
  </si>
  <si>
    <t>Item 240, pg 32</t>
  </si>
  <si>
    <t>Hauls:</t>
  </si>
  <si>
    <t>1 yard</t>
  </si>
  <si>
    <t>1.5 yard</t>
  </si>
  <si>
    <t>2 yard</t>
  </si>
  <si>
    <t>3 yard</t>
  </si>
  <si>
    <t>4 yard</t>
  </si>
  <si>
    <t>Special Pickups</t>
  </si>
  <si>
    <t>Temporary:</t>
  </si>
  <si>
    <t>Item 245, pg 33</t>
  </si>
  <si>
    <t>Minimum Charge</t>
  </si>
  <si>
    <t>Special Pickup</t>
  </si>
  <si>
    <t>Additional Special Unit</t>
  </si>
  <si>
    <t>Extra Units</t>
  </si>
  <si>
    <t>1-30 gal toter</t>
  </si>
  <si>
    <t>1-45 gal toter</t>
  </si>
  <si>
    <t>1-60 gal toter</t>
  </si>
  <si>
    <t>Increase</t>
  </si>
  <si>
    <t xml:space="preserve">Service </t>
  </si>
  <si>
    <t>Annual Pick-Ups</t>
  </si>
  <si>
    <t>Frequency</t>
  </si>
  <si>
    <t>Meeks Weight</t>
  </si>
  <si>
    <t>Calculated Annual Pounds</t>
  </si>
  <si>
    <t>Adjusted Annual Pounds</t>
  </si>
  <si>
    <t>Gross Up</t>
  </si>
  <si>
    <t>Tariff Rate Increase</t>
  </si>
  <si>
    <t>Company Current Tariff</t>
  </si>
  <si>
    <t>Company Calculated Rate</t>
  </si>
  <si>
    <t>Company Current Revenue</t>
  </si>
  <si>
    <t>Company Proposed Revenue</t>
  </si>
  <si>
    <t>Company Increased Revenue</t>
  </si>
  <si>
    <t>Check</t>
  </si>
  <si>
    <t xml:space="preserve"> Company Over/ (Under)</t>
  </si>
  <si>
    <t>Mulitplier</t>
  </si>
  <si>
    <t>Columbia River Disposal, Inc. G-48 &amp; G-51</t>
  </si>
  <si>
    <t>Dump Fee Schedule</t>
  </si>
  <si>
    <t>Skamania</t>
  </si>
  <si>
    <t>TOTALS</t>
  </si>
  <si>
    <t>Roll Off Tons</t>
  </si>
  <si>
    <t>Packer Tons</t>
  </si>
  <si>
    <t>R/O PT</t>
  </si>
  <si>
    <t>Packer Disposal</t>
  </si>
  <si>
    <t>Total Disposal Expense</t>
  </si>
  <si>
    <t>Klickitat</t>
  </si>
  <si>
    <t>Roll Off Yards</t>
  </si>
  <si>
    <t>Packer Yards</t>
  </si>
  <si>
    <t>Total R/O PT</t>
  </si>
  <si>
    <t>Total Packer Disp</t>
  </si>
  <si>
    <t>Total Disposal Exp</t>
  </si>
  <si>
    <t>Total Disposal Exp per GL</t>
  </si>
  <si>
    <t>PT Per GL</t>
  </si>
  <si>
    <t>Packer per GL</t>
  </si>
  <si>
    <t>PT Difference</t>
  </si>
  <si>
    <t>Total Difference</t>
  </si>
  <si>
    <t>Annual Customers</t>
  </si>
  <si>
    <t>Dump Fee Calc References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</si>
  <si>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</si>
  <si>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</si>
  <si>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</si>
  <si>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</si>
  <si>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</si>
  <si>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</si>
  <si>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</si>
  <si>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</si>
  <si>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</si>
  <si>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</si>
  <si>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</si>
  <si>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</si>
  <si>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</si>
  <si>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</si>
  <si>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</si>
  <si>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</si>
  <si>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</si>
  <si>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</si>
  <si>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</si>
  <si>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</si>
  <si>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</si>
  <si>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</si>
  <si>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</si>
  <si>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</si>
  <si>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</si>
  <si>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</si>
  <si>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</si>
  <si>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</si>
  <si>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</si>
  <si>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Annual</t>
  </si>
  <si>
    <t>Months</t>
  </si>
  <si>
    <t>40 gallon Can</t>
  </si>
  <si>
    <t>*</t>
  </si>
  <si>
    <t>Supercan 60</t>
  </si>
  <si>
    <t>Supercan 90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</si>
  <si>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</si>
  <si>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</si>
  <si>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</si>
  <si>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</si>
  <si>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</si>
  <si>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</si>
  <si>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</si>
  <si>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</si>
  <si>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</si>
  <si>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</si>
  <si>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</si>
  <si>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</si>
  <si>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</si>
  <si>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</si>
  <si>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</si>
  <si>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</si>
  <si>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</si>
  <si>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</si>
  <si>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</si>
  <si>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</si>
  <si>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* not on meeks - calculated</t>
  </si>
  <si>
    <t xml:space="preserve">    weight times compaction ratio</t>
  </si>
  <si>
    <t>Skamania County DF Increase</t>
  </si>
  <si>
    <t>Per Ton</t>
  </si>
  <si>
    <t>Per Pound</t>
  </si>
  <si>
    <t>Gross Up Factors</t>
  </si>
  <si>
    <t>B&amp;O tax</t>
  </si>
  <si>
    <t>WUTC fees</t>
  </si>
  <si>
    <t>Bad Debts</t>
  </si>
  <si>
    <t>Transfer Station</t>
  </si>
  <si>
    <t>Increase per ton</t>
  </si>
  <si>
    <t>Factor</t>
  </si>
  <si>
    <t>Grossed up increase per ton</t>
  </si>
  <si>
    <t>Packer Tons Collected</t>
  </si>
  <si>
    <t>Packer Revenue Increase</t>
  </si>
  <si>
    <t>Company Proposed Rates</t>
  </si>
  <si>
    <t>Res'l &amp; Com'l</t>
  </si>
  <si>
    <t>Revenue from Co Proposed Rates</t>
  </si>
  <si>
    <t>Collected Revenue Excess/(Deficiency)</t>
  </si>
  <si>
    <t>RO Revenue Increase</t>
  </si>
  <si>
    <t>One can Monthly</t>
  </si>
  <si>
    <t>One can EOW</t>
  </si>
  <si>
    <t>One can Weekly</t>
  </si>
  <si>
    <t>check</t>
  </si>
  <si>
    <t>Adjustment Factor Calculation</t>
  </si>
  <si>
    <t>Total Tonnage</t>
  </si>
  <si>
    <t>Total Pounds</t>
  </si>
  <si>
    <t>Total Pick Ups</t>
  </si>
  <si>
    <t>Adjustment factor</t>
  </si>
  <si>
    <t>Subtotal</t>
  </si>
  <si>
    <t>Current Rate per Ton</t>
  </si>
  <si>
    <t>New Rate per Ton</t>
  </si>
  <si>
    <t>No Current Customers</t>
  </si>
  <si>
    <t>Increase:</t>
  </si>
  <si>
    <t>Residential</t>
  </si>
  <si>
    <t>Commercial</t>
  </si>
  <si>
    <t>Total Packer</t>
  </si>
  <si>
    <t>Roll-Off</t>
  </si>
  <si>
    <t>Mini can Weekly</t>
  </si>
  <si>
    <t>Two cans Weekly</t>
  </si>
  <si>
    <t>Three cans Weekly</t>
  </si>
  <si>
    <t>Four cans Weekly</t>
  </si>
  <si>
    <t>Six cans Weekly</t>
  </si>
  <si>
    <t>1-45 gal Weekly</t>
  </si>
  <si>
    <t>2-45 gal Weekly</t>
  </si>
  <si>
    <t>1-60 gal Weekly</t>
  </si>
  <si>
    <t>1-60 gal Monthly</t>
  </si>
  <si>
    <t>Item 55, Pg 18 - Per Pick-Up</t>
  </si>
  <si>
    <t>Item 100, pg 23 - Per Month</t>
  </si>
  <si>
    <t>Item 100, pg 24 - Per Pick-Up</t>
  </si>
  <si>
    <t>Item 150, pg 25 - Per Pick-Up</t>
  </si>
  <si>
    <t>Annual Pick-Ups for DF Filing</t>
  </si>
  <si>
    <t>32 Gal Scheduled PU</t>
  </si>
  <si>
    <t>32 Gal Additional Unit</t>
  </si>
  <si>
    <t>32 Gal Minimum Charge</t>
  </si>
  <si>
    <t xml:space="preserve">Five cans Weekly </t>
  </si>
  <si>
    <t>Commercial - All Rates Stated per Pick-Up, Except Monthly Minimums</t>
  </si>
  <si>
    <t>Check #2</t>
  </si>
  <si>
    <t>Price Out taken from TG-180155.  Only information in columns T, U, V was added for the dump fee filing.</t>
  </si>
  <si>
    <t xml:space="preserve">Disposal Schedule taken from TG-180155.  </t>
  </si>
  <si>
    <t>Proposed Rates, Effective 5/1/2019</t>
  </si>
  <si>
    <t>Current Tarriff Rate</t>
  </si>
  <si>
    <t>Proposed Increase</t>
  </si>
  <si>
    <t>Proposed Rate as of 5/1/2017</t>
  </si>
  <si>
    <t>Item 55, Pg 18</t>
  </si>
  <si>
    <t>PU</t>
  </si>
  <si>
    <t>Item 100, pg 23</t>
  </si>
  <si>
    <t xml:space="preserve">Mini can </t>
  </si>
  <si>
    <t>WG</t>
  </si>
  <si>
    <t>One can</t>
  </si>
  <si>
    <t>MG</t>
  </si>
  <si>
    <t>EOW</t>
  </si>
  <si>
    <t>Two cans</t>
  </si>
  <si>
    <t>Three cans</t>
  </si>
  <si>
    <t>Four cans</t>
  </si>
  <si>
    <t>Five cans</t>
  </si>
  <si>
    <t>Six cans</t>
  </si>
  <si>
    <t>1-45 gal</t>
  </si>
  <si>
    <t>2-45 gal</t>
  </si>
  <si>
    <t>1-60 gal</t>
  </si>
  <si>
    <t>Item 100, pg 24</t>
  </si>
  <si>
    <t>Each</t>
  </si>
  <si>
    <t>Item 150, pg 25</t>
  </si>
  <si>
    <t>Item 230, pg 31</t>
  </si>
  <si>
    <t>Skamania Cnty TFS</t>
  </si>
  <si>
    <t>Ton</t>
  </si>
  <si>
    <t>Scheduled PU</t>
  </si>
  <si>
    <t>Additional Unit</t>
  </si>
  <si>
    <t>M</t>
  </si>
  <si>
    <t>DEQ Fee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</si>
</sst>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&quot;$&quot;#,##0\ ;\(&quot;$&quot;#,##0\)"/>
    <numFmt numFmtId="168" formatCode="General_)"/>
    <numFmt numFmtId="169" formatCode="0.0%"/>
    <numFmt numFmtId="170" formatCode="mm\-yy;\-0;;@"/>
    <numFmt numFmtId="171" formatCode=".00#####;\-.00####;;@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_(&quot;$&quot;* #,##0.000000_);_(&quot;$&quot;* \(#,##0.000000\);_(&quot;$&quot;* &quot;-&quot;??_);_(@_)"/>
    <numFmt numFmtId="175" formatCode="0.0000%"/>
    <numFmt numFmtId="176" formatCode="0.000000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"/>
      <name val="Arial"/>
      <family val="2"/>
    </font>
    <font>
      <sz val="10.5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i/>
      <sz val="10.5"/>
      <color theme="0" tint="-0.499984740745262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.5"/>
      <color indexed="8"/>
      <name val="Calibri"/>
      <family val="2"/>
      <scheme val="minor"/>
    </font>
    <font>
      <b/>
      <sz val="10.5"/>
      <color indexed="50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sz val="10.5"/>
      <color indexed="8"/>
      <name val="Tahoma"/>
      <family val="2"/>
    </font>
    <font>
      <b/>
      <u val="singleAccounting"/>
      <sz val="10.5"/>
      <color theme="1"/>
      <name val="Calibri"/>
      <family val="2"/>
      <scheme val="minor"/>
    </font>
    <font>
      <b/>
      <sz val="10.5"/>
      <color rgb="FF0000FF"/>
      <name val="Calibri"/>
      <family val="2"/>
      <scheme val="minor"/>
    </font>
    <font>
      <sz val="10.5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10"/>
      <color indexed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sz val="11"/>
      <name val="Bookman Old Style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7.5"/>
      <color indexed="12"/>
      <name val="Arial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1" fillId="45" borderId="0" applyNumberFormat="0" applyBorder="0" applyAlignment="0" applyProtection="0"/>
    <xf numFmtId="0" fontId="41" fillId="40" borderId="0" applyNumberFormat="0" applyBorder="0" applyAlignment="0" applyProtection="0"/>
    <xf numFmtId="0" fontId="41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5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17" fillId="1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55" borderId="0" applyNumberFormat="0" applyBorder="0" applyAlignment="0" applyProtection="0"/>
    <xf numFmtId="0" fontId="42" fillId="43" borderId="0" applyNumberFormat="0" applyBorder="0" applyAlignment="0" applyProtection="0"/>
    <xf numFmtId="0" fontId="42" fillId="55" borderId="0" applyNumberFormat="0" applyBorder="0" applyAlignment="0" applyProtection="0"/>
    <xf numFmtId="0" fontId="17" fillId="16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7" fillId="20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4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17" fillId="24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2" borderId="0" applyNumberFormat="0" applyBorder="0" applyAlignment="0" applyProtection="0"/>
    <xf numFmtId="0" fontId="42" fillId="48" borderId="0" applyNumberFormat="0" applyBorder="0" applyAlignment="0" applyProtection="0"/>
    <xf numFmtId="0" fontId="17" fillId="28" borderId="0" applyNumberFormat="0" applyBorder="0" applyAlignment="0" applyProtection="0"/>
    <xf numFmtId="0" fontId="42" fillId="43" borderId="0" applyNumberFormat="0" applyBorder="0" applyAlignment="0" applyProtection="0"/>
    <xf numFmtId="0" fontId="42" fillId="57" borderId="0" applyNumberFormat="0" applyBorder="0" applyAlignment="0" applyProtection="0"/>
    <xf numFmtId="0" fontId="42" fillId="43" borderId="0" applyNumberFormat="0" applyBorder="0" applyAlignment="0" applyProtection="0"/>
    <xf numFmtId="0" fontId="17" fillId="3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7" fillId="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17" fillId="13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58" borderId="0" applyNumberFormat="0" applyBorder="0" applyAlignment="0" applyProtection="0"/>
    <xf numFmtId="0" fontId="42" fillId="51" borderId="0" applyNumberFormat="0" applyBorder="0" applyAlignment="0" applyProtection="0"/>
    <xf numFmtId="0" fontId="42" fillId="61" borderId="0" applyNumberFormat="0" applyBorder="0" applyAlignment="0" applyProtection="0"/>
    <xf numFmtId="0" fontId="42" fillId="51" borderId="0" applyNumberFormat="0" applyBorder="0" applyAlignment="0" applyProtection="0"/>
    <xf numFmtId="0" fontId="17" fillId="17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56" borderId="0" applyNumberFormat="0" applyBorder="0" applyAlignment="0" applyProtection="0"/>
    <xf numFmtId="0" fontId="42" fillId="62" borderId="0" applyNumberFormat="0" applyBorder="0" applyAlignment="0" applyProtection="0"/>
    <xf numFmtId="0" fontId="17" fillId="21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7" fillId="2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42" fillId="60" borderId="0" applyNumberFormat="0" applyBorder="0" applyAlignment="0" applyProtection="0"/>
    <xf numFmtId="0" fontId="17" fillId="29" borderId="0" applyNumberFormat="0" applyBorder="0" applyAlignment="0" applyProtection="0"/>
    <xf numFmtId="41" fontId="30" fillId="0" borderId="0"/>
    <xf numFmtId="41" fontId="30" fillId="0" borderId="0"/>
    <xf numFmtId="41" fontId="30" fillId="0" borderId="0"/>
    <xf numFmtId="41" fontId="30" fillId="0" borderId="0"/>
    <xf numFmtId="49" fontId="43" fillId="0" borderId="0" applyFill="0" applyBorder="0" applyAlignment="0" applyProtection="0"/>
    <xf numFmtId="0" fontId="44" fillId="0" borderId="14" applyBorder="0">
      <alignment horizontal="center" vertical="center" wrapText="1"/>
    </xf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7" borderId="0" applyNumberFormat="0" applyBorder="0" applyAlignment="0" applyProtection="0"/>
    <xf numFmtId="0" fontId="7" fillId="3" borderId="0" applyNumberFormat="0" applyBorder="0" applyAlignment="0" applyProtection="0"/>
    <xf numFmtId="3" fontId="30" fillId="0" borderId="0"/>
    <xf numFmtId="3" fontId="30" fillId="0" borderId="0"/>
    <xf numFmtId="3" fontId="30" fillId="0" borderId="0"/>
    <xf numFmtId="3" fontId="30" fillId="0" borderId="0"/>
    <xf numFmtId="0" fontId="46" fillId="63" borderId="15" applyNumberFormat="0" applyAlignment="0" applyProtection="0"/>
    <xf numFmtId="0" fontId="46" fillId="63" borderId="15" applyNumberFormat="0" applyAlignment="0" applyProtection="0"/>
    <xf numFmtId="0" fontId="47" fillId="63" borderId="15" applyNumberFormat="0" applyAlignment="0" applyProtection="0"/>
    <xf numFmtId="0" fontId="48" fillId="63" borderId="15" applyNumberFormat="0" applyAlignment="0" applyProtection="0"/>
    <xf numFmtId="0" fontId="46" fillId="39" borderId="15" applyNumberFormat="0" applyAlignment="0" applyProtection="0"/>
    <xf numFmtId="0" fontId="46" fillId="39" borderId="15" applyNumberFormat="0" applyAlignment="0" applyProtection="0"/>
    <xf numFmtId="0" fontId="48" fillId="63" borderId="15" applyNumberFormat="0" applyAlignment="0" applyProtection="0"/>
    <xf numFmtId="0" fontId="48" fillId="63" borderId="15" applyNumberFormat="0" applyAlignment="0" applyProtection="0"/>
    <xf numFmtId="0" fontId="11" fillId="6" borderId="4" applyNumberFormat="0" applyAlignment="0" applyProtection="0"/>
    <xf numFmtId="0" fontId="49" fillId="64" borderId="16" applyNumberFormat="0" applyAlignment="0" applyProtection="0"/>
    <xf numFmtId="0" fontId="49" fillId="64" borderId="16" applyNumberFormat="0" applyAlignment="0" applyProtection="0"/>
    <xf numFmtId="0" fontId="49" fillId="65" borderId="17" applyNumberFormat="0" applyAlignment="0" applyProtection="0"/>
    <xf numFmtId="0" fontId="49" fillId="65" borderId="17" applyNumberFormat="0" applyAlignment="0" applyProtection="0"/>
    <xf numFmtId="0" fontId="13" fillId="7" borderId="7" applyNumberFormat="0" applyAlignment="0" applyProtection="0"/>
    <xf numFmtId="0" fontId="50" fillId="66" borderId="0" applyNumberFormat="0" applyBorder="0" applyAlignment="0" applyProtection="0">
      <alignment horizontal="center"/>
      <protection hidden="1"/>
    </xf>
    <xf numFmtId="0" fontId="30" fillId="67" borderId="0">
      <alignment horizont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" fontId="52" fillId="0" borderId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68" borderId="13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>
      <alignment wrapText="1"/>
    </xf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61" fillId="69" borderId="0">
      <alignment horizontal="right"/>
      <protection locked="0"/>
    </xf>
    <xf numFmtId="14" fontId="30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/>
    <xf numFmtId="2" fontId="61" fillId="69" borderId="0">
      <alignment horizontal="right"/>
      <protection locked="0"/>
    </xf>
    <xf numFmtId="1" fontId="30" fillId="0" borderId="0">
      <alignment horizontal="center"/>
    </xf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6" borderId="0" applyNumberFormat="0" applyBorder="0" applyAlignment="0" applyProtection="0"/>
    <xf numFmtId="0" fontId="63" fillId="4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4" fillId="0" borderId="20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3" fillId="0" borderId="1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2" applyNumberFormat="0" applyFill="0" applyAlignment="0" applyProtection="0"/>
    <xf numFmtId="0" fontId="67" fillId="0" borderId="23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4" fillId="0" borderId="2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71" fillId="0" borderId="25" applyNumberFormat="0" applyFill="0" applyAlignment="0" applyProtection="0"/>
    <xf numFmtId="0" fontId="70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5" fillId="0" borderId="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49" borderId="15" applyNumberFormat="0" applyAlignment="0" applyProtection="0"/>
    <xf numFmtId="0" fontId="80" fillId="49" borderId="15" applyNumberFormat="0" applyAlignment="0" applyProtection="0"/>
    <xf numFmtId="0" fontId="81" fillId="49" borderId="15" applyNumberFormat="0" applyAlignment="0" applyProtection="0"/>
    <xf numFmtId="0" fontId="81" fillId="49" borderId="15" applyNumberFormat="0" applyAlignment="0" applyProtection="0"/>
    <xf numFmtId="0" fontId="81" fillId="40" borderId="15" applyNumberFormat="0" applyAlignment="0" applyProtection="0"/>
    <xf numFmtId="0" fontId="81" fillId="49" borderId="15" applyNumberFormat="0" applyAlignment="0" applyProtection="0"/>
    <xf numFmtId="0" fontId="9" fillId="5" borderId="4" applyNumberFormat="0" applyAlignment="0" applyProtection="0"/>
    <xf numFmtId="3" fontId="82" fillId="70" borderId="0">
      <protection locked="0"/>
    </xf>
    <xf numFmtId="4" fontId="82" fillId="70" borderId="0">
      <protection locked="0"/>
    </xf>
    <xf numFmtId="0" fontId="44" fillId="0" borderId="14" applyBorder="0">
      <alignment horizontal="center" vertical="center" wrapText="1"/>
    </xf>
    <xf numFmtId="0" fontId="83" fillId="0" borderId="28" applyNumberFormat="0" applyFill="0" applyAlignment="0" applyProtection="0"/>
    <xf numFmtId="0" fontId="83" fillId="0" borderId="28" applyNumberFormat="0" applyFill="0" applyAlignment="0" applyProtection="0"/>
    <xf numFmtId="0" fontId="84" fillId="0" borderId="29" applyNumberFormat="0" applyFill="0" applyAlignment="0" applyProtection="0"/>
    <xf numFmtId="0" fontId="85" fillId="0" borderId="30" applyNumberFormat="0" applyFill="0" applyAlignment="0" applyProtection="0"/>
    <xf numFmtId="0" fontId="83" fillId="0" borderId="28" applyNumberFormat="0" applyFill="0" applyAlignment="0" applyProtection="0"/>
    <xf numFmtId="0" fontId="85" fillId="0" borderId="30" applyNumberFormat="0" applyFill="0" applyAlignment="0" applyProtection="0"/>
    <xf numFmtId="0" fontId="12" fillId="0" borderId="6" applyNumberFormat="0" applyFill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6" fillId="49" borderId="0" applyNumberFormat="0" applyBorder="0" applyAlignment="0" applyProtection="0"/>
    <xf numFmtId="0" fontId="88" fillId="49" borderId="0" applyNumberFormat="0" applyBorder="0" applyAlignment="0" applyProtection="0"/>
    <xf numFmtId="0" fontId="8" fillId="4" borderId="0" applyNumberFormat="0" applyBorder="0" applyAlignment="0" applyProtection="0"/>
    <xf numFmtId="43" fontId="3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30" fillId="0" borderId="0"/>
    <xf numFmtId="0" fontId="30" fillId="0" borderId="0"/>
    <xf numFmtId="0" fontId="3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1" fillId="0" borderId="0"/>
    <xf numFmtId="0" fontId="30" fillId="0" borderId="0"/>
    <xf numFmtId="0" fontId="1" fillId="0" borderId="0"/>
    <xf numFmtId="0" fontId="4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9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89" fillId="0" borderId="0"/>
    <xf numFmtId="0" fontId="5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58" fillId="0" borderId="0"/>
    <xf numFmtId="0" fontId="30" fillId="0" borderId="0"/>
    <xf numFmtId="0" fontId="51" fillId="0" borderId="0"/>
    <xf numFmtId="0" fontId="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89" fillId="0" borderId="0"/>
    <xf numFmtId="0" fontId="1" fillId="0" borderId="0"/>
    <xf numFmtId="0" fontId="58" fillId="0" borderId="0"/>
    <xf numFmtId="0" fontId="41" fillId="0" borderId="0"/>
    <xf numFmtId="0" fontId="4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40" fontId="60" fillId="0" borderId="0"/>
    <xf numFmtId="0" fontId="30" fillId="0" borderId="0"/>
    <xf numFmtId="40" fontId="60" fillId="0" borderId="0"/>
    <xf numFmtId="0" fontId="1" fillId="0" borderId="0"/>
    <xf numFmtId="0" fontId="30" fillId="0" borderId="0"/>
    <xf numFmtId="168" fontId="58" fillId="0" borderId="0"/>
    <xf numFmtId="168" fontId="58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41" fillId="0" borderId="0"/>
    <xf numFmtId="0" fontId="58" fillId="0" borderId="0"/>
    <xf numFmtId="0" fontId="58" fillId="0" borderId="0"/>
    <xf numFmtId="168" fontId="58" fillId="0" borderId="0"/>
    <xf numFmtId="0" fontId="1" fillId="0" borderId="0"/>
    <xf numFmtId="0" fontId="41" fillId="0" borderId="0"/>
    <xf numFmtId="0" fontId="30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58" fillId="0" borderId="0"/>
    <xf numFmtId="0" fontId="52" fillId="0" borderId="0">
      <alignment vertical="top"/>
    </xf>
    <xf numFmtId="0" fontId="58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58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30" fillId="0" borderId="0">
      <alignment wrapText="1"/>
    </xf>
    <xf numFmtId="0" fontId="30" fillId="0" borderId="0">
      <alignment wrapText="1"/>
    </xf>
    <xf numFmtId="0" fontId="30" fillId="0" borderId="0"/>
    <xf numFmtId="0" fontId="58" fillId="0" borderId="0"/>
    <xf numFmtId="0" fontId="58" fillId="0" borderId="0"/>
    <xf numFmtId="0" fontId="52" fillId="0" borderId="0">
      <alignment vertical="top"/>
    </xf>
    <xf numFmtId="0" fontId="30" fillId="0" borderId="0"/>
    <xf numFmtId="0" fontId="1" fillId="0" borderId="0"/>
    <xf numFmtId="0" fontId="52" fillId="0" borderId="0">
      <alignment vertical="top"/>
    </xf>
    <xf numFmtId="0" fontId="30" fillId="0" borderId="0"/>
    <xf numFmtId="0" fontId="58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30" fillId="0" borderId="0"/>
    <xf numFmtId="0" fontId="58" fillId="0" borderId="0"/>
    <xf numFmtId="0" fontId="52" fillId="0" borderId="0">
      <alignment vertical="top"/>
    </xf>
    <xf numFmtId="0" fontId="30" fillId="0" borderId="0"/>
    <xf numFmtId="0" fontId="30" fillId="0" borderId="0"/>
    <xf numFmtId="0" fontId="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30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41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168" fontId="58" fillId="0" borderId="0"/>
    <xf numFmtId="0" fontId="1" fillId="0" borderId="0"/>
    <xf numFmtId="0" fontId="52" fillId="0" borderId="0">
      <alignment vertical="top"/>
    </xf>
    <xf numFmtId="0" fontId="30" fillId="0" borderId="0"/>
    <xf numFmtId="0" fontId="1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41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>
      <alignment vertical="top"/>
    </xf>
    <xf numFmtId="0" fontId="41" fillId="0" borderId="0"/>
    <xf numFmtId="0" fontId="30" fillId="0" borderId="0"/>
    <xf numFmtId="0" fontId="41" fillId="0" borderId="0"/>
    <xf numFmtId="0" fontId="41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30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41" fillId="45" borderId="31" applyNumberFormat="0" applyFont="0" applyAlignment="0" applyProtection="0"/>
    <xf numFmtId="0" fontId="41" fillId="45" borderId="31" applyNumberFormat="0" applyFont="0" applyAlignment="0" applyProtection="0"/>
    <xf numFmtId="0" fontId="52" fillId="45" borderId="31" applyNumberFormat="0" applyFont="0" applyAlignment="0" applyProtection="0"/>
    <xf numFmtId="0" fontId="58" fillId="45" borderId="31" applyNumberFormat="0" applyFont="0" applyAlignment="0" applyProtection="0"/>
    <xf numFmtId="0" fontId="53" fillId="45" borderId="31" applyNumberFormat="0" applyFont="0" applyAlignment="0" applyProtection="0"/>
    <xf numFmtId="0" fontId="53" fillId="45" borderId="31" applyNumberFormat="0" applyFont="0" applyAlignment="0" applyProtection="0"/>
    <xf numFmtId="0" fontId="58" fillId="45" borderId="31" applyNumberFormat="0" applyFont="0" applyAlignment="0" applyProtection="0"/>
    <xf numFmtId="0" fontId="41" fillId="45" borderId="31" applyNumberFormat="0" applyFont="0" applyAlignment="0" applyProtection="0"/>
    <xf numFmtId="0" fontId="58" fillId="45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9" fontId="91" fillId="0" borderId="0" applyNumberFormat="0"/>
    <xf numFmtId="0" fontId="70" fillId="63" borderId="32" applyNumberFormat="0" applyAlignment="0" applyProtection="0"/>
    <xf numFmtId="0" fontId="70" fillId="63" borderId="32" applyNumberFormat="0" applyAlignment="0" applyProtection="0"/>
    <xf numFmtId="0" fontId="92" fillId="63" borderId="33" applyNumberFormat="0" applyAlignment="0" applyProtection="0"/>
    <xf numFmtId="0" fontId="92" fillId="63" borderId="33" applyNumberFormat="0" applyAlignment="0" applyProtection="0"/>
    <xf numFmtId="0" fontId="92" fillId="39" borderId="33" applyNumberFormat="0" applyAlignment="0" applyProtection="0"/>
    <xf numFmtId="0" fontId="92" fillId="63" borderId="33" applyNumberFormat="0" applyAlignment="0" applyProtection="0"/>
    <xf numFmtId="0" fontId="10" fillId="6" borderId="5" applyNumberFormat="0" applyAlignment="0" applyProtection="0"/>
    <xf numFmtId="9" fontId="5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>
      <alignment wrapText="1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>
      <alignment wrapText="1"/>
    </xf>
    <xf numFmtId="169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70" fontId="59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38" fontId="93" fillId="0" borderId="0" applyNumberFormat="0" applyFont="0" applyFill="0" applyBorder="0">
      <alignment horizontal="left" indent="4"/>
      <protection locked="0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94" fillId="0" borderId="34">
      <alignment horizontal="center"/>
    </xf>
    <xf numFmtId="3" fontId="55" fillId="0" borderId="0" applyFont="0" applyFill="0" applyBorder="0" applyAlignment="0" applyProtection="0"/>
    <xf numFmtId="0" fontId="55" fillId="72" borderId="0" applyNumberFormat="0" applyFont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 applyNumberFormat="0" applyBorder="0" applyAlignment="0"/>
    <xf numFmtId="0" fontId="52" fillId="0" borderId="0" applyNumberFormat="0" applyBorder="0" applyAlignment="0"/>
    <xf numFmtId="37" fontId="96" fillId="0" borderId="0"/>
    <xf numFmtId="171" fontId="97" fillId="71" borderId="0" applyFill="0" applyBorder="0" applyProtection="0">
      <alignment horizontal="center"/>
      <protection hidden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6" applyNumberFormat="0" applyFill="0" applyAlignment="0" applyProtection="0"/>
    <xf numFmtId="0" fontId="101" fillId="0" borderId="37" applyNumberFormat="0" applyFill="0" applyAlignment="0" applyProtection="0"/>
    <xf numFmtId="0" fontId="101" fillId="0" borderId="38" applyNumberFormat="0" applyFill="0" applyAlignment="0" applyProtection="0"/>
    <xf numFmtId="0" fontId="101" fillId="0" borderId="38" applyNumberFormat="0" applyFill="0" applyAlignment="0" applyProtection="0"/>
    <xf numFmtId="0" fontId="101" fillId="0" borderId="37" applyNumberFormat="0" applyFill="0" applyAlignment="0" applyProtection="0"/>
    <xf numFmtId="0" fontId="101" fillId="0" borderId="37" applyNumberFormat="0" applyFill="0" applyAlignment="0" applyProtection="0"/>
    <xf numFmtId="0" fontId="16" fillId="0" borderId="9" applyNumberFormat="0" applyFill="0" applyAlignment="0" applyProtection="0"/>
    <xf numFmtId="0" fontId="102" fillId="0" borderId="0">
      <alignment horizontal="center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0" fillId="73" borderId="0" applyFont="0" applyFill="0" applyBorder="0" applyAlignment="0" applyProtection="0">
      <alignment wrapText="1"/>
    </xf>
    <xf numFmtId="0" fontId="1" fillId="0" borderId="0"/>
    <xf numFmtId="44" fontId="30" fillId="0" borderId="0" applyFont="0" applyFill="0" applyBorder="0" applyAlignment="0" applyProtection="0"/>
    <xf numFmtId="0" fontId="41" fillId="0" borderId="0"/>
    <xf numFmtId="43" fontId="53" fillId="0" borderId="0" applyFont="0" applyFill="0" applyBorder="0" applyAlignment="0" applyProtection="0"/>
    <xf numFmtId="0" fontId="1" fillId="0" borderId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0">
    <xf numFmtId="0" fontId="0" fillId="0" borderId="0" xfId="0"/>
    <xf numFmtId="0" fontId="18" fillId="0" borderId="0" xfId="0" applyFont="1" applyFill="1"/>
    <xf numFmtId="0" fontId="20" fillId="0" borderId="0" xfId="4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4" applyFont="1" applyFill="1"/>
    <xf numFmtId="0" fontId="24" fillId="0" borderId="0" xfId="4" applyFont="1" applyFill="1"/>
    <xf numFmtId="164" fontId="21" fillId="0" borderId="0" xfId="0" applyNumberFormat="1" applyFont="1" applyFill="1" applyBorder="1"/>
    <xf numFmtId="0" fontId="25" fillId="0" borderId="0" xfId="0" applyFont="1"/>
    <xf numFmtId="0" fontId="20" fillId="33" borderId="0" xfId="4" applyFont="1" applyFill="1"/>
    <xf numFmtId="0" fontId="24" fillId="33" borderId="0" xfId="4" applyFont="1" applyFill="1" applyAlignment="1">
      <alignment horizontal="center" wrapText="1"/>
    </xf>
    <xf numFmtId="0" fontId="24" fillId="34" borderId="0" xfId="4" applyFont="1" applyFill="1" applyAlignment="1">
      <alignment horizontal="center"/>
    </xf>
    <xf numFmtId="0" fontId="24" fillId="35" borderId="0" xfId="4" applyFont="1" applyFill="1" applyAlignment="1">
      <alignment horizontal="center" wrapText="1"/>
    </xf>
    <xf numFmtId="0" fontId="24" fillId="36" borderId="0" xfId="4" applyFont="1" applyFill="1" applyAlignment="1">
      <alignment horizontal="center" wrapText="1"/>
    </xf>
    <xf numFmtId="0" fontId="18" fillId="36" borderId="0" xfId="0" applyFont="1" applyFill="1" applyAlignment="1">
      <alignment horizontal="center"/>
    </xf>
    <xf numFmtId="0" fontId="18" fillId="37" borderId="0" xfId="0" applyFont="1" applyFill="1" applyAlignment="1">
      <alignment horizontal="center" wrapText="1"/>
    </xf>
    <xf numFmtId="0" fontId="20" fillId="38" borderId="0" xfId="4" applyFont="1" applyFill="1"/>
    <xf numFmtId="0" fontId="24" fillId="33" borderId="0" xfId="4" applyFont="1" applyFill="1" applyAlignment="1">
      <alignment horizontal="center"/>
    </xf>
    <xf numFmtId="10" fontId="18" fillId="37" borderId="0" xfId="3" applyNumberFormat="1" applyFont="1" applyFill="1" applyAlignment="1">
      <alignment horizontal="center" wrapText="1"/>
    </xf>
    <xf numFmtId="0" fontId="24" fillId="38" borderId="0" xfId="4" applyFont="1" applyFill="1" applyAlignment="1">
      <alignment horizontal="center" wrapText="1"/>
    </xf>
    <xf numFmtId="0" fontId="25" fillId="0" borderId="0" xfId="0" applyFont="1" applyAlignment="1">
      <alignment horizontal="right"/>
    </xf>
    <xf numFmtId="166" fontId="21" fillId="0" borderId="0" xfId="0" applyNumberFormat="1" applyFont="1"/>
    <xf numFmtId="0" fontId="21" fillId="0" borderId="0" xfId="0" applyFont="1"/>
    <xf numFmtId="165" fontId="21" fillId="0" borderId="0" xfId="1" applyNumberFormat="1" applyFont="1"/>
    <xf numFmtId="0" fontId="20" fillId="0" borderId="0" xfId="4" applyFont="1"/>
    <xf numFmtId="165" fontId="20" fillId="0" borderId="0" xfId="1" applyNumberFormat="1" applyFont="1"/>
    <xf numFmtId="0" fontId="27" fillId="0" borderId="0" xfId="4" applyFont="1" applyFill="1"/>
    <xf numFmtId="0" fontId="28" fillId="0" borderId="0" xfId="4" applyFont="1" applyFill="1" applyAlignment="1">
      <alignment horizontal="left"/>
    </xf>
    <xf numFmtId="0" fontId="29" fillId="0" borderId="0" xfId="4" applyFont="1" applyFill="1" applyAlignment="1">
      <alignment horizontal="center"/>
    </xf>
    <xf numFmtId="0" fontId="24" fillId="0" borderId="0" xfId="4" applyFont="1" applyFill="1" applyAlignment="1">
      <alignment horizontal="left"/>
    </xf>
    <xf numFmtId="43" fontId="20" fillId="0" borderId="0" xfId="5" applyFont="1" applyFill="1" applyAlignment="1">
      <alignment horizontal="center"/>
    </xf>
    <xf numFmtId="165" fontId="20" fillId="0" borderId="0" xfId="5" applyNumberFormat="1" applyFont="1" applyFill="1"/>
    <xf numFmtId="43" fontId="20" fillId="0" borderId="0" xfId="4" applyNumberFormat="1" applyFont="1" applyFill="1"/>
    <xf numFmtId="0" fontId="21" fillId="0" borderId="0" xfId="0" applyFont="1" applyFill="1" applyBorder="1"/>
    <xf numFmtId="0" fontId="21" fillId="0" borderId="0" xfId="0" applyFont="1" applyAlignment="1">
      <alignment horizontal="left"/>
    </xf>
    <xf numFmtId="43" fontId="21" fillId="0" borderId="0" xfId="5" applyFont="1" applyFill="1" applyBorder="1"/>
    <xf numFmtId="165" fontId="21" fillId="0" borderId="0" xfId="5" applyNumberFormat="1" applyFont="1" applyFill="1"/>
    <xf numFmtId="43" fontId="20" fillId="0" borderId="0" xfId="4" applyNumberFormat="1" applyFont="1"/>
    <xf numFmtId="165" fontId="20" fillId="0" borderId="0" xfId="4" applyNumberFormat="1" applyFont="1"/>
    <xf numFmtId="0" fontId="21" fillId="0" borderId="0" xfId="0" applyFont="1" applyFill="1" applyAlignment="1">
      <alignment horizontal="left"/>
    </xf>
    <xf numFmtId="0" fontId="31" fillId="0" borderId="0" xfId="0" applyFont="1" applyFill="1"/>
    <xf numFmtId="164" fontId="20" fillId="0" borderId="0" xfId="4" applyNumberFormat="1" applyFont="1" applyFill="1"/>
    <xf numFmtId="0" fontId="24" fillId="0" borderId="10" xfId="4" applyFont="1" applyFill="1" applyBorder="1"/>
    <xf numFmtId="0" fontId="24" fillId="0" borderId="10" xfId="4" applyFont="1" applyFill="1" applyBorder="1" applyAlignment="1">
      <alignment horizontal="right"/>
    </xf>
    <xf numFmtId="43" fontId="24" fillId="0" borderId="10" xfId="5" applyFont="1" applyFill="1" applyBorder="1" applyAlignment="1">
      <alignment horizontal="center"/>
    </xf>
    <xf numFmtId="164" fontId="32" fillId="0" borderId="10" xfId="6" applyNumberFormat="1" applyFont="1" applyFill="1" applyBorder="1"/>
    <xf numFmtId="165" fontId="24" fillId="0" borderId="0" xfId="5" applyNumberFormat="1" applyFont="1" applyFill="1" applyBorder="1"/>
    <xf numFmtId="165" fontId="24" fillId="0" borderId="11" xfId="5" applyNumberFormat="1" applyFont="1" applyFill="1" applyBorder="1"/>
    <xf numFmtId="44" fontId="24" fillId="0" borderId="10" xfId="5" applyNumberFormat="1" applyFont="1" applyFill="1" applyBorder="1"/>
    <xf numFmtId="164" fontId="24" fillId="0" borderId="10" xfId="5" applyNumberFormat="1" applyFont="1" applyFill="1" applyBorder="1"/>
    <xf numFmtId="165" fontId="33" fillId="0" borderId="0" xfId="5" applyNumberFormat="1" applyFont="1" applyFill="1" applyBorder="1"/>
    <xf numFmtId="0" fontId="33" fillId="0" borderId="0" xfId="4" applyFont="1" applyFill="1" applyBorder="1"/>
    <xf numFmtId="0" fontId="28" fillId="0" borderId="0" xfId="4" applyFont="1" applyFill="1" applyAlignment="1">
      <alignment horizontal="center"/>
    </xf>
    <xf numFmtId="43" fontId="34" fillId="0" borderId="0" xfId="5" applyFont="1" applyFill="1" applyAlignment="1">
      <alignment horizontal="right"/>
    </xf>
    <xf numFmtId="43" fontId="20" fillId="0" borderId="0" xfId="5" applyFont="1" applyFill="1"/>
    <xf numFmtId="0" fontId="20" fillId="0" borderId="10" xfId="0" applyFont="1" applyFill="1" applyBorder="1" applyAlignment="1">
      <alignment vertical="top"/>
    </xf>
    <xf numFmtId="43" fontId="20" fillId="0" borderId="10" xfId="5" applyFont="1" applyFill="1" applyBorder="1" applyAlignment="1">
      <alignment horizontal="center"/>
    </xf>
    <xf numFmtId="0" fontId="20" fillId="0" borderId="10" xfId="4" applyFont="1" applyFill="1" applyBorder="1"/>
    <xf numFmtId="0" fontId="27" fillId="0" borderId="0" xfId="4" applyFont="1" applyFill="1" applyBorder="1"/>
    <xf numFmtId="0" fontId="20" fillId="0" borderId="0" xfId="0" applyFont="1" applyFill="1" applyAlignment="1">
      <alignment vertical="top"/>
    </xf>
    <xf numFmtId="43" fontId="20" fillId="0" borderId="0" xfId="5" applyNumberFormat="1" applyFont="1" applyFill="1"/>
    <xf numFmtId="0" fontId="24" fillId="0" borderId="0" xfId="4" applyFont="1" applyFill="1" applyBorder="1"/>
    <xf numFmtId="0" fontId="21" fillId="0" borderId="12" xfId="0" applyFont="1" applyBorder="1" applyAlignment="1">
      <alignment horizontal="left"/>
    </xf>
    <xf numFmtId="0" fontId="35" fillId="0" borderId="0" xfId="0" applyFont="1" applyFill="1" applyBorder="1" applyAlignment="1">
      <alignment vertical="top"/>
    </xf>
    <xf numFmtId="165" fontId="18" fillId="0" borderId="0" xfId="5" applyNumberFormat="1" applyFont="1" applyFill="1"/>
    <xf numFmtId="0" fontId="21" fillId="0" borderId="10" xfId="0" applyFont="1" applyFill="1" applyBorder="1"/>
    <xf numFmtId="165" fontId="20" fillId="0" borderId="0" xfId="5" applyNumberFormat="1" applyFont="1" applyFill="1" applyBorder="1"/>
    <xf numFmtId="0" fontId="22" fillId="0" borderId="0" xfId="0" applyFont="1" applyFill="1" applyBorder="1"/>
    <xf numFmtId="0" fontId="20" fillId="0" borderId="0" xfId="4" applyFont="1" applyFill="1" applyBorder="1"/>
    <xf numFmtId="43" fontId="21" fillId="0" borderId="0" xfId="5" applyFont="1" applyFill="1"/>
    <xf numFmtId="165" fontId="21" fillId="0" borderId="0" xfId="5" applyNumberFormat="1" applyFont="1" applyFill="1" applyBorder="1"/>
    <xf numFmtId="44" fontId="21" fillId="0" borderId="0" xfId="0" applyNumberFormat="1" applyFont="1" applyFill="1" applyBorder="1"/>
    <xf numFmtId="165" fontId="36" fillId="0" borderId="0" xfId="1" applyNumberFormat="1" applyFont="1" applyAlignment="1">
      <alignment horizontal="center"/>
    </xf>
    <xf numFmtId="0" fontId="24" fillId="0" borderId="0" xfId="4" applyFont="1" applyAlignment="1">
      <alignment horizontal="right"/>
    </xf>
    <xf numFmtId="164" fontId="20" fillId="0" borderId="13" xfId="2" applyNumberFormat="1" applyFont="1" applyBorder="1"/>
    <xf numFmtId="164" fontId="18" fillId="0" borderId="0" xfId="2" applyNumberFormat="1" applyFont="1"/>
    <xf numFmtId="0" fontId="37" fillId="0" borderId="0" xfId="0" applyFont="1" applyAlignment="1">
      <alignment horizontal="right"/>
    </xf>
    <xf numFmtId="0" fontId="38" fillId="0" borderId="0" xfId="0" applyFont="1"/>
    <xf numFmtId="164" fontId="37" fillId="0" borderId="0" xfId="2" applyNumberFormat="1" applyFont="1"/>
    <xf numFmtId="0" fontId="24" fillId="0" borderId="0" xfId="4" applyFont="1" applyFill="1" applyBorder="1" applyAlignment="1">
      <alignment horizontal="right"/>
    </xf>
    <xf numFmtId="43" fontId="32" fillId="0" borderId="0" xfId="5" applyFont="1" applyFill="1" applyBorder="1"/>
    <xf numFmtId="44" fontId="32" fillId="0" borderId="0" xfId="6" applyFont="1" applyFill="1" applyBorder="1"/>
    <xf numFmtId="164" fontId="21" fillId="0" borderId="0" xfId="2" applyNumberFormat="1" applyFont="1"/>
    <xf numFmtId="0" fontId="28" fillId="0" borderId="0" xfId="4" applyFont="1" applyFill="1" applyBorder="1" applyAlignment="1">
      <alignment horizontal="center"/>
    </xf>
    <xf numFmtId="164" fontId="21" fillId="0" borderId="0" xfId="0" applyNumberFormat="1" applyFont="1" applyFill="1"/>
    <xf numFmtId="44" fontId="21" fillId="0" borderId="0" xfId="0" applyNumberFormat="1" applyFont="1" applyFill="1"/>
    <xf numFmtId="0" fontId="103" fillId="0" borderId="0" xfId="1171" applyFont="1" applyBorder="1"/>
    <xf numFmtId="0" fontId="103" fillId="0" borderId="0" xfId="1171" applyFont="1" applyFill="1" applyBorder="1" applyAlignment="1">
      <alignment horizontal="left"/>
    </xf>
    <xf numFmtId="4" fontId="104" fillId="0" borderId="0" xfId="1171" applyNumberFormat="1" applyFont="1" applyFill="1" applyBorder="1" applyAlignment="1">
      <alignment horizontal="right"/>
    </xf>
    <xf numFmtId="10" fontId="103" fillId="0" borderId="0" xfId="1171" applyNumberFormat="1" applyFont="1" applyFill="1" applyBorder="1" applyAlignment="1">
      <alignment horizontal="right"/>
    </xf>
    <xf numFmtId="4" fontId="103" fillId="0" borderId="0" xfId="1171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Border="1"/>
    <xf numFmtId="4" fontId="103" fillId="0" borderId="0" xfId="1171" applyNumberFormat="1" applyFont="1" applyFill="1" applyBorder="1" applyAlignment="1">
      <alignment horizontal="right"/>
    </xf>
    <xf numFmtId="0" fontId="103" fillId="0" borderId="0" xfId="1172" applyFont="1" applyBorder="1"/>
    <xf numFmtId="4" fontId="104" fillId="0" borderId="0" xfId="1172" applyNumberFormat="1" applyFont="1" applyFill="1" applyBorder="1" applyAlignment="1">
      <alignment horizontal="right"/>
    </xf>
    <xf numFmtId="0" fontId="104" fillId="0" borderId="0" xfId="1172" applyFont="1" applyBorder="1"/>
    <xf numFmtId="0" fontId="104" fillId="0" borderId="0" xfId="1172" applyFont="1" applyFill="1" applyBorder="1" applyAlignment="1">
      <alignment horizontal="left"/>
    </xf>
    <xf numFmtId="165" fontId="20" fillId="33" borderId="0" xfId="5" applyNumberFormat="1" applyFont="1" applyFill="1"/>
    <xf numFmtId="43" fontId="0" fillId="0" borderId="0" xfId="1" applyFont="1" applyFill="1" applyBorder="1"/>
    <xf numFmtId="43" fontId="0" fillId="0" borderId="0" xfId="0" applyNumberFormat="1" applyBorder="1"/>
    <xf numFmtId="0" fontId="16" fillId="0" borderId="51" xfId="0" applyFont="1" applyBorder="1"/>
    <xf numFmtId="0" fontId="16" fillId="0" borderId="48" xfId="0" applyFont="1" applyFill="1" applyBorder="1"/>
    <xf numFmtId="164" fontId="0" fillId="0" borderId="0" xfId="2" applyNumberFormat="1" applyFont="1" applyFill="1" applyBorder="1"/>
    <xf numFmtId="0" fontId="0" fillId="0" borderId="47" xfId="0" applyFill="1" applyBorder="1"/>
    <xf numFmtId="0" fontId="0" fillId="0" borderId="0" xfId="0" applyFill="1" applyBorder="1"/>
    <xf numFmtId="0" fontId="16" fillId="0" borderId="51" xfId="0" applyFont="1" applyFill="1" applyBorder="1"/>
    <xf numFmtId="44" fontId="16" fillId="0" borderId="13" xfId="0" applyNumberFormat="1" applyFont="1" applyFill="1" applyBorder="1"/>
    <xf numFmtId="0" fontId="16" fillId="0" borderId="0" xfId="0" applyFont="1" applyFill="1" applyBorder="1" applyAlignment="1">
      <alignment horizontal="right"/>
    </xf>
    <xf numFmtId="44" fontId="0" fillId="0" borderId="0" xfId="0" applyNumberFormat="1" applyFill="1"/>
    <xf numFmtId="0" fontId="16" fillId="0" borderId="0" xfId="0" applyFont="1" applyAlignment="1">
      <alignment horizontal="left" indent="1"/>
    </xf>
    <xf numFmtId="42" fontId="0" fillId="0" borderId="0" xfId="2" applyNumberFormat="1" applyFont="1" applyFill="1" applyBorder="1"/>
    <xf numFmtId="0" fontId="105" fillId="0" borderId="13" xfId="4" applyFont="1" applyFill="1" applyBorder="1" applyAlignment="1">
      <alignment horizontal="center" wrapText="1"/>
    </xf>
    <xf numFmtId="0" fontId="0" fillId="0" borderId="39" xfId="0" applyBorder="1"/>
    <xf numFmtId="43" fontId="16" fillId="0" borderId="50" xfId="1" applyFont="1" applyFill="1" applyBorder="1"/>
    <xf numFmtId="43" fontId="16" fillId="0" borderId="49" xfId="0" applyNumberFormat="1" applyFont="1" applyFill="1" applyBorder="1"/>
    <xf numFmtId="165" fontId="104" fillId="0" borderId="0" xfId="1" applyNumberFormat="1" applyFont="1" applyFill="1" applyBorder="1" applyAlignment="1">
      <alignment horizontal="left"/>
    </xf>
    <xf numFmtId="43" fontId="20" fillId="33" borderId="0" xfId="5" applyFont="1" applyFill="1" applyAlignment="1">
      <alignment horizontal="center"/>
    </xf>
    <xf numFmtId="43" fontId="20" fillId="33" borderId="0" xfId="4" applyNumberFormat="1" applyFont="1" applyFill="1"/>
    <xf numFmtId="165" fontId="20" fillId="33" borderId="0" xfId="4" applyNumberFormat="1" applyFont="1" applyFill="1"/>
    <xf numFmtId="43" fontId="27" fillId="0" borderId="0" xfId="1" applyFont="1" applyFill="1"/>
    <xf numFmtId="0" fontId="105" fillId="0" borderId="13" xfId="4" applyFont="1" applyFill="1" applyBorder="1" applyAlignment="1">
      <alignment horizontal="center"/>
    </xf>
    <xf numFmtId="0" fontId="0" fillId="0" borderId="46" xfId="0" applyBorder="1"/>
    <xf numFmtId="0" fontId="16" fillId="74" borderId="48" xfId="0" applyFont="1" applyFill="1" applyBorder="1" applyAlignment="1">
      <alignment horizontal="center"/>
    </xf>
    <xf numFmtId="0" fontId="0" fillId="0" borderId="49" xfId="0" applyBorder="1"/>
    <xf numFmtId="0" fontId="0" fillId="0" borderId="48" xfId="0" applyBorder="1"/>
    <xf numFmtId="0" fontId="16" fillId="0" borderId="48" xfId="0" applyFont="1" applyBorder="1"/>
    <xf numFmtId="17" fontId="16" fillId="0" borderId="13" xfId="0" applyNumberFormat="1" applyFont="1" applyBorder="1" applyAlignment="1">
      <alignment horizontal="center"/>
    </xf>
    <xf numFmtId="0" fontId="106" fillId="0" borderId="48" xfId="0" applyFont="1" applyFill="1" applyBorder="1" applyAlignment="1">
      <alignment horizontal="right"/>
    </xf>
    <xf numFmtId="0" fontId="0" fillId="0" borderId="46" xfId="0" applyFill="1" applyBorder="1"/>
    <xf numFmtId="173" fontId="0" fillId="0" borderId="0" xfId="1" applyNumberFormat="1" applyFont="1"/>
    <xf numFmtId="164" fontId="0" fillId="0" borderId="0" xfId="0" applyNumberFormat="1" applyFont="1"/>
    <xf numFmtId="164" fontId="0" fillId="0" borderId="44" xfId="0" applyNumberFormat="1" applyFont="1" applyBorder="1"/>
    <xf numFmtId="44" fontId="16" fillId="0" borderId="39" xfId="0" applyNumberFormat="1" applyFont="1" applyFill="1" applyBorder="1"/>
    <xf numFmtId="44" fontId="16" fillId="0" borderId="49" xfId="0" applyNumberFormat="1" applyFont="1" applyFill="1" applyBorder="1"/>
    <xf numFmtId="0" fontId="21" fillId="33" borderId="0" xfId="0" applyFont="1" applyFill="1" applyAlignment="1">
      <alignment horizontal="left"/>
    </xf>
    <xf numFmtId="165" fontId="21" fillId="33" borderId="0" xfId="5" applyNumberFormat="1" applyFont="1" applyFill="1"/>
    <xf numFmtId="165" fontId="0" fillId="0" borderId="39" xfId="1" applyNumberFormat="1" applyFont="1" applyFill="1" applyBorder="1"/>
    <xf numFmtId="164" fontId="0" fillId="0" borderId="13" xfId="2" applyNumberFormat="1" applyFont="1" applyFill="1" applyBorder="1"/>
    <xf numFmtId="0" fontId="0" fillId="0" borderId="0" xfId="0" applyFill="1"/>
    <xf numFmtId="164" fontId="30" fillId="0" borderId="0" xfId="2" applyNumberFormat="1" applyFont="1" applyFill="1" applyBorder="1"/>
    <xf numFmtId="43" fontId="21" fillId="33" borderId="0" xfId="5" applyFont="1" applyFill="1" applyBorder="1"/>
    <xf numFmtId="165" fontId="20" fillId="33" borderId="0" xfId="1" applyNumberFormat="1" applyFont="1" applyFill="1"/>
    <xf numFmtId="43" fontId="16" fillId="0" borderId="49" xfId="1" applyFont="1" applyFill="1" applyBorder="1"/>
    <xf numFmtId="43" fontId="16" fillId="0" borderId="49" xfId="0" applyNumberFormat="1" applyFont="1" applyBorder="1"/>
    <xf numFmtId="44" fontId="0" fillId="0" borderId="0" xfId="0" applyNumberFormat="1"/>
    <xf numFmtId="44" fontId="0" fillId="0" borderId="13" xfId="2" applyFont="1" applyFill="1" applyBorder="1"/>
    <xf numFmtId="0" fontId="0" fillId="0" borderId="39" xfId="0" applyFill="1" applyBorder="1"/>
    <xf numFmtId="0" fontId="0" fillId="0" borderId="48" xfId="0" applyFill="1" applyBorder="1"/>
    <xf numFmtId="44" fontId="16" fillId="0" borderId="47" xfId="0" applyNumberFormat="1" applyFont="1" applyFill="1" applyBorder="1"/>
    <xf numFmtId="164" fontId="0" fillId="0" borderId="0" xfId="2" applyNumberFormat="1" applyFont="1" applyFill="1"/>
    <xf numFmtId="43" fontId="16" fillId="0" borderId="0" xfId="0" applyNumberFormat="1" applyFont="1"/>
    <xf numFmtId="4" fontId="0" fillId="0" borderId="0" xfId="0" applyNumberFormat="1" applyFont="1"/>
    <xf numFmtId="0" fontId="0" fillId="0" borderId="47" xfId="0" applyBorder="1"/>
    <xf numFmtId="0" fontId="0" fillId="0" borderId="0" xfId="0" applyBorder="1"/>
    <xf numFmtId="0" fontId="0" fillId="0" borderId="13" xfId="0" applyBorder="1"/>
    <xf numFmtId="0" fontId="16" fillId="79" borderId="48" xfId="0" applyFont="1" applyFill="1" applyBorder="1" applyAlignment="1">
      <alignment horizontal="center"/>
    </xf>
    <xf numFmtId="0" fontId="104" fillId="0" borderId="0" xfId="0" applyFont="1" applyFill="1" applyAlignment="1">
      <alignment horizontal="right"/>
    </xf>
    <xf numFmtId="0" fontId="104" fillId="77" borderId="0" xfId="0" applyFont="1" applyFill="1" applyAlignment="1">
      <alignment horizontal="right"/>
    </xf>
    <xf numFmtId="0" fontId="21" fillId="33" borderId="0" xfId="0" applyFont="1" applyFill="1" applyBorder="1"/>
    <xf numFmtId="0" fontId="21" fillId="33" borderId="0" xfId="0" applyFont="1" applyFill="1"/>
    <xf numFmtId="0" fontId="31" fillId="33" borderId="0" xfId="0" applyFont="1" applyFill="1"/>
    <xf numFmtId="43" fontId="27" fillId="0" borderId="0" xfId="4" applyNumberFormat="1" applyFont="1" applyFill="1"/>
    <xf numFmtId="0" fontId="16" fillId="0" borderId="50" xfId="0" applyFont="1" applyBorder="1" applyAlignment="1">
      <alignment horizontal="center"/>
    </xf>
    <xf numFmtId="8" fontId="0" fillId="0" borderId="0" xfId="0" applyNumberFormat="1"/>
    <xf numFmtId="43" fontId="0" fillId="0" borderId="39" xfId="1" applyFont="1" applyFill="1" applyBorder="1"/>
    <xf numFmtId="44" fontId="16" fillId="0" borderId="49" xfId="0" applyNumberFormat="1" applyFont="1" applyBorder="1"/>
    <xf numFmtId="44" fontId="16" fillId="0" borderId="50" xfId="0" applyNumberFormat="1" applyFont="1" applyBorder="1"/>
    <xf numFmtId="44" fontId="104" fillId="0" borderId="0" xfId="2" applyFont="1" applyFill="1" applyBorder="1"/>
    <xf numFmtId="0" fontId="0" fillId="0" borderId="50" xfId="0" applyBorder="1"/>
    <xf numFmtId="0" fontId="16" fillId="0" borderId="50" xfId="0" applyFont="1" applyFill="1" applyBorder="1" applyAlignment="1">
      <alignment horizontal="center"/>
    </xf>
    <xf numFmtId="43" fontId="0" fillId="0" borderId="0" xfId="0" applyNumberFormat="1" applyFill="1" applyBorder="1"/>
    <xf numFmtId="0" fontId="0" fillId="0" borderId="49" xfId="0" applyFill="1" applyBorder="1"/>
    <xf numFmtId="44" fontId="16" fillId="0" borderId="50" xfId="0" applyNumberFormat="1" applyFont="1" applyFill="1" applyBorder="1"/>
    <xf numFmtId="0" fontId="0" fillId="0" borderId="51" xfId="0" applyFill="1" applyBorder="1"/>
    <xf numFmtId="0" fontId="0" fillId="0" borderId="13" xfId="0" applyFill="1" applyBorder="1"/>
    <xf numFmtId="0" fontId="16" fillId="33" borderId="48" xfId="0" applyFont="1" applyFill="1" applyBorder="1" applyAlignment="1">
      <alignment horizontal="center"/>
    </xf>
    <xf numFmtId="44" fontId="0" fillId="0" borderId="0" xfId="0" applyNumberFormat="1" applyFill="1" applyBorder="1"/>
    <xf numFmtId="41" fontId="0" fillId="0" borderId="0" xfId="1" applyNumberFormat="1" applyFont="1"/>
    <xf numFmtId="173" fontId="0" fillId="0" borderId="0" xfId="1" applyNumberFormat="1" applyFont="1" applyFill="1" applyBorder="1"/>
    <xf numFmtId="173" fontId="0" fillId="0" borderId="13" xfId="1" applyNumberFormat="1" applyFont="1" applyBorder="1"/>
    <xf numFmtId="174" fontId="0" fillId="0" borderId="0" xfId="0" applyNumberFormat="1" applyFont="1"/>
    <xf numFmtId="173" fontId="0" fillId="0" borderId="0" xfId="0" applyNumberFormat="1" applyFont="1"/>
    <xf numFmtId="42" fontId="16" fillId="0" borderId="0" xfId="0" applyNumberFormat="1" applyFont="1"/>
    <xf numFmtId="0" fontId="16" fillId="0" borderId="41" xfId="0" applyFont="1" applyBorder="1"/>
    <xf numFmtId="0" fontId="0" fillId="75" borderId="45" xfId="0" applyFont="1" applyFill="1" applyBorder="1" applyAlignment="1">
      <alignment horizontal="center"/>
    </xf>
    <xf numFmtId="42" fontId="0" fillId="0" borderId="0" xfId="0" applyNumberFormat="1" applyFont="1"/>
    <xf numFmtId="0" fontId="0" fillId="0" borderId="34" xfId="0" applyFont="1" applyBorder="1"/>
    <xf numFmtId="42" fontId="0" fillId="0" borderId="0" xfId="0" applyNumberFormat="1" applyFont="1" applyFill="1" applyBorder="1"/>
    <xf numFmtId="42" fontId="16" fillId="0" borderId="0" xfId="2" applyNumberFormat="1" applyFont="1" applyFill="1" applyBorder="1"/>
    <xf numFmtId="10" fontId="0" fillId="0" borderId="0" xfId="0" applyNumberFormat="1" applyFont="1" applyFill="1" applyBorder="1" applyAlignment="1">
      <alignment horizontal="right"/>
    </xf>
    <xf numFmtId="43" fontId="0" fillId="78" borderId="0" xfId="1" applyFont="1" applyFill="1" applyBorder="1"/>
    <xf numFmtId="0" fontId="0" fillId="0" borderId="0" xfId="0"/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6" fillId="0" borderId="0" xfId="0" applyFont="1"/>
    <xf numFmtId="0" fontId="0" fillId="0" borderId="0" xfId="0" applyFont="1" applyAlignment="1">
      <alignment horizontal="left" indent="1"/>
    </xf>
    <xf numFmtId="0" fontId="0" fillId="76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0" fillId="0" borderId="0" xfId="0" applyFont="1" applyBorder="1"/>
    <xf numFmtId="175" fontId="0" fillId="0" borderId="0" xfId="0" applyNumberFormat="1" applyFont="1"/>
    <xf numFmtId="176" fontId="0" fillId="0" borderId="0" xfId="0" applyNumberFormat="1" applyFont="1"/>
    <xf numFmtId="0" fontId="16" fillId="0" borderId="0" xfId="0" applyFont="1" applyFill="1" applyBorder="1"/>
    <xf numFmtId="44" fontId="0" fillId="0" borderId="0" xfId="2" applyFont="1" applyFill="1" applyBorder="1"/>
    <xf numFmtId="0" fontId="0" fillId="0" borderId="0" xfId="0" applyFont="1" applyFill="1" applyBorder="1"/>
    <xf numFmtId="44" fontId="16" fillId="0" borderId="0" xfId="0" applyNumberFormat="1" applyFont="1" applyFill="1" applyBorder="1"/>
    <xf numFmtId="165" fontId="0" fillId="0" borderId="0" xfId="1" applyNumberFormat="1" applyFont="1" applyFill="1" applyBorder="1"/>
    <xf numFmtId="0" fontId="16" fillId="75" borderId="13" xfId="0" applyFont="1" applyFill="1" applyBorder="1"/>
    <xf numFmtId="0" fontId="0" fillId="75" borderId="13" xfId="0" applyFont="1" applyFill="1" applyBorder="1" applyAlignment="1">
      <alignment horizontal="center"/>
    </xf>
    <xf numFmtId="165" fontId="0" fillId="0" borderId="0" xfId="1" applyNumberFormat="1" applyFont="1"/>
    <xf numFmtId="43" fontId="0" fillId="0" borderId="0" xfId="1" applyFont="1"/>
    <xf numFmtId="0" fontId="16" fillId="0" borderId="40" xfId="0" applyFont="1" applyBorder="1"/>
    <xf numFmtId="0" fontId="0" fillId="0" borderId="12" xfId="0" applyFont="1" applyBorder="1"/>
    <xf numFmtId="0" fontId="0" fillId="0" borderId="43" xfId="0" applyFont="1" applyBorder="1"/>
    <xf numFmtId="44" fontId="0" fillId="0" borderId="0" xfId="2" applyFont="1" applyFill="1"/>
    <xf numFmtId="172" fontId="0" fillId="0" borderId="0" xfId="2" applyNumberFormat="1" applyFont="1" applyFill="1"/>
    <xf numFmtId="172" fontId="0" fillId="0" borderId="13" xfId="2" applyNumberFormat="1" applyFont="1" applyFill="1" applyBorder="1"/>
    <xf numFmtId="174" fontId="0" fillId="0" borderId="0" xfId="2" applyNumberFormat="1" applyFont="1" applyFill="1"/>
    <xf numFmtId="44" fontId="0" fillId="0" borderId="0" xfId="0" applyNumberFormat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43" fontId="0" fillId="0" borderId="0" xfId="1" applyFont="1" applyAlignment="1">
      <alignment horizontal="center"/>
    </xf>
    <xf numFmtId="43" fontId="21" fillId="0" borderId="0" xfId="1" applyFont="1" applyFill="1"/>
    <xf numFmtId="43" fontId="21" fillId="33" borderId="0" xfId="1" applyFont="1" applyFill="1"/>
    <xf numFmtId="0" fontId="104" fillId="0" borderId="0" xfId="1172" applyFont="1" applyFill="1" applyBorder="1"/>
    <xf numFmtId="4" fontId="103" fillId="80" borderId="13" xfId="1172" applyNumberFormat="1" applyFont="1" applyFill="1" applyBorder="1" applyAlignment="1">
      <alignment horizontal="center" vertical="center" wrapText="1"/>
    </xf>
    <xf numFmtId="0" fontId="16" fillId="80" borderId="1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104" fillId="0" borderId="0" xfId="1171" applyNumberFormat="1" applyFont="1" applyFill="1" applyBorder="1" applyAlignment="1">
      <alignment horizontal="right"/>
    </xf>
    <xf numFmtId="3" fontId="103" fillId="0" borderId="0" xfId="1171" applyNumberFormat="1" applyFont="1" applyFill="1" applyBorder="1" applyAlignment="1">
      <alignment horizontal="right"/>
    </xf>
    <xf numFmtId="3" fontId="103" fillId="80" borderId="13" xfId="1172" applyNumberFormat="1" applyFont="1" applyFill="1" applyBorder="1" applyAlignment="1">
      <alignment horizontal="center" vertical="center" wrapText="1"/>
    </xf>
    <xf numFmtId="3" fontId="104" fillId="0" borderId="0" xfId="1172" applyNumberFormat="1" applyFont="1" applyFill="1" applyBorder="1" applyAlignment="1">
      <alignment horizontal="right"/>
    </xf>
    <xf numFmtId="3" fontId="0" fillId="0" borderId="0" xfId="0" applyNumberFormat="1" applyFont="1" applyBorder="1"/>
    <xf numFmtId="3" fontId="0" fillId="0" borderId="0" xfId="0" applyNumberFormat="1" applyFont="1" applyFill="1" applyBorder="1"/>
    <xf numFmtId="43" fontId="104" fillId="0" borderId="0" xfId="1" applyFont="1" applyFill="1" applyBorder="1" applyAlignment="1">
      <alignment horizontal="right"/>
    </xf>
    <xf numFmtId="43" fontId="103" fillId="0" borderId="0" xfId="1" applyFont="1" applyFill="1" applyBorder="1" applyAlignment="1">
      <alignment horizontal="right"/>
    </xf>
    <xf numFmtId="43" fontId="16" fillId="80" borderId="13" xfId="1" applyFont="1" applyFill="1" applyBorder="1" applyAlignment="1">
      <alignment horizontal="center" vertical="center" wrapText="1"/>
    </xf>
    <xf numFmtId="43" fontId="0" fillId="0" borderId="0" xfId="1" applyFont="1" applyBorder="1"/>
    <xf numFmtId="165" fontId="104" fillId="0" borderId="0" xfId="1" applyNumberFormat="1" applyFont="1" applyFill="1" applyBorder="1" applyAlignment="1">
      <alignment horizontal="right"/>
    </xf>
    <xf numFmtId="165" fontId="103" fillId="0" borderId="0" xfId="1" applyNumberFormat="1" applyFont="1" applyFill="1" applyBorder="1" applyAlignment="1">
      <alignment horizontal="right"/>
    </xf>
    <xf numFmtId="165" fontId="103" fillId="80" borderId="13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Border="1"/>
    <xf numFmtId="165" fontId="0" fillId="0" borderId="0" xfId="0" applyNumberFormat="1" applyFont="1" applyBorder="1"/>
    <xf numFmtId="0" fontId="21" fillId="81" borderId="0" xfId="0" applyFont="1" applyFill="1"/>
    <xf numFmtId="43" fontId="21" fillId="81" borderId="0" xfId="5" applyFont="1" applyFill="1" applyBorder="1"/>
    <xf numFmtId="43" fontId="20" fillId="81" borderId="0" xfId="5" applyFont="1" applyFill="1" applyAlignment="1">
      <alignment horizontal="center"/>
    </xf>
    <xf numFmtId="165" fontId="20" fillId="81" borderId="0" xfId="5" applyNumberFormat="1" applyFont="1" applyFill="1"/>
    <xf numFmtId="0" fontId="20" fillId="81" borderId="0" xfId="4" applyFont="1" applyFill="1"/>
    <xf numFmtId="165" fontId="21" fillId="81" borderId="0" xfId="5" applyNumberFormat="1" applyFont="1" applyFill="1"/>
    <xf numFmtId="43" fontId="20" fillId="81" borderId="0" xfId="4" applyNumberFormat="1" applyFont="1" applyFill="1"/>
    <xf numFmtId="165" fontId="20" fillId="81" borderId="0" xfId="1" applyNumberFormat="1" applyFont="1" applyFill="1"/>
    <xf numFmtId="165" fontId="20" fillId="81" borderId="0" xfId="4" applyNumberFormat="1" applyFont="1" applyFill="1"/>
    <xf numFmtId="0" fontId="27" fillId="81" borderId="0" xfId="4" applyFont="1" applyFill="1"/>
    <xf numFmtId="43" fontId="27" fillId="81" borderId="0" xfId="4" applyNumberFormat="1" applyFont="1" applyFill="1"/>
    <xf numFmtId="43" fontId="27" fillId="81" borderId="0" xfId="1" applyFont="1" applyFill="1"/>
    <xf numFmtId="0" fontId="21" fillId="82" borderId="0" xfId="0" applyFont="1" applyFill="1"/>
    <xf numFmtId="43" fontId="21" fillId="82" borderId="0" xfId="5" applyFont="1" applyFill="1" applyBorder="1"/>
    <xf numFmtId="43" fontId="20" fillId="82" borderId="0" xfId="5" applyFont="1" applyFill="1" applyAlignment="1">
      <alignment horizontal="center"/>
    </xf>
    <xf numFmtId="165" fontId="20" fillId="82" borderId="0" xfId="5" applyNumberFormat="1" applyFont="1" applyFill="1"/>
    <xf numFmtId="0" fontId="20" fillId="82" borderId="0" xfId="4" applyFont="1" applyFill="1"/>
    <xf numFmtId="165" fontId="21" fillId="82" borderId="0" xfId="5" applyNumberFormat="1" applyFont="1" applyFill="1"/>
    <xf numFmtId="43" fontId="20" fillId="82" borderId="0" xfId="4" applyNumberFormat="1" applyFont="1" applyFill="1"/>
    <xf numFmtId="165" fontId="20" fillId="82" borderId="0" xfId="1" applyNumberFormat="1" applyFont="1" applyFill="1"/>
    <xf numFmtId="165" fontId="20" fillId="82" borderId="0" xfId="4" applyNumberFormat="1" applyFont="1" applyFill="1"/>
    <xf numFmtId="0" fontId="27" fillId="82" borderId="0" xfId="4" applyFont="1" applyFill="1"/>
    <xf numFmtId="43" fontId="27" fillId="82" borderId="0" xfId="4" applyNumberFormat="1" applyFont="1" applyFill="1"/>
    <xf numFmtId="43" fontId="27" fillId="82" borderId="0" xfId="1" applyFont="1" applyFill="1"/>
    <xf numFmtId="0" fontId="21" fillId="83" borderId="0" xfId="0" applyFont="1" applyFill="1"/>
    <xf numFmtId="43" fontId="21" fillId="83" borderId="0" xfId="5" applyFont="1" applyFill="1" applyBorder="1"/>
    <xf numFmtId="43" fontId="20" fillId="83" borderId="0" xfId="5" applyFont="1" applyFill="1" applyAlignment="1">
      <alignment horizontal="center"/>
    </xf>
    <xf numFmtId="165" fontId="20" fillId="83" borderId="0" xfId="5" applyNumberFormat="1" applyFont="1" applyFill="1"/>
    <xf numFmtId="0" fontId="20" fillId="83" borderId="0" xfId="4" applyFont="1" applyFill="1"/>
    <xf numFmtId="165" fontId="21" fillId="83" borderId="0" xfId="5" applyNumberFormat="1" applyFont="1" applyFill="1"/>
    <xf numFmtId="43" fontId="20" fillId="83" borderId="0" xfId="4" applyNumberFormat="1" applyFont="1" applyFill="1"/>
    <xf numFmtId="165" fontId="20" fillId="83" borderId="0" xfId="1" applyNumberFormat="1" applyFont="1" applyFill="1"/>
    <xf numFmtId="165" fontId="20" fillId="83" borderId="0" xfId="4" applyNumberFormat="1" applyFont="1" applyFill="1"/>
    <xf numFmtId="0" fontId="27" fillId="83" borderId="0" xfId="4" applyFont="1" applyFill="1"/>
    <xf numFmtId="43" fontId="27" fillId="83" borderId="0" xfId="4" applyNumberFormat="1" applyFont="1" applyFill="1"/>
    <xf numFmtId="43" fontId="27" fillId="83" borderId="0" xfId="1" applyFont="1" applyFill="1"/>
    <xf numFmtId="0" fontId="21" fillId="84" borderId="0" xfId="0" applyFont="1" applyFill="1"/>
    <xf numFmtId="43" fontId="21" fillId="84" borderId="0" xfId="5" applyFont="1" applyFill="1" applyBorder="1"/>
    <xf numFmtId="43" fontId="20" fillId="84" borderId="0" xfId="5" applyFont="1" applyFill="1" applyAlignment="1">
      <alignment horizontal="center"/>
    </xf>
    <xf numFmtId="165" fontId="20" fillId="84" borderId="0" xfId="5" applyNumberFormat="1" applyFont="1" applyFill="1"/>
    <xf numFmtId="0" fontId="20" fillId="84" borderId="0" xfId="4" applyFont="1" applyFill="1"/>
    <xf numFmtId="165" fontId="21" fillId="84" borderId="0" xfId="5" applyNumberFormat="1" applyFont="1" applyFill="1"/>
    <xf numFmtId="43" fontId="20" fillId="84" borderId="0" xfId="4" applyNumberFormat="1" applyFont="1" applyFill="1"/>
    <xf numFmtId="165" fontId="20" fillId="84" borderId="0" xfId="1" applyNumberFormat="1" applyFont="1" applyFill="1"/>
    <xf numFmtId="165" fontId="20" fillId="84" borderId="0" xfId="4" applyNumberFormat="1" applyFont="1" applyFill="1"/>
    <xf numFmtId="0" fontId="27" fillId="84" borderId="0" xfId="4" applyFont="1" applyFill="1"/>
    <xf numFmtId="43" fontId="27" fillId="84" borderId="0" xfId="4" applyNumberFormat="1" applyFont="1" applyFill="1"/>
    <xf numFmtId="43" fontId="27" fillId="84" borderId="0" xfId="1" applyFont="1" applyFill="1"/>
    <xf numFmtId="0" fontId="21" fillId="85" borderId="0" xfId="0" applyFont="1" applyFill="1"/>
    <xf numFmtId="43" fontId="21" fillId="85" borderId="0" xfId="5" applyFont="1" applyFill="1" applyBorder="1"/>
    <xf numFmtId="43" fontId="20" fillId="85" borderId="0" xfId="5" applyFont="1" applyFill="1" applyAlignment="1">
      <alignment horizontal="center"/>
    </xf>
    <xf numFmtId="165" fontId="20" fillId="85" borderId="0" xfId="5" applyNumberFormat="1" applyFont="1" applyFill="1"/>
    <xf numFmtId="0" fontId="20" fillId="85" borderId="0" xfId="4" applyFont="1" applyFill="1"/>
    <xf numFmtId="165" fontId="21" fillId="85" borderId="0" xfId="5" applyNumberFormat="1" applyFont="1" applyFill="1"/>
    <xf numFmtId="43" fontId="20" fillId="85" borderId="0" xfId="4" applyNumberFormat="1" applyFont="1" applyFill="1"/>
    <xf numFmtId="165" fontId="20" fillId="85" borderId="0" xfId="1" applyNumberFormat="1" applyFont="1" applyFill="1"/>
    <xf numFmtId="165" fontId="20" fillId="85" borderId="0" xfId="4" applyNumberFormat="1" applyFont="1" applyFill="1"/>
    <xf numFmtId="0" fontId="27" fillId="85" borderId="0" xfId="4" applyFont="1" applyFill="1"/>
    <xf numFmtId="43" fontId="27" fillId="85" borderId="0" xfId="4" applyNumberFormat="1" applyFont="1" applyFill="1"/>
    <xf numFmtId="43" fontId="27" fillId="85" borderId="0" xfId="1" applyFont="1" applyFill="1"/>
    <xf numFmtId="43" fontId="0" fillId="0" borderId="0" xfId="0" applyNumberFormat="1" applyFont="1" applyBorder="1"/>
    <xf numFmtId="0" fontId="103" fillId="81" borderId="0" xfId="1172" applyFont="1" applyFill="1" applyBorder="1"/>
    <xf numFmtId="0" fontId="103" fillId="81" borderId="0" xfId="1172" applyFont="1" applyFill="1" applyBorder="1" applyAlignment="1">
      <alignment horizontal="left"/>
    </xf>
    <xf numFmtId="4" fontId="104" fillId="81" borderId="0" xfId="1172" applyNumberFormat="1" applyFont="1" applyFill="1" applyBorder="1" applyAlignment="1">
      <alignment horizontal="right"/>
    </xf>
    <xf numFmtId="165" fontId="104" fillId="81" borderId="0" xfId="1" applyNumberFormat="1" applyFont="1" applyFill="1" applyBorder="1" applyAlignment="1">
      <alignment horizontal="right"/>
    </xf>
    <xf numFmtId="3" fontId="104" fillId="81" borderId="0" xfId="1172" applyNumberFormat="1" applyFont="1" applyFill="1" applyBorder="1" applyAlignment="1">
      <alignment horizontal="right"/>
    </xf>
    <xf numFmtId="43" fontId="104" fillId="81" borderId="0" xfId="1" applyFont="1" applyFill="1" applyBorder="1" applyAlignment="1">
      <alignment horizontal="right"/>
    </xf>
    <xf numFmtId="0" fontId="0" fillId="81" borderId="0" xfId="0" applyFont="1" applyFill="1" applyBorder="1"/>
    <xf numFmtId="165" fontId="104" fillId="81" borderId="0" xfId="1" applyNumberFormat="1" applyFont="1" applyFill="1" applyBorder="1" applyAlignment="1">
      <alignment horizontal="left"/>
    </xf>
    <xf numFmtId="43" fontId="0" fillId="81" borderId="0" xfId="0" applyNumberFormat="1" applyFont="1" applyFill="1" applyBorder="1"/>
    <xf numFmtId="43" fontId="0" fillId="81" borderId="0" xfId="1" applyFont="1" applyFill="1" applyBorder="1"/>
    <xf numFmtId="44" fontId="0" fillId="36" borderId="0" xfId="2" applyFont="1" applyFill="1"/>
    <xf numFmtId="4" fontId="104" fillId="0" borderId="53" xfId="1172" applyNumberFormat="1" applyFont="1" applyFill="1" applyBorder="1" applyAlignment="1">
      <alignment horizontal="right"/>
    </xf>
    <xf numFmtId="165" fontId="103" fillId="0" borderId="53" xfId="1172" applyNumberFormat="1" applyFont="1" applyFill="1" applyBorder="1" applyAlignment="1">
      <alignment horizontal="left"/>
    </xf>
    <xf numFmtId="0" fontId="103" fillId="0" borderId="53" xfId="1172" applyFont="1" applyBorder="1" applyAlignment="1">
      <alignment horizontal="right"/>
    </xf>
    <xf numFmtId="43" fontId="0" fillId="0" borderId="52" xfId="0" applyNumberFormat="1" applyFont="1" applyBorder="1"/>
    <xf numFmtId="165" fontId="103" fillId="0" borderId="52" xfId="1" applyNumberFormat="1" applyFont="1" applyFill="1" applyBorder="1" applyAlignment="1">
      <alignment horizontal="left"/>
    </xf>
    <xf numFmtId="43" fontId="104" fillId="86" borderId="0" xfId="1" applyNumberFormat="1" applyFont="1" applyFill="1" applyBorder="1" applyAlignment="1">
      <alignment horizontal="left"/>
    </xf>
    <xf numFmtId="43" fontId="0" fillId="0" borderId="53" xfId="0" applyNumberFormat="1" applyFont="1" applyBorder="1"/>
    <xf numFmtId="43" fontId="0" fillId="86" borderId="0" xfId="1" applyFont="1" applyFill="1" applyBorder="1"/>
    <xf numFmtId="3" fontId="104" fillId="86" borderId="0" xfId="1172" applyNumberFormat="1" applyFont="1" applyFill="1" applyBorder="1" applyAlignment="1">
      <alignment horizontal="right"/>
    </xf>
    <xf numFmtId="165" fontId="104" fillId="86" borderId="0" xfId="1" applyNumberFormat="1" applyFont="1" applyFill="1" applyBorder="1" applyAlignment="1">
      <alignment horizontal="right"/>
    </xf>
    <xf numFmtId="0" fontId="107" fillId="86" borderId="0" xfId="1172" applyFont="1" applyFill="1" applyBorder="1" applyAlignment="1">
      <alignment horizontal="right"/>
    </xf>
    <xf numFmtId="0" fontId="104" fillId="86" borderId="0" xfId="1172" applyFont="1" applyFill="1" applyBorder="1" applyAlignment="1">
      <alignment horizontal="left"/>
    </xf>
    <xf numFmtId="0" fontId="107" fillId="0" borderId="0" xfId="1172" applyFont="1" applyFill="1" applyBorder="1" applyAlignment="1">
      <alignment horizontal="right"/>
    </xf>
    <xf numFmtId="44" fontId="0" fillId="36" borderId="13" xfId="2" applyFont="1" applyFill="1" applyBorder="1"/>
    <xf numFmtId="43" fontId="104" fillId="86" borderId="0" xfId="1" applyFont="1" applyFill="1" applyBorder="1" applyAlignment="1">
      <alignment horizontal="right"/>
    </xf>
    <xf numFmtId="0" fontId="103" fillId="0" borderId="52" xfId="1172" applyFont="1" applyBorder="1" applyAlignment="1">
      <alignment horizontal="right"/>
    </xf>
    <xf numFmtId="43" fontId="0" fillId="86" borderId="0" xfId="0" applyNumberFormat="1" applyFont="1" applyFill="1" applyBorder="1"/>
    <xf numFmtId="0" fontId="0" fillId="86" borderId="0" xfId="0" applyFont="1" applyFill="1" applyBorder="1"/>
    <xf numFmtId="4" fontId="104" fillId="86" borderId="0" xfId="1172" applyNumberFormat="1" applyFont="1" applyFill="1" applyBorder="1" applyAlignment="1">
      <alignment horizontal="right"/>
    </xf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165" fontId="16" fillId="0" borderId="13" xfId="1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/>
    <xf numFmtId="0" fontId="0" fillId="0" borderId="0" xfId="0" applyFont="1" applyFill="1"/>
    <xf numFmtId="42" fontId="0" fillId="0" borderId="0" xfId="0" applyNumberFormat="1" applyFont="1" applyFill="1"/>
    <xf numFmtId="42" fontId="0" fillId="0" borderId="13" xfId="0" applyNumberFormat="1" applyFont="1" applyFill="1" applyBorder="1"/>
    <xf numFmtId="42" fontId="16" fillId="0" borderId="0" xfId="0" applyNumberFormat="1" applyFont="1" applyFill="1"/>
    <xf numFmtId="10" fontId="0" fillId="0" borderId="0" xfId="3" applyNumberFormat="1" applyFont="1" applyFill="1"/>
    <xf numFmtId="0" fontId="16" fillId="75" borderId="0" xfId="0" applyFont="1" applyFill="1"/>
    <xf numFmtId="0" fontId="0" fillId="75" borderId="0" xfId="0" applyFill="1"/>
    <xf numFmtId="3" fontId="0" fillId="36" borderId="0" xfId="1" applyNumberFormat="1" applyFont="1" applyFill="1" applyBorder="1" applyAlignment="1">
      <alignment horizontal="right"/>
    </xf>
    <xf numFmtId="3" fontId="0" fillId="36" borderId="0" xfId="0" applyNumberFormat="1" applyFont="1" applyFill="1" applyBorder="1" applyAlignment="1">
      <alignment horizontal="right"/>
    </xf>
    <xf numFmtId="165" fontId="0" fillId="36" borderId="13" xfId="1" applyNumberFormat="1" applyFont="1" applyFill="1" applyBorder="1"/>
    <xf numFmtId="42" fontId="0" fillId="36" borderId="42" xfId="0" applyNumberFormat="1" applyFont="1" applyFill="1" applyBorder="1"/>
    <xf numFmtId="165" fontId="0" fillId="81" borderId="0" xfId="1" applyNumberFormat="1" applyFont="1" applyFill="1" applyBorder="1"/>
    <xf numFmtId="165" fontId="0" fillId="86" borderId="0" xfId="1" applyNumberFormat="1" applyFont="1" applyFill="1" applyBorder="1"/>
    <xf numFmtId="4" fontId="103" fillId="36" borderId="0" xfId="1172" applyNumberFormat="1" applyFont="1" applyFill="1" applyBorder="1" applyAlignment="1">
      <alignment horizontal="center" vertical="center" wrapText="1"/>
    </xf>
    <xf numFmtId="165" fontId="103" fillId="36" borderId="0" xfId="1" applyNumberFormat="1" applyFont="1" applyFill="1" applyBorder="1" applyAlignment="1">
      <alignment horizontal="center" vertical="center" wrapText="1"/>
    </xf>
    <xf numFmtId="3" fontId="103" fillId="36" borderId="0" xfId="1172" applyNumberFormat="1" applyFont="1" applyFill="1" applyBorder="1" applyAlignment="1">
      <alignment horizontal="center" vertical="center" wrapText="1"/>
    </xf>
    <xf numFmtId="43" fontId="16" fillId="36" borderId="0" xfId="1" applyFont="1" applyFill="1" applyBorder="1" applyAlignment="1">
      <alignment horizontal="center" vertical="center" wrapText="1"/>
    </xf>
    <xf numFmtId="0" fontId="16" fillId="36" borderId="0" xfId="0" applyFont="1" applyFill="1" applyBorder="1" applyAlignment="1">
      <alignment horizontal="center" vertical="center" wrapText="1"/>
    </xf>
    <xf numFmtId="4" fontId="108" fillId="36" borderId="0" xfId="1172" applyNumberFormat="1" applyFont="1" applyFill="1" applyBorder="1" applyAlignment="1">
      <alignment horizontal="center" vertical="center" wrapText="1"/>
    </xf>
    <xf numFmtId="0" fontId="103" fillId="0" borderId="0" xfId="1172" applyFont="1" applyBorder="1" applyAlignment="1">
      <alignment horizontal="right"/>
    </xf>
    <xf numFmtId="165" fontId="103" fillId="0" borderId="0" xfId="1" applyNumberFormat="1" applyFont="1" applyFill="1" applyBorder="1" applyAlignment="1">
      <alignment horizontal="left"/>
    </xf>
    <xf numFmtId="0" fontId="104" fillId="86" borderId="0" xfId="1172" applyFont="1" applyFill="1" applyBorder="1"/>
    <xf numFmtId="165" fontId="104" fillId="86" borderId="0" xfId="1" applyNumberFormat="1" applyFont="1" applyFill="1" applyBorder="1" applyAlignment="1">
      <alignment horizontal="left"/>
    </xf>
    <xf numFmtId="3" fontId="0" fillId="86" borderId="0" xfId="0" applyNumberFormat="1" applyFont="1" applyFill="1" applyBorder="1"/>
    <xf numFmtId="43" fontId="104" fillId="86" borderId="0" xfId="1" applyNumberFormat="1" applyFont="1" applyFill="1" applyBorder="1" applyAlignment="1">
      <alignment horizontal="right"/>
    </xf>
    <xf numFmtId="0" fontId="103" fillId="0" borderId="0" xfId="1171" applyFont="1" applyFill="1" applyBorder="1"/>
    <xf numFmtId="165" fontId="16" fillId="80" borderId="13" xfId="1" applyNumberFormat="1" applyFont="1" applyFill="1" applyBorder="1" applyAlignment="1">
      <alignment horizontal="center" vertical="center" wrapText="1"/>
    </xf>
    <xf numFmtId="165" fontId="16" fillId="36" borderId="0" xfId="1" applyNumberFormat="1" applyFont="1" applyFill="1" applyBorder="1" applyAlignment="1">
      <alignment horizontal="center" vertical="center" wrapText="1"/>
    </xf>
    <xf numFmtId="165" fontId="103" fillId="0" borderId="53" xfId="1" applyNumberFormat="1" applyFont="1" applyFill="1" applyBorder="1" applyAlignment="1">
      <alignment horizontal="left"/>
    </xf>
    <xf numFmtId="43" fontId="0" fillId="0" borderId="0" xfId="0" applyNumberFormat="1" applyFont="1" applyFill="1" applyBorder="1"/>
    <xf numFmtId="10" fontId="0" fillId="0" borderId="0" xfId="3" applyNumberFormat="1" applyFont="1"/>
    <xf numFmtId="0" fontId="16" fillId="0" borderId="0" xfId="0" applyFont="1" applyFill="1" applyAlignment="1">
      <alignment horizontal="right"/>
    </xf>
    <xf numFmtId="0" fontId="104" fillId="0" borderId="13" xfId="1172" applyFont="1" applyFill="1" applyBorder="1"/>
    <xf numFmtId="0" fontId="104" fillId="0" borderId="13" xfId="1172" applyFont="1" applyFill="1" applyBorder="1" applyAlignment="1">
      <alignment horizontal="left"/>
    </xf>
    <xf numFmtId="4" fontId="103" fillId="0" borderId="13" xfId="1172" applyNumberFormat="1" applyFont="1" applyFill="1" applyBorder="1" applyAlignment="1">
      <alignment horizontal="center" wrapText="1"/>
    </xf>
    <xf numFmtId="0" fontId="0" fillId="0" borderId="13" xfId="0" applyFont="1" applyFill="1" applyBorder="1"/>
    <xf numFmtId="4" fontId="103" fillId="0" borderId="0" xfId="1172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3" fillId="0" borderId="0" xfId="1172" applyFont="1" applyFill="1" applyBorder="1" applyAlignment="1">
      <alignment horizontal="left"/>
    </xf>
    <xf numFmtId="2" fontId="0" fillId="0" borderId="0" xfId="0" applyNumberFormat="1" applyFont="1" applyBorder="1"/>
    <xf numFmtId="4" fontId="0" fillId="0" borderId="0" xfId="0" applyNumberFormat="1" applyFont="1" applyBorder="1"/>
    <xf numFmtId="0" fontId="0" fillId="0" borderId="0" xfId="0" applyFont="1" applyAlignment="1">
      <alignment horizontal="left"/>
    </xf>
    <xf numFmtId="43" fontId="0" fillId="0" borderId="0" xfId="1" applyFont="1" applyBorder="1" applyAlignment="1">
      <alignment vertical="center"/>
    </xf>
    <xf numFmtId="0" fontId="0" fillId="7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6" fillId="75" borderId="13" xfId="0" applyFont="1" applyFill="1" applyBorder="1" applyAlignment="1">
      <alignment horizontal="center"/>
    </xf>
    <xf numFmtId="0" fontId="107" fillId="0" borderId="0" xfId="1171" applyFont="1" applyFill="1" applyBorder="1" applyAlignment="1">
      <alignment horizontal="center"/>
    </xf>
    <xf numFmtId="0" fontId="16" fillId="75" borderId="0" xfId="0" applyFont="1" applyFill="1" applyBorder="1" applyAlignment="1">
      <alignment horizontal="center"/>
    </xf>
    <xf numFmtId="4" fontId="108" fillId="36" borderId="0" xfId="1172" applyNumberFormat="1" applyFont="1" applyFill="1" applyBorder="1" applyAlignment="1">
      <alignment horizontal="left" vertical="center" wrapText="1"/>
    </xf>
    <xf numFmtId="165" fontId="18" fillId="37" borderId="0" xfId="1" applyNumberFormat="1" applyFont="1" applyFill="1" applyAlignment="1">
      <alignment horizontal="center" wrapText="1"/>
    </xf>
    <xf numFmtId="0" fontId="26" fillId="37" borderId="0" xfId="0" applyFont="1" applyFill="1" applyBorder="1" applyAlignment="1">
      <alignment horizontal="center"/>
    </xf>
    <xf numFmtId="44" fontId="0" fillId="36" borderId="0" xfId="2" applyFont="1" applyFill="1" applyBorder="1"/>
    <xf numFmtId="172" fontId="0" fillId="0" borderId="0" xfId="2" applyNumberFormat="1" applyFont="1" applyFill="1" applyBorder="1"/>
  </cellXfs>
  <cellStyles count="1307">
    <cellStyle name="20% - Accent1 2" xfId="7"/>
    <cellStyle name="20% - Accent1 2 2" xfId="8"/>
    <cellStyle name="20% - Accent1 2 3" xfId="9"/>
    <cellStyle name="20% - Accent1 2 4" xfId="10"/>
    <cellStyle name="20% - Accent1 3" xfId="11"/>
    <cellStyle name="20% - Accent1 3 2" xfId="12"/>
    <cellStyle name="20% - Accent1 3 3" xfId="13"/>
    <cellStyle name="20% - Accent1 4" xfId="14"/>
    <cellStyle name="20% - Accent1 4 2" xfId="15"/>
    <cellStyle name="20% - Accent1 5" xfId="16"/>
    <cellStyle name="20% - Accent2 2" xfId="17"/>
    <cellStyle name="20% - Accent2 3" xfId="18"/>
    <cellStyle name="20% - Accent2 3 2" xfId="19"/>
    <cellStyle name="20% - Accent2 4" xfId="20"/>
    <cellStyle name="20% - Accent2 5" xfId="21"/>
    <cellStyle name="20% - Accent3 2" xfId="22"/>
    <cellStyle name="20% - Accent3 3" xfId="23"/>
    <cellStyle name="20% - Accent3 3 2" xfId="24"/>
    <cellStyle name="20% - Accent3 4" xfId="25"/>
    <cellStyle name="20% - Accent3 5" xfId="26"/>
    <cellStyle name="20% - Accent4 2" xfId="27"/>
    <cellStyle name="20% - Accent4 2 2" xfId="28"/>
    <cellStyle name="20% - Accent4 2 3" xfId="29"/>
    <cellStyle name="20% - Accent4 3" xfId="30"/>
    <cellStyle name="20% - Accent4 3 2" xfId="31"/>
    <cellStyle name="20% - Accent4 3 3" xfId="32"/>
    <cellStyle name="20% - Accent4 4" xfId="33"/>
    <cellStyle name="20% - Accent4 4 2" xfId="34"/>
    <cellStyle name="20% - Accent4 5" xfId="35"/>
    <cellStyle name="20% - Accent5 2" xfId="36"/>
    <cellStyle name="20% - Accent5 3" xfId="37"/>
    <cellStyle name="20% - Accent5 4" xfId="38"/>
    <cellStyle name="20% - Accent5 5" xfId="39"/>
    <cellStyle name="20% - Accent6 2" xfId="40"/>
    <cellStyle name="20% - Accent6 3" xfId="41"/>
    <cellStyle name="20% - Accent6 3 2" xfId="42"/>
    <cellStyle name="20% - Accent6 4" xfId="43"/>
    <cellStyle name="20% - Accent6 5" xfId="44"/>
    <cellStyle name="40% - Accent1 2" xfId="45"/>
    <cellStyle name="40% - Accent1 2 2" xfId="46"/>
    <cellStyle name="40% - Accent1 2 3" xfId="47"/>
    <cellStyle name="40% - Accent1 3" xfId="48"/>
    <cellStyle name="40% - Accent1 3 2" xfId="49"/>
    <cellStyle name="40% - Accent1 3 3" xfId="50"/>
    <cellStyle name="40% - Accent1 4" xfId="51"/>
    <cellStyle name="40% - Accent1 4 2" xfId="52"/>
    <cellStyle name="40% - Accent1 5" xfId="53"/>
    <cellStyle name="40% - Accent2 2" xfId="54"/>
    <cellStyle name="40% - Accent2 3" xfId="55"/>
    <cellStyle name="40% - Accent2 4" xfId="56"/>
    <cellStyle name="40% - Accent2 5" xfId="57"/>
    <cellStyle name="40% - Accent3 2" xfId="58"/>
    <cellStyle name="40% - Accent3 3" xfId="59"/>
    <cellStyle name="40% - Accent3 3 2" xfId="60"/>
    <cellStyle name="40% - Accent3 4" xfId="61"/>
    <cellStyle name="40% - Accent3 5" xfId="62"/>
    <cellStyle name="40% - Accent4 2" xfId="63"/>
    <cellStyle name="40% - Accent4 2 2" xfId="64"/>
    <cellStyle name="40% - Accent4 2 3" xfId="65"/>
    <cellStyle name="40% - Accent4 3" xfId="66"/>
    <cellStyle name="40% - Accent4 3 2" xfId="67"/>
    <cellStyle name="40% - Accent4 3 3" xfId="68"/>
    <cellStyle name="40% - Accent4 4" xfId="69"/>
    <cellStyle name="40% - Accent4 4 2" xfId="70"/>
    <cellStyle name="40% - Accent4 5" xfId="71"/>
    <cellStyle name="40% - Accent5 2" xfId="72"/>
    <cellStyle name="40% - Accent5 2 2" xfId="73"/>
    <cellStyle name="40% - Accent5 2 3" xfId="74"/>
    <cellStyle name="40% - Accent5 3" xfId="75"/>
    <cellStyle name="40% - Accent5 3 2" xfId="76"/>
    <cellStyle name="40% - Accent5 4" xfId="77"/>
    <cellStyle name="40% - Accent5 5" xfId="78"/>
    <cellStyle name="40% - Accent6 2" xfId="79"/>
    <cellStyle name="40% - Accent6 2 2" xfId="80"/>
    <cellStyle name="40% - Accent6 2 3" xfId="81"/>
    <cellStyle name="40% - Accent6 3" xfId="82"/>
    <cellStyle name="40% - Accent6 3 2" xfId="83"/>
    <cellStyle name="40% - Accent6 3 3" xfId="84"/>
    <cellStyle name="40% - Accent6 4" xfId="85"/>
    <cellStyle name="40% - Accent6 4 2" xfId="86"/>
    <cellStyle name="40% - Accent6 5" xfId="87"/>
    <cellStyle name="60% - Accent1 2" xfId="88"/>
    <cellStyle name="60% - Accent1 2 2" xfId="89"/>
    <cellStyle name="60% - Accent1 2 3" xfId="90"/>
    <cellStyle name="60% - Accent1 2 4" xfId="91"/>
    <cellStyle name="60% - Accent1 3" xfId="92"/>
    <cellStyle name="60% - Accent1 3 2" xfId="93"/>
    <cellStyle name="60% - Accent1 3 3" xfId="94"/>
    <cellStyle name="60% - Accent1 4" xfId="95"/>
    <cellStyle name="60% - Accent1 4 2" xfId="96"/>
    <cellStyle name="60% - Accent2 2" xfId="97"/>
    <cellStyle name="60% - Accent2 2 2" xfId="98"/>
    <cellStyle name="60% - Accent2 2 3" xfId="99"/>
    <cellStyle name="60% - Accent2 3" xfId="100"/>
    <cellStyle name="60% - Accent2 3 2" xfId="101"/>
    <cellStyle name="60% - Accent2 4" xfId="102"/>
    <cellStyle name="60% - Accent3 2" xfId="103"/>
    <cellStyle name="60% - Accent3 2 2" xfId="104"/>
    <cellStyle name="60% - Accent3 2 3" xfId="105"/>
    <cellStyle name="60% - Accent3 3" xfId="106"/>
    <cellStyle name="60% - Accent3 3 2" xfId="107"/>
    <cellStyle name="60% - Accent3 3 3" xfId="108"/>
    <cellStyle name="60% - Accent3 4" xfId="109"/>
    <cellStyle name="60% - Accent3 4 2" xfId="110"/>
    <cellStyle name="60% - Accent4 2" xfId="111"/>
    <cellStyle name="60% - Accent4 2 2" xfId="112"/>
    <cellStyle name="60% - Accent4 2 3" xfId="113"/>
    <cellStyle name="60% - Accent4 3" xfId="114"/>
    <cellStyle name="60% - Accent4 3 2" xfId="115"/>
    <cellStyle name="60% - Accent4 3 3" xfId="116"/>
    <cellStyle name="60% - Accent4 4" xfId="117"/>
    <cellStyle name="60% - Accent4 4 2" xfId="118"/>
    <cellStyle name="60% - Accent5 2" xfId="119"/>
    <cellStyle name="60% - Accent5 2 2" xfId="120"/>
    <cellStyle name="60% - Accent5 2 3" xfId="121"/>
    <cellStyle name="60% - Accent5 2 4" xfId="122"/>
    <cellStyle name="60% - Accent5 3" xfId="123"/>
    <cellStyle name="60% - Accent5 3 2" xfId="124"/>
    <cellStyle name="60% - Accent5 4" xfId="125"/>
    <cellStyle name="60% - Accent6 2" xfId="126"/>
    <cellStyle name="60% - Accent6 3" xfId="127"/>
    <cellStyle name="60% - Accent6 3 2" xfId="128"/>
    <cellStyle name="60% - Accent6 4" xfId="129"/>
    <cellStyle name="Accent1 2" xfId="130"/>
    <cellStyle name="Accent1 2 2" xfId="131"/>
    <cellStyle name="Accent1 2 3" xfId="132"/>
    <cellStyle name="Accent1 2 4" xfId="133"/>
    <cellStyle name="Accent1 3" xfId="134"/>
    <cellStyle name="Accent1 3 2" xfId="135"/>
    <cellStyle name="Accent1 3 3" xfId="136"/>
    <cellStyle name="Accent1 4" xfId="137"/>
    <cellStyle name="Accent1 4 2" xfId="138"/>
    <cellStyle name="Accent2 2" xfId="139"/>
    <cellStyle name="Accent2 2 2" xfId="140"/>
    <cellStyle name="Accent2 2 3" xfId="141"/>
    <cellStyle name="Accent2 3" xfId="142"/>
    <cellStyle name="Accent2 3 2" xfId="143"/>
    <cellStyle name="Accent2 4" xfId="144"/>
    <cellStyle name="Accent3 2" xfId="145"/>
    <cellStyle name="Accent3 2 2" xfId="146"/>
    <cellStyle name="Accent3 2 3" xfId="147"/>
    <cellStyle name="Accent3 2 4" xfId="148"/>
    <cellStyle name="Accent3 3" xfId="149"/>
    <cellStyle name="Accent3 3 2" xfId="150"/>
    <cellStyle name="Accent3 4" xfId="151"/>
    <cellStyle name="Accent4 2" xfId="152"/>
    <cellStyle name="Accent4 2 2" xfId="153"/>
    <cellStyle name="Accent4 2 2 2" xfId="154"/>
    <cellStyle name="Accent4 2 3" xfId="155"/>
    <cellStyle name="Accent4 3" xfId="156"/>
    <cellStyle name="Accent4 3 2" xfId="157"/>
    <cellStyle name="Accent4 4" xfId="158"/>
    <cellStyle name="Accent5 2" xfId="159"/>
    <cellStyle name="Accent5 2 2" xfId="160"/>
    <cellStyle name="Accent5 2 3" xfId="161"/>
    <cellStyle name="Accent5 3" xfId="162"/>
    <cellStyle name="Accent5 4" xfId="163"/>
    <cellStyle name="Accent6 2" xfId="164"/>
    <cellStyle name="Accent6 2 2" xfId="165"/>
    <cellStyle name="Accent6 2 3" xfId="166"/>
    <cellStyle name="Accent6 2 4" xfId="167"/>
    <cellStyle name="Accent6 3" xfId="168"/>
    <cellStyle name="Accent6 3 2" xfId="169"/>
    <cellStyle name="Accent6 4" xfId="170"/>
    <cellStyle name="Accounting" xfId="171"/>
    <cellStyle name="Accounting 2" xfId="172"/>
    <cellStyle name="Accounting 3" xfId="173"/>
    <cellStyle name="Accounting_2011-11" xfId="174"/>
    <cellStyle name="APS" xfId="175"/>
    <cellStyle name="APSLabels" xfId="176"/>
    <cellStyle name="Bad 2" xfId="177"/>
    <cellStyle name="Bad 2 2" xfId="178"/>
    <cellStyle name="Bad 2 3" xfId="179"/>
    <cellStyle name="Bad 3" xfId="180"/>
    <cellStyle name="Bad 3 2" xfId="181"/>
    <cellStyle name="Bad 4" xfId="182"/>
    <cellStyle name="Budget" xfId="183"/>
    <cellStyle name="Budget 2" xfId="184"/>
    <cellStyle name="Budget 3" xfId="185"/>
    <cellStyle name="Budget_2011-11" xfId="186"/>
    <cellStyle name="Calculation 2" xfId="187"/>
    <cellStyle name="Calculation 2 2" xfId="188"/>
    <cellStyle name="Calculation 2 3" xfId="189"/>
    <cellStyle name="Calculation 2 4" xfId="190"/>
    <cellStyle name="Calculation 3" xfId="191"/>
    <cellStyle name="Calculation 3 2" xfId="192"/>
    <cellStyle name="Calculation 3 3" xfId="193"/>
    <cellStyle name="Calculation 4" xfId="194"/>
    <cellStyle name="Calculation 4 2" xfId="195"/>
    <cellStyle name="Check Cell 2" xfId="196"/>
    <cellStyle name="Check Cell 2 2" xfId="197"/>
    <cellStyle name="Check Cell 2 3" xfId="198"/>
    <cellStyle name="Check Cell 3" xfId="199"/>
    <cellStyle name="Check Cell 4" xfId="200"/>
    <cellStyle name="Color" xfId="201"/>
    <cellStyle name="combo" xfId="202"/>
    <cellStyle name="Comma" xfId="1" builtinId="3"/>
    <cellStyle name="Comma 10" xfId="5"/>
    <cellStyle name="Comma 10 2" xfId="203"/>
    <cellStyle name="Comma 11" xfId="204"/>
    <cellStyle name="Comma 11 2" xfId="205"/>
    <cellStyle name="Comma 11 2 2" xfId="206"/>
    <cellStyle name="Comma 11 2 2 2" xfId="207"/>
    <cellStyle name="Comma 11 2 3" xfId="208"/>
    <cellStyle name="Comma 11 3" xfId="209"/>
    <cellStyle name="Comma 11 3 2" xfId="210"/>
    <cellStyle name="Comma 11 4" xfId="211"/>
    <cellStyle name="Comma 12" xfId="212"/>
    <cellStyle name="Comma 12 2" xfId="213"/>
    <cellStyle name="Comma 12 2 2" xfId="214"/>
    <cellStyle name="Comma 12 3" xfId="215"/>
    <cellStyle name="Comma 12 4" xfId="216"/>
    <cellStyle name="Comma 12 5" xfId="217"/>
    <cellStyle name="Comma 13" xfId="218"/>
    <cellStyle name="Comma 13 2" xfId="219"/>
    <cellStyle name="Comma 13 3" xfId="220"/>
    <cellStyle name="Comma 14" xfId="221"/>
    <cellStyle name="Comma 15" xfId="222"/>
    <cellStyle name="Comma 15 2" xfId="223"/>
    <cellStyle name="Comma 15 3" xfId="224"/>
    <cellStyle name="Comma 16" xfId="225"/>
    <cellStyle name="Comma 16 2" xfId="226"/>
    <cellStyle name="Comma 16 3" xfId="227"/>
    <cellStyle name="Comma 17" xfId="228"/>
    <cellStyle name="Comma 17 2" xfId="229"/>
    <cellStyle name="Comma 17 2 2" xfId="230"/>
    <cellStyle name="Comma 17 3" xfId="231"/>
    <cellStyle name="Comma 17 4" xfId="232"/>
    <cellStyle name="Comma 18" xfId="233"/>
    <cellStyle name="Comma 18 2" xfId="234"/>
    <cellStyle name="Comma 18 3" xfId="235"/>
    <cellStyle name="Comma 18 4" xfId="236"/>
    <cellStyle name="Comma 19" xfId="237"/>
    <cellStyle name="Comma 2" xfId="238"/>
    <cellStyle name="Comma 2 2" xfId="239"/>
    <cellStyle name="Comma 2 2 2" xfId="240"/>
    <cellStyle name="Comma 2 2 2 2" xfId="241"/>
    <cellStyle name="Comma 2 2 2 2 2" xfId="242"/>
    <cellStyle name="Comma 2 2 3" xfId="243"/>
    <cellStyle name="Comma 2 3" xfId="244"/>
    <cellStyle name="Comma 2 3 2" xfId="245"/>
    <cellStyle name="Comma 2 4" xfId="246"/>
    <cellStyle name="Comma 2 4 2" xfId="247"/>
    <cellStyle name="Comma 2 4 2 2" xfId="248"/>
    <cellStyle name="Comma 2 4 2 2 2" xfId="1303"/>
    <cellStyle name="Comma 2 4 3" xfId="249"/>
    <cellStyle name="Comma 2 4 4" xfId="250"/>
    <cellStyle name="Comma 2 5" xfId="251"/>
    <cellStyle name="Comma 2 5 2" xfId="252"/>
    <cellStyle name="Comma 2 6" xfId="253"/>
    <cellStyle name="Comma 2 6 2" xfId="254"/>
    <cellStyle name="Comma 2 6 2 2" xfId="255"/>
    <cellStyle name="Comma 2 6 3" xfId="256"/>
    <cellStyle name="Comma 2 7" xfId="257"/>
    <cellStyle name="Comma 2 7 2" xfId="258"/>
    <cellStyle name="Comma 2 8" xfId="259"/>
    <cellStyle name="Comma 20" xfId="260"/>
    <cellStyle name="Comma 20 2" xfId="261"/>
    <cellStyle name="Comma 21" xfId="262"/>
    <cellStyle name="Comma 21 2" xfId="263"/>
    <cellStyle name="Comma 22" xfId="264"/>
    <cellStyle name="Comma 23" xfId="265"/>
    <cellStyle name="Comma 3" xfId="266"/>
    <cellStyle name="Comma 3 2" xfId="267"/>
    <cellStyle name="Comma 3 2 2" xfId="268"/>
    <cellStyle name="Comma 3 3" xfId="269"/>
    <cellStyle name="Comma 3 4" xfId="270"/>
    <cellStyle name="Comma 4" xfId="271"/>
    <cellStyle name="Comma 4 2" xfId="272"/>
    <cellStyle name="Comma 4 2 2" xfId="273"/>
    <cellStyle name="Comma 4 2 2 2" xfId="274"/>
    <cellStyle name="Comma 4 2 2 2 2" xfId="275"/>
    <cellStyle name="Comma 4 2 2 2 3" xfId="276"/>
    <cellStyle name="Comma 4 2 2 3" xfId="277"/>
    <cellStyle name="Comma 4 2 2 3 2" xfId="278"/>
    <cellStyle name="Comma 4 2 2 4" xfId="279"/>
    <cellStyle name="Comma 4 2 3" xfId="280"/>
    <cellStyle name="Comma 4 2 3 2" xfId="281"/>
    <cellStyle name="Comma 4 2 4" xfId="282"/>
    <cellStyle name="Comma 4 2 4 2" xfId="283"/>
    <cellStyle name="Comma 4 2 4 3" xfId="284"/>
    <cellStyle name="Comma 4 2 5" xfId="285"/>
    <cellStyle name="Comma 4 3" xfId="286"/>
    <cellStyle name="Comma 4 3 2" xfId="287"/>
    <cellStyle name="Comma 4 3 2 2" xfId="288"/>
    <cellStyle name="Comma 4 3 3" xfId="289"/>
    <cellStyle name="Comma 4 3 3 2" xfId="290"/>
    <cellStyle name="Comma 4 3 4" xfId="291"/>
    <cellStyle name="Comma 4 3 4 2" xfId="292"/>
    <cellStyle name="Comma 4 4" xfId="293"/>
    <cellStyle name="Comma 4 4 2" xfId="294"/>
    <cellStyle name="Comma 4 4 2 2" xfId="295"/>
    <cellStyle name="Comma 4 4 3" xfId="296"/>
    <cellStyle name="Comma 4 4 3 2" xfId="297"/>
    <cellStyle name="Comma 4 4 4" xfId="298"/>
    <cellStyle name="Comma 4 4 4 2" xfId="299"/>
    <cellStyle name="Comma 4 5" xfId="300"/>
    <cellStyle name="Comma 4 5 2" xfId="301"/>
    <cellStyle name="Comma 4 5 2 2" xfId="302"/>
    <cellStyle name="Comma 4 6" xfId="303"/>
    <cellStyle name="Comma 4 6 2" xfId="304"/>
    <cellStyle name="Comma 4 7" xfId="305"/>
    <cellStyle name="Comma 5" xfId="306"/>
    <cellStyle name="Comma 5 2" xfId="307"/>
    <cellStyle name="Comma 5 2 2" xfId="308"/>
    <cellStyle name="Comma 5 2 2 2" xfId="309"/>
    <cellStyle name="Comma 5 2 2 2 2" xfId="310"/>
    <cellStyle name="Comma 5 2 2 3" xfId="311"/>
    <cellStyle name="Comma 5 2 3" xfId="312"/>
    <cellStyle name="Comma 5 2 3 2" xfId="313"/>
    <cellStyle name="Comma 5 2 3 3" xfId="314"/>
    <cellStyle name="Comma 5 2 4" xfId="315"/>
    <cellStyle name="Comma 5 3" xfId="316"/>
    <cellStyle name="Comma 5 3 2" xfId="317"/>
    <cellStyle name="Comma 5 3 2 2" xfId="318"/>
    <cellStyle name="Comma 5 3 3" xfId="319"/>
    <cellStyle name="Comma 5 4" xfId="320"/>
    <cellStyle name="Comma 5 4 2" xfId="321"/>
    <cellStyle name="Comma 5 5" xfId="322"/>
    <cellStyle name="Comma 5 5 2" xfId="323"/>
    <cellStyle name="Comma 5 6" xfId="324"/>
    <cellStyle name="Comma 6" xfId="325"/>
    <cellStyle name="Comma 6 2" xfId="326"/>
    <cellStyle name="Comma 6 2 2" xfId="327"/>
    <cellStyle name="Comma 6 2 2 2" xfId="328"/>
    <cellStyle name="Comma 6 2 2 2 2" xfId="329"/>
    <cellStyle name="Comma 6 2 2 2 3" xfId="330"/>
    <cellStyle name="Comma 6 2 2 3" xfId="331"/>
    <cellStyle name="Comma 6 2 3" xfId="332"/>
    <cellStyle name="Comma 6 2 3 2" xfId="333"/>
    <cellStyle name="Comma 6 2 3 3" xfId="334"/>
    <cellStyle name="Comma 6 2 4" xfId="335"/>
    <cellStyle name="Comma 6 3" xfId="336"/>
    <cellStyle name="Comma 6 3 2" xfId="337"/>
    <cellStyle name="Comma 6 3 2 2" xfId="338"/>
    <cellStyle name="Comma 6 3 2 3" xfId="339"/>
    <cellStyle name="Comma 6 3 3" xfId="340"/>
    <cellStyle name="Comma 6 4" xfId="341"/>
    <cellStyle name="Comma 6 4 2" xfId="342"/>
    <cellStyle name="Comma 6 5" xfId="343"/>
    <cellStyle name="Comma 7" xfId="344"/>
    <cellStyle name="Comma 7 2" xfId="345"/>
    <cellStyle name="Comma 7 2 2" xfId="346"/>
    <cellStyle name="Comma 7 2 2 2" xfId="347"/>
    <cellStyle name="Comma 7 2 2 2 2" xfId="348"/>
    <cellStyle name="Comma 7 2 2 3" xfId="349"/>
    <cellStyle name="Comma 7 2 3" xfId="350"/>
    <cellStyle name="Comma 7 2 3 2" xfId="351"/>
    <cellStyle name="Comma 7 2 3 3" xfId="352"/>
    <cellStyle name="Comma 7 2 4" xfId="353"/>
    <cellStyle name="Comma 7 3" xfId="354"/>
    <cellStyle name="Comma 7 3 2" xfId="355"/>
    <cellStyle name="Comma 7 3 2 2" xfId="356"/>
    <cellStyle name="Comma 7 3 3" xfId="357"/>
    <cellStyle name="Comma 7 4" xfId="358"/>
    <cellStyle name="Comma 7 4 2" xfId="359"/>
    <cellStyle name="Comma 7 5" xfId="360"/>
    <cellStyle name="Comma 8" xfId="361"/>
    <cellStyle name="Comma 8 2" xfId="362"/>
    <cellStyle name="Comma 8 2 2" xfId="363"/>
    <cellStyle name="Comma 8 2 2 2" xfId="364"/>
    <cellStyle name="Comma 8 2 2 3" xfId="365"/>
    <cellStyle name="Comma 8 2 3" xfId="366"/>
    <cellStyle name="Comma 8 3" xfId="367"/>
    <cellStyle name="Comma 8 3 2" xfId="368"/>
    <cellStyle name="Comma 8 4" xfId="369"/>
    <cellStyle name="Comma 9" xfId="370"/>
    <cellStyle name="Comma 9 2" xfId="371"/>
    <cellStyle name="Comma(2)" xfId="372"/>
    <cellStyle name="Comma0" xfId="373"/>
    <cellStyle name="Comma0 - Style2" xfId="374"/>
    <cellStyle name="Comma1 - Style1" xfId="375"/>
    <cellStyle name="Comments" xfId="376"/>
    <cellStyle name="Currency" xfId="2" builtinId="4"/>
    <cellStyle name="Currency 10" xfId="377"/>
    <cellStyle name="Currency 10 2" xfId="378"/>
    <cellStyle name="Currency 11" xfId="6"/>
    <cellStyle name="Currency 11 2" xfId="379"/>
    <cellStyle name="Currency 12" xfId="380"/>
    <cellStyle name="Currency 13" xfId="381"/>
    <cellStyle name="Currency 14" xfId="382"/>
    <cellStyle name="Currency 15" xfId="383"/>
    <cellStyle name="Currency 2" xfId="384"/>
    <cellStyle name="Currency 2 2" xfId="385"/>
    <cellStyle name="Currency 2 2 2" xfId="386"/>
    <cellStyle name="Currency 2 2 3" xfId="387"/>
    <cellStyle name="Currency 2 2 3 2" xfId="388"/>
    <cellStyle name="Currency 2 2 4" xfId="389"/>
    <cellStyle name="Currency 2 3" xfId="390"/>
    <cellStyle name="Currency 2 3 2" xfId="391"/>
    <cellStyle name="Currency 2 3 3" xfId="392"/>
    <cellStyle name="Currency 2 4" xfId="393"/>
    <cellStyle name="Currency 2 4 2" xfId="394"/>
    <cellStyle name="Currency 2 4 3" xfId="395"/>
    <cellStyle name="Currency 2 5" xfId="396"/>
    <cellStyle name="Currency 2 5 2" xfId="397"/>
    <cellStyle name="Currency 2 5 3" xfId="1306"/>
    <cellStyle name="Currency 2 6" xfId="398"/>
    <cellStyle name="Currency 2 6 2" xfId="399"/>
    <cellStyle name="Currency 2 6 2 2" xfId="1305"/>
    <cellStyle name="Currency 2 6 3" xfId="400"/>
    <cellStyle name="Currency 2 7" xfId="401"/>
    <cellStyle name="Currency 3" xfId="402"/>
    <cellStyle name="Currency 3 2" xfId="403"/>
    <cellStyle name="Currency 3 2 2" xfId="404"/>
    <cellStyle name="Currency 3 2 2 2" xfId="405"/>
    <cellStyle name="Currency 3 2 2 2 2" xfId="406"/>
    <cellStyle name="Currency 3 2 2 3" xfId="407"/>
    <cellStyle name="Currency 3 2 3" xfId="408"/>
    <cellStyle name="Currency 3 2 3 2" xfId="409"/>
    <cellStyle name="Currency 3 2 4" xfId="410"/>
    <cellStyle name="Currency 3 3" xfId="411"/>
    <cellStyle name="Currency 3 3 2" xfId="412"/>
    <cellStyle name="Currency 3 3 2 2" xfId="413"/>
    <cellStyle name="Currency 3 3 3" xfId="414"/>
    <cellStyle name="Currency 3 3 3 2" xfId="1301"/>
    <cellStyle name="Currency 3 3 4" xfId="415"/>
    <cellStyle name="Currency 3 4" xfId="416"/>
    <cellStyle name="Currency 3 4 2" xfId="417"/>
    <cellStyle name="Currency 3 5" xfId="418"/>
    <cellStyle name="Currency 4" xfId="419"/>
    <cellStyle name="Currency 4 2" xfId="420"/>
    <cellStyle name="Currency 4 2 2" xfId="421"/>
    <cellStyle name="Currency 4 2 2 2" xfId="422"/>
    <cellStyle name="Currency 4 2 2 2 2" xfId="423"/>
    <cellStyle name="Currency 4 2 2 3" xfId="424"/>
    <cellStyle name="Currency 4 2 3" xfId="425"/>
    <cellStyle name="Currency 4 2 3 2" xfId="426"/>
    <cellStyle name="Currency 4 2 4" xfId="427"/>
    <cellStyle name="Currency 4 3" xfId="428"/>
    <cellStyle name="Currency 4 3 2" xfId="429"/>
    <cellStyle name="Currency 4 3 2 2" xfId="430"/>
    <cellStyle name="Currency 4 3 3" xfId="431"/>
    <cellStyle name="Currency 4 4" xfId="432"/>
    <cellStyle name="Currency 4 4 2" xfId="433"/>
    <cellStyle name="Currency 4 5" xfId="434"/>
    <cellStyle name="Currency 5" xfId="435"/>
    <cellStyle name="Currency 5 2" xfId="436"/>
    <cellStyle name="Currency 5 2 2" xfId="437"/>
    <cellStyle name="Currency 5 2 2 2" xfId="438"/>
    <cellStyle name="Currency 5 2 3" xfId="439"/>
    <cellStyle name="Currency 5 3" xfId="440"/>
    <cellStyle name="Currency 5 3 2" xfId="441"/>
    <cellStyle name="Currency 5 4" xfId="442"/>
    <cellStyle name="Currency 6" xfId="443"/>
    <cellStyle name="Currency 7" xfId="444"/>
    <cellStyle name="Currency 8" xfId="445"/>
    <cellStyle name="Currency 8 2" xfId="446"/>
    <cellStyle name="Currency 8 2 2" xfId="447"/>
    <cellStyle name="Currency 8 2 2 2" xfId="448"/>
    <cellStyle name="Currency 8 2 3" xfId="449"/>
    <cellStyle name="Currency 8 3" xfId="450"/>
    <cellStyle name="Currency 8 3 2" xfId="451"/>
    <cellStyle name="Currency 8 3 3" xfId="452"/>
    <cellStyle name="Currency 8 3 4" xfId="453"/>
    <cellStyle name="Currency 8 4" xfId="454"/>
    <cellStyle name="Currency 9" xfId="455"/>
    <cellStyle name="Currency 9 2" xfId="456"/>
    <cellStyle name="Currency 9 2 2" xfId="457"/>
    <cellStyle name="Currency 9 3" xfId="458"/>
    <cellStyle name="Currency0" xfId="459"/>
    <cellStyle name="Data Enter" xfId="460"/>
    <cellStyle name="date" xfId="461"/>
    <cellStyle name="Explanatory Text 2" xfId="462"/>
    <cellStyle name="Explanatory Text 3" xfId="463"/>
    <cellStyle name="Explanatory Text 4" xfId="464"/>
    <cellStyle name="F9ReportControlStyle_ctpInquire" xfId="465"/>
    <cellStyle name="FactSheet" xfId="466"/>
    <cellStyle name="fish" xfId="467"/>
    <cellStyle name="Good 2" xfId="468"/>
    <cellStyle name="Good 2 2" xfId="469"/>
    <cellStyle name="Good 2 2 2" xfId="470"/>
    <cellStyle name="Good 2 2 3" xfId="471"/>
    <cellStyle name="Good 2 3" xfId="472"/>
    <cellStyle name="Good 3" xfId="473"/>
    <cellStyle name="Good 3 2" xfId="474"/>
    <cellStyle name="Good 3 3" xfId="475"/>
    <cellStyle name="Good 4" xfId="476"/>
    <cellStyle name="Good 5" xfId="477"/>
    <cellStyle name="Heading 1 2" xfId="478"/>
    <cellStyle name="Heading 1 2 2" xfId="479"/>
    <cellStyle name="Heading 1 2 3" xfId="480"/>
    <cellStyle name="Heading 1 2 4" xfId="481"/>
    <cellStyle name="Heading 1 3" xfId="482"/>
    <cellStyle name="Heading 1 3 2" xfId="483"/>
    <cellStyle name="Heading 1 3 3" xfId="484"/>
    <cellStyle name="Heading 1 4" xfId="485"/>
    <cellStyle name="Heading 1 4 2" xfId="486"/>
    <cellStyle name="Heading 2 2" xfId="487"/>
    <cellStyle name="Heading 2 2 2" xfId="488"/>
    <cellStyle name="Heading 2 2 3" xfId="489"/>
    <cellStyle name="Heading 2 2 4" xfId="490"/>
    <cellStyle name="Heading 2 3" xfId="491"/>
    <cellStyle name="Heading 2 3 2" xfId="492"/>
    <cellStyle name="Heading 2 3 3" xfId="493"/>
    <cellStyle name="Heading 2 4" xfId="494"/>
    <cellStyle name="Heading 2 4 2" xfId="495"/>
    <cellStyle name="Heading 3 2" xfId="496"/>
    <cellStyle name="Heading 3 2 2" xfId="497"/>
    <cellStyle name="Heading 3 2 3" xfId="498"/>
    <cellStyle name="Heading 3 2 4" xfId="499"/>
    <cellStyle name="Heading 3 3" xfId="500"/>
    <cellStyle name="Heading 3 3 2" xfId="501"/>
    <cellStyle name="Heading 3 3 3" xfId="502"/>
    <cellStyle name="Heading 3 4" xfId="503"/>
    <cellStyle name="Heading 3 4 2" xfId="504"/>
    <cellStyle name="Heading 4 2" xfId="505"/>
    <cellStyle name="Heading 4 2 2" xfId="506"/>
    <cellStyle name="Heading 4 2 2 2" xfId="507"/>
    <cellStyle name="Heading 4 2 3" xfId="508"/>
    <cellStyle name="Heading 4 3" xfId="509"/>
    <cellStyle name="Heading 4 3 2" xfId="510"/>
    <cellStyle name="Heading 4 4" xfId="511"/>
    <cellStyle name="Hyperlink 2" xfId="512"/>
    <cellStyle name="Hyperlink 2 2" xfId="513"/>
    <cellStyle name="Hyperlink 2 2 2" xfId="514"/>
    <cellStyle name="Hyperlink 2 2 3" xfId="515"/>
    <cellStyle name="Hyperlink 2 2 4" xfId="516"/>
    <cellStyle name="Hyperlink 2 3" xfId="517"/>
    <cellStyle name="Hyperlink 3" xfId="518"/>
    <cellStyle name="Hyperlink 3 2" xfId="519"/>
    <cellStyle name="Hyperlink 3 2 2" xfId="520"/>
    <cellStyle name="Hyperlink 3 3" xfId="521"/>
    <cellStyle name="Input 2" xfId="522"/>
    <cellStyle name="Input 2 2" xfId="523"/>
    <cellStyle name="Input 2 2 2" xfId="524"/>
    <cellStyle name="Input 2 3" xfId="525"/>
    <cellStyle name="Input 3" xfId="526"/>
    <cellStyle name="Input 3 2" xfId="527"/>
    <cellStyle name="Input 4" xfId="528"/>
    <cellStyle name="input(0)" xfId="529"/>
    <cellStyle name="Input(2)" xfId="530"/>
    <cellStyle name="Labels" xfId="531"/>
    <cellStyle name="Linked Cell 2" xfId="532"/>
    <cellStyle name="Linked Cell 2 2" xfId="533"/>
    <cellStyle name="Linked Cell 2 3" xfId="534"/>
    <cellStyle name="Linked Cell 2 4" xfId="535"/>
    <cellStyle name="Linked Cell 3" xfId="536"/>
    <cellStyle name="Linked Cell 3 2" xfId="537"/>
    <cellStyle name="Linked Cell 4" xfId="538"/>
    <cellStyle name="Neutral 2" xfId="539"/>
    <cellStyle name="Neutral 2 2" xfId="540"/>
    <cellStyle name="Neutral 2 3" xfId="541"/>
    <cellStyle name="Neutral 2 4" xfId="542"/>
    <cellStyle name="Neutral 3" xfId="543"/>
    <cellStyle name="Neutral 3 2" xfId="544"/>
    <cellStyle name="Neutral 4" xfId="545"/>
    <cellStyle name="New_normal" xfId="546"/>
    <cellStyle name="Normal" xfId="0" builtinId="0"/>
    <cellStyle name="Normal - Style1" xfId="547"/>
    <cellStyle name="Normal - Style2" xfId="548"/>
    <cellStyle name="Normal - Style3" xfId="549"/>
    <cellStyle name="Normal - Style4" xfId="550"/>
    <cellStyle name="Normal - Style5" xfId="551"/>
    <cellStyle name="Normal 10" xfId="552"/>
    <cellStyle name="Normal 10 2" xfId="553"/>
    <cellStyle name="Normal 10 2 2" xfId="554"/>
    <cellStyle name="Normal 10 2 2 2" xfId="555"/>
    <cellStyle name="Normal 10 2 2 2 2" xfId="556"/>
    <cellStyle name="Normal 10 2 2 3" xfId="557"/>
    <cellStyle name="Normal 10 2 3" xfId="558"/>
    <cellStyle name="Normal 10 2 3 2" xfId="559"/>
    <cellStyle name="Normal 10 2 4" xfId="560"/>
    <cellStyle name="Normal 10 2 4 2" xfId="561"/>
    <cellStyle name="Normal 10 2 5" xfId="562"/>
    <cellStyle name="Normal 10 3" xfId="563"/>
    <cellStyle name="Normal 10 3 2" xfId="564"/>
    <cellStyle name="Normal 10 3 2 2" xfId="565"/>
    <cellStyle name="Normal 10 3 3" xfId="566"/>
    <cellStyle name="Normal 10 4" xfId="567"/>
    <cellStyle name="Normal 10 4 2" xfId="568"/>
    <cellStyle name="Normal 10 5" xfId="569"/>
    <cellStyle name="Normal 10_2112 DF Schedule" xfId="570"/>
    <cellStyle name="Normal 100" xfId="571"/>
    <cellStyle name="Normal 100 2" xfId="572"/>
    <cellStyle name="Normal 101" xfId="573"/>
    <cellStyle name="Normal 101 2" xfId="574"/>
    <cellStyle name="Normal 102" xfId="575"/>
    <cellStyle name="Normal 102 2" xfId="576"/>
    <cellStyle name="Normal 103" xfId="577"/>
    <cellStyle name="Normal 103 2" xfId="578"/>
    <cellStyle name="Normal 104" xfId="579"/>
    <cellStyle name="Normal 104 2" xfId="580"/>
    <cellStyle name="Normal 105" xfId="581"/>
    <cellStyle name="Normal 105 2" xfId="582"/>
    <cellStyle name="Normal 106" xfId="583"/>
    <cellStyle name="Normal 107" xfId="584"/>
    <cellStyle name="Normal 107 2" xfId="585"/>
    <cellStyle name="Normal 108" xfId="586"/>
    <cellStyle name="Normal 108 2" xfId="587"/>
    <cellStyle name="Normal 109" xfId="588"/>
    <cellStyle name="Normal 109 2" xfId="589"/>
    <cellStyle name="Normal 109 3" xfId="590"/>
    <cellStyle name="Normal 11" xfId="591"/>
    <cellStyle name="Normal 11 2" xfId="592"/>
    <cellStyle name="Normal 11 2 2" xfId="593"/>
    <cellStyle name="Normal 11 2 2 2" xfId="594"/>
    <cellStyle name="Normal 11 2 2 2 2" xfId="595"/>
    <cellStyle name="Normal 11 2 2 2 3" xfId="596"/>
    <cellStyle name="Normal 11 2 2 3" xfId="597"/>
    <cellStyle name="Normal 11 2 3" xfId="598"/>
    <cellStyle name="Normal 11 2 3 2" xfId="599"/>
    <cellStyle name="Normal 11 2 4" xfId="600"/>
    <cellStyle name="Normal 11 3" xfId="601"/>
    <cellStyle name="Normal 11 3 2" xfId="602"/>
    <cellStyle name="Normal 11 3 2 2" xfId="603"/>
    <cellStyle name="Normal 11 3 3" xfId="604"/>
    <cellStyle name="Normal 11 4" xfId="605"/>
    <cellStyle name="Normal 11 4 2" xfId="606"/>
    <cellStyle name="Normal 11 5" xfId="607"/>
    <cellStyle name="Normal 110" xfId="608"/>
    <cellStyle name="Normal 110 2" xfId="609"/>
    <cellStyle name="Normal 111" xfId="610"/>
    <cellStyle name="Normal 111 2" xfId="611"/>
    <cellStyle name="Normal 111 3" xfId="612"/>
    <cellStyle name="Normal 112" xfId="613"/>
    <cellStyle name="Normal 112 2" xfId="614"/>
    <cellStyle name="Normal 112 3" xfId="615"/>
    <cellStyle name="Normal 113" xfId="616"/>
    <cellStyle name="Normal 113 2" xfId="617"/>
    <cellStyle name="Normal 113 3" xfId="618"/>
    <cellStyle name="Normal 114" xfId="619"/>
    <cellStyle name="Normal 115" xfId="620"/>
    <cellStyle name="Normal 116" xfId="621"/>
    <cellStyle name="Normal 117" xfId="622"/>
    <cellStyle name="Normal 117 2" xfId="623"/>
    <cellStyle name="Normal 118" xfId="624"/>
    <cellStyle name="Normal 12" xfId="625"/>
    <cellStyle name="Normal 12 2" xfId="626"/>
    <cellStyle name="Normal 12 2 2" xfId="627"/>
    <cellStyle name="Normal 12 2 2 2" xfId="628"/>
    <cellStyle name="Normal 12 2 2 2 2" xfId="629"/>
    <cellStyle name="Normal 12 2 2 2 3" xfId="630"/>
    <cellStyle name="Normal 12 2 2 3" xfId="631"/>
    <cellStyle name="Normal 12 2 3" xfId="632"/>
    <cellStyle name="Normal 12 2 3 2" xfId="633"/>
    <cellStyle name="Normal 12 2 4" xfId="634"/>
    <cellStyle name="Normal 12 3" xfId="635"/>
    <cellStyle name="Normal 12 3 2" xfId="636"/>
    <cellStyle name="Normal 12 3 2 2" xfId="637"/>
    <cellStyle name="Normal 12 3 2 3" xfId="638"/>
    <cellStyle name="Normal 12 3 3" xfId="639"/>
    <cellStyle name="Normal 12 4" xfId="640"/>
    <cellStyle name="Normal 12 4 2" xfId="641"/>
    <cellStyle name="Normal 12 5" xfId="642"/>
    <cellStyle name="Normal 12 6" xfId="643"/>
    <cellStyle name="Normal 12 7" xfId="644"/>
    <cellStyle name="Normal 12_Sheet1" xfId="645"/>
    <cellStyle name="Normal 13" xfId="646"/>
    <cellStyle name="Normal 13 2" xfId="647"/>
    <cellStyle name="Normal 13 2 2" xfId="648"/>
    <cellStyle name="Normal 13 2 2 2" xfId="649"/>
    <cellStyle name="Normal 13 2 2 2 2" xfId="650"/>
    <cellStyle name="Normal 13 2 2 2 3" xfId="651"/>
    <cellStyle name="Normal 13 2 2 3" xfId="652"/>
    <cellStyle name="Normal 13 2 3" xfId="653"/>
    <cellStyle name="Normal 13 2 3 2" xfId="654"/>
    <cellStyle name="Normal 13 2 4" xfId="655"/>
    <cellStyle name="Normal 13 3" xfId="656"/>
    <cellStyle name="Normal 13 3 2" xfId="657"/>
    <cellStyle name="Normal 13 3 2 2" xfId="658"/>
    <cellStyle name="Normal 13 3 3" xfId="659"/>
    <cellStyle name="Normal 13 4" xfId="660"/>
    <cellStyle name="Normal 13 4 2" xfId="661"/>
    <cellStyle name="Normal 13 5" xfId="662"/>
    <cellStyle name="Normal 13 6" xfId="663"/>
    <cellStyle name="Normal 13 7" xfId="664"/>
    <cellStyle name="Normal 13_Sheet1" xfId="665"/>
    <cellStyle name="Normal 14" xfId="666"/>
    <cellStyle name="Normal 14 2" xfId="667"/>
    <cellStyle name="Normal 14 2 2" xfId="668"/>
    <cellStyle name="Normal 14 2 2 2" xfId="669"/>
    <cellStyle name="Normal 14 2 3" xfId="670"/>
    <cellStyle name="Normal 14 3" xfId="671"/>
    <cellStyle name="Normal 14 3 2" xfId="672"/>
    <cellStyle name="Normal 14 4" xfId="673"/>
    <cellStyle name="Normal 14 5" xfId="674"/>
    <cellStyle name="Normal 14_Sheet1" xfId="675"/>
    <cellStyle name="Normal 15" xfId="676"/>
    <cellStyle name="Normal 15 2" xfId="677"/>
    <cellStyle name="Normal 15 2 2" xfId="678"/>
    <cellStyle name="Normal 15 2 2 2" xfId="679"/>
    <cellStyle name="Normal 15 2 3" xfId="680"/>
    <cellStyle name="Normal 15 3" xfId="681"/>
    <cellStyle name="Normal 15 3 2" xfId="682"/>
    <cellStyle name="Normal 15 4" xfId="683"/>
    <cellStyle name="Normal 15 5" xfId="684"/>
    <cellStyle name="Normal 16" xfId="685"/>
    <cellStyle name="Normal 16 2" xfId="686"/>
    <cellStyle name="Normal 16 2 2" xfId="687"/>
    <cellStyle name="Normal 16 2 2 2" xfId="688"/>
    <cellStyle name="Normal 16 3" xfId="689"/>
    <cellStyle name="Normal 16 3 2" xfId="690"/>
    <cellStyle name="Normal 16 3 2 2" xfId="691"/>
    <cellStyle name="Normal 16 3 3" xfId="692"/>
    <cellStyle name="Normal 16 4" xfId="693"/>
    <cellStyle name="Normal 16 4 2" xfId="694"/>
    <cellStyle name="Normal 16 4 3" xfId="695"/>
    <cellStyle name="Normal 16 5" xfId="696"/>
    <cellStyle name="Normal 16 6" xfId="697"/>
    <cellStyle name="Normal 17" xfId="698"/>
    <cellStyle name="Normal 17 2" xfId="699"/>
    <cellStyle name="Normal 17 2 2" xfId="700"/>
    <cellStyle name="Normal 17 2 2 2" xfId="701"/>
    <cellStyle name="Normal 17 3" xfId="702"/>
    <cellStyle name="Normal 17 3 2" xfId="703"/>
    <cellStyle name="Normal 17 4" xfId="704"/>
    <cellStyle name="Normal 18" xfId="705"/>
    <cellStyle name="Normal 18 2" xfId="706"/>
    <cellStyle name="Normal 18 2 2" xfId="707"/>
    <cellStyle name="Normal 18 2 2 2" xfId="708"/>
    <cellStyle name="Normal 18 2 3" xfId="709"/>
    <cellStyle name="Normal 18 3" xfId="710"/>
    <cellStyle name="Normal 18 3 2" xfId="711"/>
    <cellStyle name="Normal 18 3 2 2" xfId="712"/>
    <cellStyle name="Normal 18 3 3" xfId="713"/>
    <cellStyle name="Normal 18 4" xfId="714"/>
    <cellStyle name="Normal 18 4 2" xfId="715"/>
    <cellStyle name="Normal 18 4 3" xfId="716"/>
    <cellStyle name="Normal 18 5" xfId="717"/>
    <cellStyle name="Normal 18 5 2" xfId="718"/>
    <cellStyle name="Normal 18 6" xfId="719"/>
    <cellStyle name="Normal 18 7" xfId="720"/>
    <cellStyle name="Normal 19" xfId="721"/>
    <cellStyle name="Normal 19 2" xfId="722"/>
    <cellStyle name="Normal 19 2 2" xfId="723"/>
    <cellStyle name="Normal 19 3" xfId="724"/>
    <cellStyle name="Normal 19 3 2" xfId="725"/>
    <cellStyle name="Normal 19 4" xfId="726"/>
    <cellStyle name="Normal 2" xfId="727"/>
    <cellStyle name="Normal 2 10" xfId="728"/>
    <cellStyle name="Normal 2 11" xfId="729"/>
    <cellStyle name="Normal 2 12" xfId="1300"/>
    <cellStyle name="Normal 2 2" xfId="730"/>
    <cellStyle name="Normal 2 2 2" xfId="731"/>
    <cellStyle name="Normal 2 2 2 2" xfId="732"/>
    <cellStyle name="Normal 2 2 2_JE_IS11" xfId="733"/>
    <cellStyle name="Normal 2 2 3" xfId="734"/>
    <cellStyle name="Normal 2 2 4" xfId="735"/>
    <cellStyle name="Normal 2 2 5" xfId="736"/>
    <cellStyle name="Normal 2 2 6" xfId="737"/>
    <cellStyle name="Normal 2 2 7" xfId="738"/>
    <cellStyle name="Normal 2 2 8" xfId="739"/>
    <cellStyle name="Normal 2 2 9" xfId="1304"/>
    <cellStyle name="Normal 2 2_4MthProj2" xfId="740"/>
    <cellStyle name="Normal 2 3" xfId="741"/>
    <cellStyle name="Normal 2 3 2" xfId="742"/>
    <cellStyle name="Normal 2 3 2 2" xfId="743"/>
    <cellStyle name="Normal 2 3 2 3" xfId="744"/>
    <cellStyle name="Normal 2 3 3" xfId="745"/>
    <cellStyle name="Normal 2 3 3 2" xfId="746"/>
    <cellStyle name="Normal 2 3 3 2 2" xfId="747"/>
    <cellStyle name="Normal 2 3 3 3" xfId="748"/>
    <cellStyle name="Normal 2 3 4" xfId="749"/>
    <cellStyle name="Normal 2 3 4 2" xfId="750"/>
    <cellStyle name="Normal 2 3 5" xfId="751"/>
    <cellStyle name="Normal 2 3_4MthProj2" xfId="752"/>
    <cellStyle name="Normal 2 4" xfId="753"/>
    <cellStyle name="Normal 2 4 2" xfId="754"/>
    <cellStyle name="Normal 2 4 2 2" xfId="755"/>
    <cellStyle name="Normal 2 4 3" xfId="756"/>
    <cellStyle name="Normal 2 4 3 2" xfId="757"/>
    <cellStyle name="Normal 2 5" xfId="758"/>
    <cellStyle name="Normal 2 5 2" xfId="759"/>
    <cellStyle name="Normal 2 5 3" xfId="760"/>
    <cellStyle name="Normal 2 6" xfId="761"/>
    <cellStyle name="Normal 2 6 2" xfId="762"/>
    <cellStyle name="Normal 2 6 2 2" xfId="763"/>
    <cellStyle name="Normal 2 6 2 3" xfId="764"/>
    <cellStyle name="Normal 2 6 2 4" xfId="1302"/>
    <cellStyle name="Normal 2 6 3" xfId="765"/>
    <cellStyle name="Normal 2 7" xfId="766"/>
    <cellStyle name="Normal 2 7 2" xfId="767"/>
    <cellStyle name="Normal 2 8" xfId="768"/>
    <cellStyle name="Normal 2 9" xfId="769"/>
    <cellStyle name="Normal 2_2009 Regulated Price Out" xfId="770"/>
    <cellStyle name="Normal 20" xfId="771"/>
    <cellStyle name="Normal 20 2" xfId="772"/>
    <cellStyle name="Normal 20 2 2" xfId="773"/>
    <cellStyle name="Normal 20 2 3" xfId="774"/>
    <cellStyle name="Normal 20 3" xfId="775"/>
    <cellStyle name="Normal 20 4" xfId="776"/>
    <cellStyle name="Normal 20 4 2" xfId="777"/>
    <cellStyle name="Normal 20 5" xfId="778"/>
    <cellStyle name="Normal 20 6" xfId="779"/>
    <cellStyle name="Normal 21" xfId="780"/>
    <cellStyle name="Normal 21 2" xfId="781"/>
    <cellStyle name="Normal 21 2 2" xfId="782"/>
    <cellStyle name="Normal 21 3" xfId="783"/>
    <cellStyle name="Normal 21 3 2" xfId="784"/>
    <cellStyle name="Normal 21 4" xfId="785"/>
    <cellStyle name="Normal 22" xfId="786"/>
    <cellStyle name="Normal 22 2" xfId="787"/>
    <cellStyle name="Normal 22 2 2" xfId="788"/>
    <cellStyle name="Normal 22 3" xfId="789"/>
    <cellStyle name="Normal 22 3 2" xfId="790"/>
    <cellStyle name="Normal 22 4" xfId="791"/>
    <cellStyle name="Normal 23" xfId="792"/>
    <cellStyle name="Normal 23 2" xfId="793"/>
    <cellStyle name="Normal 23 2 2" xfId="794"/>
    <cellStyle name="Normal 23 2 3" xfId="795"/>
    <cellStyle name="Normal 23 3" xfId="796"/>
    <cellStyle name="Normal 23 3 2" xfId="797"/>
    <cellStyle name="Normal 23 3 3" xfId="798"/>
    <cellStyle name="Normal 23 4" xfId="799"/>
    <cellStyle name="Normal 24" xfId="800"/>
    <cellStyle name="Normal 24 2" xfId="801"/>
    <cellStyle name="Normal 24 2 2" xfId="802"/>
    <cellStyle name="Normal 24 2 3" xfId="803"/>
    <cellStyle name="Normal 24 3" xfId="804"/>
    <cellStyle name="Normal 24 3 2" xfId="805"/>
    <cellStyle name="Normal 24 4" xfId="806"/>
    <cellStyle name="Normal 25" xfId="807"/>
    <cellStyle name="Normal 25 2" xfId="808"/>
    <cellStyle name="Normal 25 2 2" xfId="809"/>
    <cellStyle name="Normal 25 3" xfId="810"/>
    <cellStyle name="Normal 25 4" xfId="811"/>
    <cellStyle name="Normal 26" xfId="812"/>
    <cellStyle name="Normal 26 2" xfId="813"/>
    <cellStyle name="Normal 26 2 2" xfId="814"/>
    <cellStyle name="Normal 26 3" xfId="815"/>
    <cellStyle name="Normal 26 4" xfId="816"/>
    <cellStyle name="Normal 27" xfId="817"/>
    <cellStyle name="Normal 27 2" xfId="818"/>
    <cellStyle name="Normal 27 2 2" xfId="819"/>
    <cellStyle name="Normal 27 2 2 2" xfId="820"/>
    <cellStyle name="Normal 27 2 2 3" xfId="821"/>
    <cellStyle name="Normal 27 3" xfId="822"/>
    <cellStyle name="Normal 27 3 2" xfId="823"/>
    <cellStyle name="Normal 27 4" xfId="824"/>
    <cellStyle name="Normal 27 5" xfId="825"/>
    <cellStyle name="Normal 28" xfId="826"/>
    <cellStyle name="Normal 28 2" xfId="827"/>
    <cellStyle name="Normal 28 2 2" xfId="828"/>
    <cellStyle name="Normal 28 3" xfId="829"/>
    <cellStyle name="Normal 28 4" xfId="830"/>
    <cellStyle name="Normal 29" xfId="831"/>
    <cellStyle name="Normal 29 2" xfId="832"/>
    <cellStyle name="Normal 29 3" xfId="833"/>
    <cellStyle name="Normal 29 4" xfId="834"/>
    <cellStyle name="Normal 3" xfId="835"/>
    <cellStyle name="Normal 3 2" xfId="836"/>
    <cellStyle name="Normal 3 2 2" xfId="837"/>
    <cellStyle name="Normal 3 2 2 2" xfId="838"/>
    <cellStyle name="Normal 3 2 2 2 2" xfId="839"/>
    <cellStyle name="Normal 3 2 2 2 3" xfId="840"/>
    <cellStyle name="Normal 3 2 3" xfId="841"/>
    <cellStyle name="Normal 3 2 3 2" xfId="842"/>
    <cellStyle name="Normal 3 3" xfId="843"/>
    <cellStyle name="Normal 3 3 2" xfId="844"/>
    <cellStyle name="Normal 3 3 2 2" xfId="845"/>
    <cellStyle name="Normal 3 3 3" xfId="846"/>
    <cellStyle name="Normal 3 3 4" xfId="847"/>
    <cellStyle name="Normal 3 4" xfId="848"/>
    <cellStyle name="Normal 3 4 2" xfId="849"/>
    <cellStyle name="Normal 3_2012 PR" xfId="850"/>
    <cellStyle name="Normal 30" xfId="851"/>
    <cellStyle name="Normal 30 2" xfId="852"/>
    <cellStyle name="Normal 30 3" xfId="853"/>
    <cellStyle name="Normal 30 4" xfId="854"/>
    <cellStyle name="Normal 31" xfId="855"/>
    <cellStyle name="Normal 31 2" xfId="856"/>
    <cellStyle name="Normal 31 2 2" xfId="857"/>
    <cellStyle name="Normal 31 2 2 2" xfId="858"/>
    <cellStyle name="Normal 31 2 2 3" xfId="859"/>
    <cellStyle name="Normal 31 2 3" xfId="860"/>
    <cellStyle name="Normal 31 3" xfId="861"/>
    <cellStyle name="Normal 31 3 2" xfId="862"/>
    <cellStyle name="Normal 31 3 3" xfId="863"/>
    <cellStyle name="Normal 31 4" xfId="864"/>
    <cellStyle name="Normal 31 4 2" xfId="865"/>
    <cellStyle name="Normal 31 4 3" xfId="866"/>
    <cellStyle name="Normal 32" xfId="867"/>
    <cellStyle name="Normal 32 2" xfId="868"/>
    <cellStyle name="Normal 32 2 2" xfId="869"/>
    <cellStyle name="Normal 32 2 2 2" xfId="870"/>
    <cellStyle name="Normal 32 2 3" xfId="871"/>
    <cellStyle name="Normal 32 3" xfId="872"/>
    <cellStyle name="Normal 32 3 2" xfId="873"/>
    <cellStyle name="Normal 32 3 3" xfId="874"/>
    <cellStyle name="Normal 32 4" xfId="875"/>
    <cellStyle name="Normal 32 4 2" xfId="876"/>
    <cellStyle name="Normal 32 4 3" xfId="877"/>
    <cellStyle name="Normal 33" xfId="878"/>
    <cellStyle name="Normal 33 2" xfId="879"/>
    <cellStyle name="Normal 33 3" xfId="880"/>
    <cellStyle name="Normal 34" xfId="881"/>
    <cellStyle name="Normal 34 2" xfId="882"/>
    <cellStyle name="Normal 34 3" xfId="883"/>
    <cellStyle name="Normal 35" xfId="884"/>
    <cellStyle name="Normal 35 2" xfId="885"/>
    <cellStyle name="Normal 35 2 2" xfId="886"/>
    <cellStyle name="Normal 35 2 3" xfId="887"/>
    <cellStyle name="Normal 35 3" xfId="888"/>
    <cellStyle name="Normal 35 3 2" xfId="889"/>
    <cellStyle name="Normal 35 3 3" xfId="890"/>
    <cellStyle name="Normal 36" xfId="891"/>
    <cellStyle name="Normal 36 2" xfId="892"/>
    <cellStyle name="Normal 36 2 2" xfId="893"/>
    <cellStyle name="Normal 36 2 3" xfId="894"/>
    <cellStyle name="Normal 36 3" xfId="895"/>
    <cellStyle name="Normal 37" xfId="896"/>
    <cellStyle name="Normal 37 2" xfId="897"/>
    <cellStyle name="Normal 37 2 2" xfId="898"/>
    <cellStyle name="Normal 37 2 3" xfId="899"/>
    <cellStyle name="Normal 37 3" xfId="900"/>
    <cellStyle name="Normal 38" xfId="901"/>
    <cellStyle name="Normal 38 2" xfId="902"/>
    <cellStyle name="Normal 38 2 2" xfId="903"/>
    <cellStyle name="Normal 38 2 3" xfId="904"/>
    <cellStyle name="Normal 38 3" xfId="905"/>
    <cellStyle name="Normal 39" xfId="906"/>
    <cellStyle name="Normal 39 2" xfId="907"/>
    <cellStyle name="Normal 39 2 2" xfId="908"/>
    <cellStyle name="Normal 39 2 3" xfId="909"/>
    <cellStyle name="Normal 39 3" xfId="910"/>
    <cellStyle name="Normal 4" xfId="911"/>
    <cellStyle name="Normal 4 2" xfId="912"/>
    <cellStyle name="Normal 4 2 2" xfId="913"/>
    <cellStyle name="Normal 4 2 2 2" xfId="914"/>
    <cellStyle name="Normal 4 2 3" xfId="915"/>
    <cellStyle name="Normal 4 2 4" xfId="916"/>
    <cellStyle name="Normal 4 3" xfId="917"/>
    <cellStyle name="Normal 4 3 2" xfId="918"/>
    <cellStyle name="Normal 4 3 2 2" xfId="919"/>
    <cellStyle name="Normal 4 3 3" xfId="920"/>
    <cellStyle name="Normal 4 4" xfId="921"/>
    <cellStyle name="Normal 4 4 2" xfId="922"/>
    <cellStyle name="Normal 4 5" xfId="923"/>
    <cellStyle name="Normal 4_B&amp;O Taxes" xfId="924"/>
    <cellStyle name="Normal 40" xfId="925"/>
    <cellStyle name="Normal 40 2" xfId="926"/>
    <cellStyle name="Normal 40 2 2" xfId="927"/>
    <cellStyle name="Normal 40 2 3" xfId="928"/>
    <cellStyle name="Normal 40 3" xfId="929"/>
    <cellStyle name="Normal 41" xfId="930"/>
    <cellStyle name="Normal 41 2" xfId="931"/>
    <cellStyle name="Normal 41 2 2" xfId="932"/>
    <cellStyle name="Normal 41 2 3" xfId="933"/>
    <cellStyle name="Normal 41 3" xfId="934"/>
    <cellStyle name="Normal 42" xfId="935"/>
    <cellStyle name="Normal 42 2" xfId="936"/>
    <cellStyle name="Normal 42 3" xfId="937"/>
    <cellStyle name="Normal 43" xfId="938"/>
    <cellStyle name="Normal 43 2" xfId="939"/>
    <cellStyle name="Normal 43 3" xfId="940"/>
    <cellStyle name="Normal 44" xfId="941"/>
    <cellStyle name="Normal 44 2" xfId="942"/>
    <cellStyle name="Normal 44 2 2" xfId="943"/>
    <cellStyle name="Normal 44 2 3" xfId="944"/>
    <cellStyle name="Normal 44 3" xfId="945"/>
    <cellStyle name="Normal 45" xfId="946"/>
    <cellStyle name="Normal 45 2" xfId="947"/>
    <cellStyle name="Normal 45 3" xfId="948"/>
    <cellStyle name="Normal 46" xfId="949"/>
    <cellStyle name="Normal 46 2" xfId="950"/>
    <cellStyle name="Normal 46 3" xfId="951"/>
    <cellStyle name="Normal 47" xfId="952"/>
    <cellStyle name="Normal 47 2" xfId="953"/>
    <cellStyle name="Normal 47 3" xfId="954"/>
    <cellStyle name="Normal 48" xfId="955"/>
    <cellStyle name="Normal 48 2" xfId="956"/>
    <cellStyle name="Normal 48 3" xfId="957"/>
    <cellStyle name="Normal 49" xfId="958"/>
    <cellStyle name="Normal 49 2" xfId="959"/>
    <cellStyle name="Normal 49 3" xfId="960"/>
    <cellStyle name="Normal 5" xfId="961"/>
    <cellStyle name="Normal 5 2" xfId="962"/>
    <cellStyle name="Normal 5 2 2" xfId="963"/>
    <cellStyle name="Normal 5 2 2 2" xfId="964"/>
    <cellStyle name="Normal 5 2 2 2 2" xfId="965"/>
    <cellStyle name="Normal 5 2 2 3" xfId="966"/>
    <cellStyle name="Normal 5 2 3" xfId="967"/>
    <cellStyle name="Normal 5 2 3 2" xfId="968"/>
    <cellStyle name="Normal 5 2 4" xfId="969"/>
    <cellStyle name="Normal 5 3" xfId="970"/>
    <cellStyle name="Normal 5 3 2" xfId="971"/>
    <cellStyle name="Normal 5 3 2 2" xfId="972"/>
    <cellStyle name="Normal 5 3 3" xfId="973"/>
    <cellStyle name="Normal 5 4" xfId="974"/>
    <cellStyle name="Normal 5 4 2" xfId="975"/>
    <cellStyle name="Normal 5 5" xfId="976"/>
    <cellStyle name="Normal 5_2112 DF Schedule" xfId="977"/>
    <cellStyle name="Normal 50" xfId="978"/>
    <cellStyle name="Normal 50 2" xfId="979"/>
    <cellStyle name="Normal 50 3" xfId="980"/>
    <cellStyle name="Normal 51" xfId="981"/>
    <cellStyle name="Normal 51 2" xfId="982"/>
    <cellStyle name="Normal 51 3" xfId="983"/>
    <cellStyle name="Normal 52" xfId="984"/>
    <cellStyle name="Normal 52 2" xfId="985"/>
    <cellStyle name="Normal 52 3" xfId="986"/>
    <cellStyle name="Normal 53" xfId="987"/>
    <cellStyle name="Normal 53 2" xfId="988"/>
    <cellStyle name="Normal 53 3" xfId="989"/>
    <cellStyle name="Normal 54" xfId="990"/>
    <cellStyle name="Normal 54 2" xfId="991"/>
    <cellStyle name="Normal 54 3" xfId="992"/>
    <cellStyle name="Normal 55" xfId="993"/>
    <cellStyle name="Normal 55 2" xfId="994"/>
    <cellStyle name="Normal 55 3" xfId="995"/>
    <cellStyle name="Normal 56" xfId="996"/>
    <cellStyle name="Normal 56 2" xfId="997"/>
    <cellStyle name="Normal 56 3" xfId="998"/>
    <cellStyle name="Normal 57" xfId="999"/>
    <cellStyle name="Normal 57 2" xfId="1000"/>
    <cellStyle name="Normal 57 3" xfId="1001"/>
    <cellStyle name="Normal 58" xfId="1002"/>
    <cellStyle name="Normal 58 2" xfId="1003"/>
    <cellStyle name="Normal 58 3" xfId="1004"/>
    <cellStyle name="Normal 59" xfId="1005"/>
    <cellStyle name="Normal 59 2" xfId="1006"/>
    <cellStyle name="Normal 59 3" xfId="1007"/>
    <cellStyle name="Normal 6" xfId="1008"/>
    <cellStyle name="Normal 6 2" xfId="1009"/>
    <cellStyle name="Normal 6 2 2" xfId="1010"/>
    <cellStyle name="Normal 6 2 2 2" xfId="1011"/>
    <cellStyle name="Normal 6 2 2 2 2" xfId="1012"/>
    <cellStyle name="Normal 6 2 2 2 3" xfId="1013"/>
    <cellStyle name="Normal 6 2 2 3" xfId="1014"/>
    <cellStyle name="Normal 6 2 3" xfId="1015"/>
    <cellStyle name="Normal 6 2 3 2" xfId="1016"/>
    <cellStyle name="Normal 6 2 4" xfId="1017"/>
    <cellStyle name="Normal 6 3" xfId="1018"/>
    <cellStyle name="Normal 6 3 2" xfId="1019"/>
    <cellStyle name="Normal 6 3 2 2" xfId="1020"/>
    <cellStyle name="Normal 6 3 3" xfId="1021"/>
    <cellStyle name="Normal 6 4" xfId="1022"/>
    <cellStyle name="Normal 6 4 2" xfId="1023"/>
    <cellStyle name="Normal 6 5" xfId="1024"/>
    <cellStyle name="Normal 60" xfId="1025"/>
    <cellStyle name="Normal 60 2" xfId="1026"/>
    <cellStyle name="Normal 60 3" xfId="1027"/>
    <cellStyle name="Normal 61" xfId="1028"/>
    <cellStyle name="Normal 61 2" xfId="1029"/>
    <cellStyle name="Normal 61 3" xfId="1030"/>
    <cellStyle name="Normal 62" xfId="1031"/>
    <cellStyle name="Normal 62 2" xfId="1032"/>
    <cellStyle name="Normal 62 3" xfId="1033"/>
    <cellStyle name="Normal 63" xfId="1034"/>
    <cellStyle name="Normal 63 2" xfId="1035"/>
    <cellStyle name="Normal 63 3" xfId="1036"/>
    <cellStyle name="Normal 64" xfId="1037"/>
    <cellStyle name="Normal 64 2" xfId="1038"/>
    <cellStyle name="Normal 64 3" xfId="1039"/>
    <cellStyle name="Normal 65" xfId="1040"/>
    <cellStyle name="Normal 65 2" xfId="1041"/>
    <cellStyle name="Normal 65 3" xfId="1042"/>
    <cellStyle name="Normal 66" xfId="1043"/>
    <cellStyle name="Normal 66 2" xfId="1044"/>
    <cellStyle name="Normal 66 3" xfId="1045"/>
    <cellStyle name="Normal 67" xfId="1046"/>
    <cellStyle name="Normal 67 2" xfId="1047"/>
    <cellStyle name="Normal 67 3" xfId="1048"/>
    <cellStyle name="Normal 68" xfId="1049"/>
    <cellStyle name="Normal 68 2" xfId="1050"/>
    <cellStyle name="Normal 68 3" xfId="1051"/>
    <cellStyle name="Normal 69" xfId="1052"/>
    <cellStyle name="Normal 69 2" xfId="1053"/>
    <cellStyle name="Normal 69 3" xfId="1054"/>
    <cellStyle name="Normal 7" xfId="1055"/>
    <cellStyle name="Normal 7 2" xfId="1056"/>
    <cellStyle name="Normal 7 2 2" xfId="1057"/>
    <cellStyle name="Normal 7 2 2 2" xfId="1058"/>
    <cellStyle name="Normal 7 2 2 2 2" xfId="1059"/>
    <cellStyle name="Normal 7 2 2 2 2 2" xfId="1060"/>
    <cellStyle name="Normal 7 2 2 2 3" xfId="1061"/>
    <cellStyle name="Normal 7 2 2 3" xfId="1062"/>
    <cellStyle name="Normal 7 2 2 3 2" xfId="1063"/>
    <cellStyle name="Normal 7 2 2 3 3" xfId="1064"/>
    <cellStyle name="Normal 7 2 2 4" xfId="1065"/>
    <cellStyle name="Normal 7 2 3" xfId="1066"/>
    <cellStyle name="Normal 7 2 3 2" xfId="1067"/>
    <cellStyle name="Normal 7 2 3 2 2" xfId="1068"/>
    <cellStyle name="Normal 7 2 3 3" xfId="1069"/>
    <cellStyle name="Normal 7 2 4" xfId="1070"/>
    <cellStyle name="Normal 7 2 4 2" xfId="1071"/>
    <cellStyle name="Normal 7 2 5" xfId="1072"/>
    <cellStyle name="Normal 7 3" xfId="1073"/>
    <cellStyle name="Normal 7 3 2" xfId="1074"/>
    <cellStyle name="Normal 7 3 2 2" xfId="1075"/>
    <cellStyle name="Normal 7 3 2 2 2" xfId="1076"/>
    <cellStyle name="Normal 7 3 2 3" xfId="1077"/>
    <cellStyle name="Normal 7 3 3" xfId="1078"/>
    <cellStyle name="Normal 7 3 3 2" xfId="1079"/>
    <cellStyle name="Normal 7 3 4" xfId="1080"/>
    <cellStyle name="Normal 7 4" xfId="1081"/>
    <cellStyle name="Normal 7 4 2" xfId="1082"/>
    <cellStyle name="Normal 7 4 2 2" xfId="1083"/>
    <cellStyle name="Normal 7 4 3" xfId="1084"/>
    <cellStyle name="Normal 7 5" xfId="1085"/>
    <cellStyle name="Normal 7 5 2" xfId="1086"/>
    <cellStyle name="Normal 7 6" xfId="1087"/>
    <cellStyle name="Normal 70" xfId="1088"/>
    <cellStyle name="Normal 70 2" xfId="1089"/>
    <cellStyle name="Normal 70 3" xfId="1090"/>
    <cellStyle name="Normal 71" xfId="1091"/>
    <cellStyle name="Normal 72" xfId="1092"/>
    <cellStyle name="Normal 73" xfId="1093"/>
    <cellStyle name="Normal 74" xfId="1094"/>
    <cellStyle name="Normal 75" xfId="1095"/>
    <cellStyle name="Normal 76" xfId="1096"/>
    <cellStyle name="Normal 77" xfId="1097"/>
    <cellStyle name="Normal 78" xfId="1098"/>
    <cellStyle name="Normal 79" xfId="1099"/>
    <cellStyle name="Normal 8" xfId="1100"/>
    <cellStyle name="Normal 8 2" xfId="1101"/>
    <cellStyle name="Normal 8 2 2" xfId="1102"/>
    <cellStyle name="Normal 8 2 2 2" xfId="1103"/>
    <cellStyle name="Normal 8 2 2 2 2" xfId="1104"/>
    <cellStyle name="Normal 8 2 2 2 3" xfId="1105"/>
    <cellStyle name="Normal 8 2 2 3" xfId="1106"/>
    <cellStyle name="Normal 8 2 3" xfId="1107"/>
    <cellStyle name="Normal 8 2 3 2" xfId="1108"/>
    <cellStyle name="Normal 8 2 4" xfId="1109"/>
    <cellStyle name="Normal 8 3" xfId="1110"/>
    <cellStyle name="Normal 8 3 2" xfId="1111"/>
    <cellStyle name="Normal 8 3 2 2" xfId="1112"/>
    <cellStyle name="Normal 8 3 3" xfId="1113"/>
    <cellStyle name="Normal 8 4" xfId="1114"/>
    <cellStyle name="Normal 8 4 2" xfId="1115"/>
    <cellStyle name="Normal 8 5" xfId="1116"/>
    <cellStyle name="Normal 80" xfId="1117"/>
    <cellStyle name="Normal 81" xfId="1118"/>
    <cellStyle name="Normal 82" xfId="1119"/>
    <cellStyle name="Normal 83" xfId="1120"/>
    <cellStyle name="Normal 84" xfId="1121"/>
    <cellStyle name="Normal 84 2" xfId="1122"/>
    <cellStyle name="Normal 84 3" xfId="1123"/>
    <cellStyle name="Normal 85" xfId="1124"/>
    <cellStyle name="Normal 85 2" xfId="1125"/>
    <cellStyle name="Normal 85 2 2" xfId="1126"/>
    <cellStyle name="Normal 85 3" xfId="1127"/>
    <cellStyle name="Normal 86" xfId="1128"/>
    <cellStyle name="Normal 86 2" xfId="1129"/>
    <cellStyle name="Normal 86 3" xfId="1130"/>
    <cellStyle name="Normal 87" xfId="1131"/>
    <cellStyle name="Normal 87 2" xfId="1132"/>
    <cellStyle name="Normal 88" xfId="1133"/>
    <cellStyle name="Normal 88 2" xfId="1134"/>
    <cellStyle name="Normal 89" xfId="1135"/>
    <cellStyle name="Normal 9" xfId="1136"/>
    <cellStyle name="Normal 9 2" xfId="1137"/>
    <cellStyle name="Normal 9 2 2" xfId="1138"/>
    <cellStyle name="Normal 9 2 2 2" xfId="1139"/>
    <cellStyle name="Normal 9 2 2 2 2" xfId="1140"/>
    <cellStyle name="Normal 9 2 2 2 3" xfId="1141"/>
    <cellStyle name="Normal 9 2 2 3" xfId="1142"/>
    <cellStyle name="Normal 9 2 3" xfId="1143"/>
    <cellStyle name="Normal 9 2 3 2" xfId="1144"/>
    <cellStyle name="Normal 9 2 4" xfId="1145"/>
    <cellStyle name="Normal 9 3" xfId="1146"/>
    <cellStyle name="Normal 9 3 2" xfId="1147"/>
    <cellStyle name="Normal 9 3 2 2" xfId="1148"/>
    <cellStyle name="Normal 9 3 3" xfId="1149"/>
    <cellStyle name="Normal 9 4" xfId="1150"/>
    <cellStyle name="Normal 9 4 2" xfId="1151"/>
    <cellStyle name="Normal 9 5" xfId="1152"/>
    <cellStyle name="Normal 90" xfId="1153"/>
    <cellStyle name="Normal 91" xfId="1154"/>
    <cellStyle name="Normal 92" xfId="1155"/>
    <cellStyle name="Normal 92 2" xfId="1156"/>
    <cellStyle name="Normal 93" xfId="1157"/>
    <cellStyle name="Normal 93 2" xfId="1158"/>
    <cellStyle name="Normal 94" xfId="1159"/>
    <cellStyle name="Normal 94 2" xfId="1160"/>
    <cellStyle name="Normal 95" xfId="1161"/>
    <cellStyle name="Normal 95 2" xfId="1162"/>
    <cellStyle name="Normal 96" xfId="1163"/>
    <cellStyle name="Normal 96 2" xfId="1164"/>
    <cellStyle name="Normal 97" xfId="1165"/>
    <cellStyle name="Normal 97 2" xfId="1166"/>
    <cellStyle name="Normal 98" xfId="1167"/>
    <cellStyle name="Normal 98 2" xfId="1168"/>
    <cellStyle name="Normal 99" xfId="1169"/>
    <cellStyle name="Normal 99 2" xfId="1170"/>
    <cellStyle name="Normal_Book3" xfId="1171"/>
    <cellStyle name="Normal_M-A DF Calculation 3-1-2013-Final" xfId="1172"/>
    <cellStyle name="Normal_Regulated Price Out 9-6-2011 Final HL" xfId="4"/>
    <cellStyle name="Note 2" xfId="1173"/>
    <cellStyle name="Note 2 2" xfId="1174"/>
    <cellStyle name="Note 2 3" xfId="1175"/>
    <cellStyle name="Note 2 4" xfId="1176"/>
    <cellStyle name="Note 3" xfId="1177"/>
    <cellStyle name="Note 3 2" xfId="1178"/>
    <cellStyle name="Note 3 3" xfId="1179"/>
    <cellStyle name="Note 3 4" xfId="1180"/>
    <cellStyle name="Note 4" xfId="1181"/>
    <cellStyle name="Note 4 2" xfId="1182"/>
    <cellStyle name="Note 5" xfId="1183"/>
    <cellStyle name="Notes" xfId="1184"/>
    <cellStyle name="Output 2" xfId="1185"/>
    <cellStyle name="Output 2 2" xfId="1186"/>
    <cellStyle name="Output 2 2 2" xfId="1187"/>
    <cellStyle name="Output 2 3" xfId="1188"/>
    <cellStyle name="Output 3" xfId="1189"/>
    <cellStyle name="Output 3 2" xfId="1190"/>
    <cellStyle name="Output 4" xfId="1191"/>
    <cellStyle name="Percent" xfId="3" builtinId="5"/>
    <cellStyle name="Percent 10" xfId="1192"/>
    <cellStyle name="Percent 10 2" xfId="1193"/>
    <cellStyle name="Percent 10 3" xfId="1194"/>
    <cellStyle name="Percent 2" xfId="1195"/>
    <cellStyle name="Percent 2 2" xfId="1196"/>
    <cellStyle name="Percent 2 2 2" xfId="1197"/>
    <cellStyle name="Percent 2 2 3" xfId="1198"/>
    <cellStyle name="Percent 2 3" xfId="1199"/>
    <cellStyle name="Percent 2 4" xfId="1200"/>
    <cellStyle name="Percent 2 6" xfId="1201"/>
    <cellStyle name="Percent 3" xfId="1202"/>
    <cellStyle name="Percent 3 2" xfId="1203"/>
    <cellStyle name="Percent 3 2 2" xfId="1204"/>
    <cellStyle name="Percent 3 2 2 2" xfId="1205"/>
    <cellStyle name="Percent 3 2 2 2 2" xfId="1206"/>
    <cellStyle name="Percent 3 2 2 3" xfId="1207"/>
    <cellStyle name="Percent 3 2 3" xfId="1208"/>
    <cellStyle name="Percent 3 2 3 2" xfId="1209"/>
    <cellStyle name="Percent 3 2 4" xfId="1210"/>
    <cellStyle name="Percent 3 3" xfId="1211"/>
    <cellStyle name="Percent 3 3 2" xfId="1212"/>
    <cellStyle name="Percent 3 3 2 2" xfId="1213"/>
    <cellStyle name="Percent 3 3 3" xfId="1214"/>
    <cellStyle name="Percent 3 4" xfId="1215"/>
    <cellStyle name="Percent 3 4 2" xfId="1216"/>
    <cellStyle name="Percent 3 5" xfId="1217"/>
    <cellStyle name="Percent 3 5 2" xfId="1218"/>
    <cellStyle name="Percent 3 5 3" xfId="1219"/>
    <cellStyle name="Percent 3 6" xfId="1220"/>
    <cellStyle name="Percent 4" xfId="1221"/>
    <cellStyle name="Percent 4 2" xfId="1222"/>
    <cellStyle name="Percent 4 3" xfId="1223"/>
    <cellStyle name="Percent 4 4" xfId="1224"/>
    <cellStyle name="Percent 4 4 2" xfId="1225"/>
    <cellStyle name="Percent 4 4 2 2" xfId="1226"/>
    <cellStyle name="Percent 4 4 2 3" xfId="1227"/>
    <cellStyle name="Percent 5" xfId="1228"/>
    <cellStyle name="Percent 5 2" xfId="1229"/>
    <cellStyle name="Percent 5 2 2" xfId="1230"/>
    <cellStyle name="Percent 5 2 2 2" xfId="1231"/>
    <cellStyle name="Percent 5 2 3" xfId="1232"/>
    <cellStyle name="Percent 5 3" xfId="1233"/>
    <cellStyle name="Percent 5 3 2" xfId="1234"/>
    <cellStyle name="Percent 5 4" xfId="1235"/>
    <cellStyle name="Percent 5 4 2" xfId="1236"/>
    <cellStyle name="Percent 6" xfId="1237"/>
    <cellStyle name="Percent 6 2" xfId="1238"/>
    <cellStyle name="Percent 6 2 2" xfId="1239"/>
    <cellStyle name="Percent 6 3" xfId="1240"/>
    <cellStyle name="Percent 7" xfId="1241"/>
    <cellStyle name="Percent 7 2" xfId="1242"/>
    <cellStyle name="Percent 7 2 2" xfId="1243"/>
    <cellStyle name="Percent 7 3" xfId="1244"/>
    <cellStyle name="Percent 7 4" xfId="1245"/>
    <cellStyle name="Percent 8" xfId="1246"/>
    <cellStyle name="Percent 8 2" xfId="1247"/>
    <cellStyle name="Percent 9" xfId="1248"/>
    <cellStyle name="Percent 9 2" xfId="1249"/>
    <cellStyle name="Percent 9 3" xfId="1250"/>
    <cellStyle name="Percent(1)" xfId="1251"/>
    <cellStyle name="Percent(2)" xfId="1252"/>
    <cellStyle name="Posting_Period" xfId="1253"/>
    <cellStyle name="PRM" xfId="1254"/>
    <cellStyle name="PRM 2" xfId="1255"/>
    <cellStyle name="PRM 3" xfId="1256"/>
    <cellStyle name="PRM_2011-11" xfId="1257"/>
    <cellStyle name="PS_Comma" xfId="1258"/>
    <cellStyle name="PSChar" xfId="1259"/>
    <cellStyle name="PSDate" xfId="1260"/>
    <cellStyle name="PSDec" xfId="1261"/>
    <cellStyle name="PSHeading" xfId="1262"/>
    <cellStyle name="PSInt" xfId="1263"/>
    <cellStyle name="PSSpacer" xfId="1264"/>
    <cellStyle name="STYL0 - Style1" xfId="1265"/>
    <cellStyle name="STYL1 - Style2" xfId="1266"/>
    <cellStyle name="STYL2 - Style3" xfId="1267"/>
    <cellStyle name="STYL3 - Style4" xfId="1268"/>
    <cellStyle name="STYL4 - Style5" xfId="1269"/>
    <cellStyle name="STYL5 - Style6" xfId="1270"/>
    <cellStyle name="STYL6 - Style7" xfId="1271"/>
    <cellStyle name="STYL7 - Style8" xfId="1272"/>
    <cellStyle name="Style 1" xfId="1273"/>
    <cellStyle name="Style 1 2" xfId="1274"/>
    <cellStyle name="STYLE1" xfId="1275"/>
    <cellStyle name="STYLE1 2" xfId="1276"/>
    <cellStyle name="sub heading" xfId="1277"/>
    <cellStyle name="Tax_Rate" xfId="1278"/>
    <cellStyle name="Title 2" xfId="1279"/>
    <cellStyle name="Title 2 2" xfId="1280"/>
    <cellStyle name="Title 2 2 2" xfId="1281"/>
    <cellStyle name="Title 2 3" xfId="1282"/>
    <cellStyle name="Title 3" xfId="1283"/>
    <cellStyle name="Title 3 2" xfId="1284"/>
    <cellStyle name="Title 4" xfId="1285"/>
    <cellStyle name="Total 2" xfId="1286"/>
    <cellStyle name="Total 2 2" xfId="1287"/>
    <cellStyle name="Total 2 3" xfId="1288"/>
    <cellStyle name="Total 2 4" xfId="1289"/>
    <cellStyle name="Total 3" xfId="1290"/>
    <cellStyle name="Total 3 2" xfId="1291"/>
    <cellStyle name="Total 3 3" xfId="1292"/>
    <cellStyle name="Total 4" xfId="1293"/>
    <cellStyle name="Total 4 2" xfId="1294"/>
    <cellStyle name="Transcript_Date" xfId="1295"/>
    <cellStyle name="Warning Text 2" xfId="1296"/>
    <cellStyle name="Warning Text 3" xfId="1297"/>
    <cellStyle name="Warning Text 4" xfId="1298"/>
    <cellStyle name="WM_STANDARD" xfId="1299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Mason/Rate%20Increase%201-1-2013/1%20Filing%2011-14-2012/Revised%202-21-2013/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Audit/Final/TG-160424%20CRD%20Pro%20forma%203-31-2016%20Staff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Western%20Region/ControllerDir/Brent_Blair_Kortney/PO%20Report%20by%20Division/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Vashon/Rate%20Incr%201-1-2012/Vashon%20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Annual%20Reports/2180%20LeMay/2009/LeMay%20Annual%20Report%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LeMay/Master%20Truck%20Schedule/South_LeMay%20Master%20Truck%20Schedule-Shar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Staff Adjustments"/>
      <sheetName val="Ratios"/>
      <sheetName val="Staff LG G-48"/>
      <sheetName val="LG"/>
      <sheetName val="LG G-48"/>
      <sheetName val="LG G-51"/>
      <sheetName val=" Staff G-48 Price Out"/>
      <sheetName val="G-51 Price Out"/>
      <sheetName val="Rate Schedule G-48"/>
      <sheetName val="References"/>
      <sheetName val="Staff Reference"/>
      <sheetName val="Staff Tariff Changes"/>
      <sheetName val="Staff Disposal Calcs"/>
      <sheetName val="Staff Customer Counts"/>
      <sheetName val="G-48 DF Calc"/>
      <sheetName val="DF Schedule"/>
      <sheetName val="Staff Depr Summary"/>
      <sheetName val="Staff Depr Calculation"/>
      <sheetName val="Staff 2008 Peterblt calc"/>
      <sheetName val="Depr Summary"/>
      <sheetName val="Depreciation"/>
      <sheetName val="Staff Fuel"/>
      <sheetName val="Payroll Detail Staff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>
        <row r="10">
          <cell r="G10">
            <v>4697.8500000000004</v>
          </cell>
        </row>
      </sheetData>
      <sheetData sheetId="2">
        <row r="11">
          <cell r="G11">
            <v>1890.3621021897816</v>
          </cell>
        </row>
      </sheetData>
      <sheetData sheetId="3">
        <row r="30">
          <cell r="J30">
            <v>5773.1046131634448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E3">
            <v>1042968.7335742195</v>
          </cell>
        </row>
      </sheetData>
      <sheetData sheetId="10"/>
      <sheetData sheetId="11"/>
      <sheetData sheetId="12"/>
      <sheetData sheetId="13">
        <row r="14">
          <cell r="D14">
            <v>14.27</v>
          </cell>
        </row>
      </sheetData>
      <sheetData sheetId="14"/>
      <sheetData sheetId="15"/>
      <sheetData sheetId="16">
        <row r="5">
          <cell r="C5">
            <v>13</v>
          </cell>
        </row>
      </sheetData>
      <sheetData sheetId="17"/>
      <sheetData sheetId="18"/>
      <sheetData sheetId="19">
        <row r="4">
          <cell r="L4">
            <v>4.783124729467951E-2</v>
          </cell>
        </row>
      </sheetData>
      <sheetData sheetId="20"/>
      <sheetData sheetId="21">
        <row r="11">
          <cell r="L11">
            <v>0.05</v>
          </cell>
        </row>
      </sheetData>
      <sheetData sheetId="22">
        <row r="56">
          <cell r="C56">
            <v>2521.0289343065688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D6">
            <v>10000</v>
          </cell>
        </row>
        <row r="8">
          <cell r="H8" t="str">
            <v>2017-02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3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85" zoomScaleNormal="85" workbookViewId="0">
      <selection activeCell="G37" sqref="G37"/>
    </sheetView>
  </sheetViews>
  <sheetFormatPr defaultRowHeight="15"/>
  <cols>
    <col min="1" max="1" width="31.28515625" style="193" customWidth="1"/>
    <col min="2" max="2" width="7" style="193" customWidth="1"/>
    <col min="3" max="8" width="13.85546875" style="193" customWidth="1"/>
    <col min="9" max="9" width="12" style="193" customWidth="1"/>
    <col min="10" max="10" width="15.85546875" style="193" bestFit="1" customWidth="1"/>
    <col min="11" max="11" width="14.5703125" style="193" customWidth="1"/>
    <col min="12" max="16384" width="9.140625" style="193"/>
  </cols>
  <sheetData>
    <row r="1" spans="1:9">
      <c r="A1" s="198" t="s">
        <v>0</v>
      </c>
    </row>
    <row r="2" spans="1:9">
      <c r="A2" s="198" t="s">
        <v>311</v>
      </c>
    </row>
    <row r="4" spans="1:9">
      <c r="A4" s="390" t="s">
        <v>312</v>
      </c>
      <c r="B4" s="390"/>
      <c r="C4" s="390"/>
      <c r="D4" s="390"/>
      <c r="E4" s="390"/>
      <c r="F4" s="390"/>
      <c r="G4" s="390"/>
      <c r="H4" s="390"/>
      <c r="I4" s="390"/>
    </row>
    <row r="5" spans="1:9">
      <c r="A5" s="193" t="s">
        <v>313</v>
      </c>
      <c r="C5" s="194" t="s">
        <v>314</v>
      </c>
      <c r="D5" s="194" t="s">
        <v>315</v>
      </c>
      <c r="E5" s="194" t="s">
        <v>316</v>
      </c>
      <c r="F5" s="195" t="s">
        <v>317</v>
      </c>
      <c r="G5" s="195" t="s">
        <v>318</v>
      </c>
      <c r="H5" s="195" t="s">
        <v>319</v>
      </c>
      <c r="I5" s="194" t="s">
        <v>320</v>
      </c>
    </row>
    <row r="6" spans="1:9">
      <c r="A6" s="193" t="s">
        <v>321</v>
      </c>
      <c r="C6" s="214">
        <f>52*5/12</f>
        <v>21.666666666666668</v>
      </c>
      <c r="D6" s="196">
        <f>$C$6*2</f>
        <v>43.333333333333336</v>
      </c>
      <c r="E6" s="196">
        <f>$C$6*3</f>
        <v>65</v>
      </c>
      <c r="F6" s="196">
        <f>$C$6*4</f>
        <v>86.666666666666671</v>
      </c>
      <c r="G6" s="196">
        <f>$C$6*5</f>
        <v>108.33333333333334</v>
      </c>
      <c r="H6" s="196">
        <f>$C$6*6</f>
        <v>130</v>
      </c>
      <c r="I6" s="196">
        <f>$C$6*7</f>
        <v>151.66666666666669</v>
      </c>
    </row>
    <row r="7" spans="1:9">
      <c r="A7" s="193" t="s">
        <v>322</v>
      </c>
      <c r="C7" s="214">
        <f>52*4/12</f>
        <v>17.333333333333332</v>
      </c>
      <c r="D7" s="196">
        <f>$C$7*2</f>
        <v>34.666666666666664</v>
      </c>
      <c r="E7" s="196">
        <f>$C$7*3</f>
        <v>52</v>
      </c>
      <c r="F7" s="196">
        <f>$C$7*4</f>
        <v>69.333333333333329</v>
      </c>
      <c r="G7" s="196">
        <f>$C$7*5</f>
        <v>86.666666666666657</v>
      </c>
      <c r="H7" s="196">
        <f>$C$7*6</f>
        <v>104</v>
      </c>
      <c r="I7" s="196">
        <f>$C$7*7</f>
        <v>121.33333333333333</v>
      </c>
    </row>
    <row r="8" spans="1:9">
      <c r="A8" s="193" t="s">
        <v>323</v>
      </c>
      <c r="C8" s="214">
        <f>52*3/12</f>
        <v>13</v>
      </c>
      <c r="D8" s="196">
        <f>$C$8*2</f>
        <v>26</v>
      </c>
      <c r="E8" s="196">
        <f>$C$8*3</f>
        <v>39</v>
      </c>
      <c r="F8" s="196">
        <f>$C$8*4</f>
        <v>52</v>
      </c>
      <c r="G8" s="196">
        <f>$C$8*5</f>
        <v>65</v>
      </c>
      <c r="H8" s="196">
        <f>$C$8*6</f>
        <v>78</v>
      </c>
      <c r="I8" s="196">
        <f>$C$8*7</f>
        <v>91</v>
      </c>
    </row>
    <row r="9" spans="1:9">
      <c r="A9" s="193" t="s">
        <v>324</v>
      </c>
      <c r="C9" s="214">
        <f>52*2/12</f>
        <v>8.6666666666666661</v>
      </c>
      <c r="D9" s="197">
        <f>$C$9*2</f>
        <v>17.333333333333332</v>
      </c>
      <c r="E9" s="197">
        <f>$C$9*3</f>
        <v>26</v>
      </c>
      <c r="F9" s="197">
        <f>$C$9*4</f>
        <v>34.666666666666664</v>
      </c>
      <c r="G9" s="197">
        <f>$C$9*5</f>
        <v>43.333333333333329</v>
      </c>
      <c r="H9" s="197">
        <f>$C$9*6</f>
        <v>52</v>
      </c>
      <c r="I9" s="197">
        <f>$C$9*7</f>
        <v>60.666666666666664</v>
      </c>
    </row>
    <row r="10" spans="1:9">
      <c r="A10" s="193" t="s">
        <v>325</v>
      </c>
      <c r="C10" s="214">
        <f>52/12</f>
        <v>4.333333333333333</v>
      </c>
      <c r="D10" s="197">
        <f>$C$10*2</f>
        <v>8.6666666666666661</v>
      </c>
      <c r="E10" s="197">
        <f>$C$10*3</f>
        <v>13</v>
      </c>
      <c r="F10" s="197">
        <f>$C$10*4</f>
        <v>17.333333333333332</v>
      </c>
      <c r="G10" s="197">
        <f>$C$10*5</f>
        <v>21.666666666666664</v>
      </c>
      <c r="H10" s="197">
        <f>$C$10*6</f>
        <v>26</v>
      </c>
      <c r="I10" s="197">
        <f>$C$10*7</f>
        <v>30.333333333333332</v>
      </c>
    </row>
    <row r="11" spans="1:9">
      <c r="A11" s="193" t="s">
        <v>326</v>
      </c>
      <c r="C11" s="214">
        <f>26/12</f>
        <v>2.1666666666666665</v>
      </c>
      <c r="D11" s="197">
        <f>$C$11*2</f>
        <v>4.333333333333333</v>
      </c>
      <c r="E11" s="197">
        <f>$C$11*3</f>
        <v>6.5</v>
      </c>
      <c r="F11" s="197">
        <f>$C$11*4</f>
        <v>8.6666666666666661</v>
      </c>
      <c r="G11" s="197">
        <f>$C$11*5</f>
        <v>10.833333333333332</v>
      </c>
      <c r="H11" s="197">
        <f>$C$11*6</f>
        <v>13</v>
      </c>
      <c r="I11" s="197">
        <f>$C$11*7</f>
        <v>15.166666666666666</v>
      </c>
    </row>
    <row r="12" spans="1:9">
      <c r="A12" s="193" t="s">
        <v>327</v>
      </c>
      <c r="C12" s="214">
        <f>12/12</f>
        <v>1</v>
      </c>
      <c r="D12" s="197">
        <f>$C$12*2</f>
        <v>2</v>
      </c>
      <c r="E12" s="197">
        <f>$C$12*3</f>
        <v>3</v>
      </c>
      <c r="F12" s="197">
        <f>$C$12*4</f>
        <v>4</v>
      </c>
      <c r="G12" s="197">
        <f>$C$12*5</f>
        <v>5</v>
      </c>
      <c r="H12" s="197">
        <f>$C$12*6</f>
        <v>6</v>
      </c>
      <c r="I12" s="197">
        <f>$C$12*7</f>
        <v>7</v>
      </c>
    </row>
    <row r="13" spans="1:9">
      <c r="A13" s="193" t="s">
        <v>269</v>
      </c>
      <c r="C13" s="214">
        <v>1</v>
      </c>
      <c r="D13" s="197"/>
      <c r="E13" s="197"/>
      <c r="F13" s="197"/>
      <c r="G13" s="197"/>
      <c r="H13" s="197"/>
      <c r="I13" s="197"/>
    </row>
    <row r="14" spans="1:9">
      <c r="A14" s="390" t="s">
        <v>328</v>
      </c>
      <c r="B14" s="390"/>
      <c r="C14" s="390"/>
      <c r="D14" s="197"/>
      <c r="E14" s="197"/>
      <c r="F14" s="197"/>
      <c r="G14" s="197"/>
      <c r="H14" s="197"/>
      <c r="I14" s="197"/>
    </row>
    <row r="15" spans="1:9">
      <c r="A15" s="198" t="s">
        <v>329</v>
      </c>
      <c r="B15" s="198"/>
      <c r="C15" s="225" t="s">
        <v>330</v>
      </c>
      <c r="D15" s="197"/>
      <c r="E15" s="197"/>
      <c r="F15" s="197"/>
      <c r="G15" s="197"/>
      <c r="H15" s="197"/>
      <c r="I15" s="197"/>
    </row>
    <row r="16" spans="1:9">
      <c r="A16" s="199" t="s">
        <v>331</v>
      </c>
      <c r="B16" s="199"/>
      <c r="C16" s="213">
        <v>20</v>
      </c>
      <c r="D16" s="197"/>
      <c r="E16" s="197"/>
      <c r="F16" s="197"/>
      <c r="G16" s="197"/>
      <c r="H16" s="197"/>
      <c r="I16" s="197"/>
    </row>
    <row r="17" spans="1:9">
      <c r="A17" s="199" t="s">
        <v>332</v>
      </c>
      <c r="B17" s="199"/>
      <c r="C17" s="213">
        <v>34</v>
      </c>
      <c r="D17" s="197"/>
      <c r="E17" s="197"/>
      <c r="F17" s="197"/>
      <c r="G17" s="197"/>
      <c r="H17" s="197"/>
      <c r="I17" s="197"/>
    </row>
    <row r="18" spans="1:9">
      <c r="A18" s="199" t="s">
        <v>333</v>
      </c>
      <c r="B18" s="199"/>
      <c r="C18" s="213">
        <v>51</v>
      </c>
      <c r="D18" s="197"/>
      <c r="E18" s="197"/>
      <c r="F18" s="197"/>
      <c r="G18" s="197"/>
      <c r="H18" s="197"/>
      <c r="I18" s="197"/>
    </row>
    <row r="19" spans="1:9">
      <c r="A19" s="199" t="s">
        <v>334</v>
      </c>
      <c r="B19" s="199"/>
      <c r="C19" s="213">
        <v>77</v>
      </c>
      <c r="D19" s="197"/>
      <c r="E19" s="197"/>
      <c r="F19" s="197"/>
      <c r="G19" s="193" t="s">
        <v>335</v>
      </c>
      <c r="H19" s="213">
        <v>2000</v>
      </c>
      <c r="I19" s="197"/>
    </row>
    <row r="20" spans="1:9">
      <c r="A20" s="199" t="s">
        <v>336</v>
      </c>
      <c r="B20" s="199"/>
      <c r="C20" s="213">
        <v>97</v>
      </c>
      <c r="D20" s="197"/>
      <c r="E20" s="197"/>
      <c r="F20" s="197"/>
      <c r="G20" s="193" t="s">
        <v>337</v>
      </c>
      <c r="H20" s="200" t="s">
        <v>338</v>
      </c>
      <c r="I20" s="197"/>
    </row>
    <row r="21" spans="1:9">
      <c r="A21" s="199" t="s">
        <v>339</v>
      </c>
      <c r="B21" s="199"/>
      <c r="C21" s="213">
        <v>117</v>
      </c>
      <c r="D21" s="197"/>
      <c r="E21" s="197"/>
      <c r="F21" s="197"/>
      <c r="I21" s="197"/>
    </row>
    <row r="22" spans="1:9">
      <c r="A22" s="199" t="s">
        <v>340</v>
      </c>
      <c r="B22" s="199"/>
      <c r="C22" s="213">
        <v>137</v>
      </c>
      <c r="D22" s="197"/>
      <c r="E22" s="197"/>
      <c r="F22" s="197"/>
      <c r="G22" s="157" t="s">
        <v>341</v>
      </c>
      <c r="H22" s="158">
        <v>12</v>
      </c>
      <c r="I22" s="197" t="s">
        <v>342</v>
      </c>
    </row>
    <row r="23" spans="1:9">
      <c r="A23" s="199" t="s">
        <v>343</v>
      </c>
      <c r="B23" s="199"/>
      <c r="C23" s="213">
        <v>40</v>
      </c>
      <c r="D23" s="197" t="s">
        <v>344</v>
      </c>
      <c r="E23" s="197"/>
      <c r="F23" s="197"/>
      <c r="G23" s="201"/>
      <c r="H23" s="202"/>
      <c r="I23" s="197"/>
    </row>
    <row r="24" spans="1:9">
      <c r="A24" s="199" t="s">
        <v>345</v>
      </c>
      <c r="B24" s="199"/>
      <c r="C24" s="213">
        <v>47</v>
      </c>
      <c r="D24" s="197"/>
      <c r="E24" s="197"/>
      <c r="F24" s="197"/>
      <c r="G24" s="197"/>
      <c r="H24" s="197"/>
      <c r="I24" s="197"/>
    </row>
    <row r="25" spans="1:9">
      <c r="A25" s="199" t="s">
        <v>346</v>
      </c>
      <c r="B25" s="199"/>
      <c r="C25" s="213">
        <v>68</v>
      </c>
      <c r="D25" s="197"/>
      <c r="E25" s="197"/>
      <c r="F25" s="197"/>
      <c r="G25" s="197"/>
      <c r="H25" s="197"/>
      <c r="I25" s="197"/>
    </row>
    <row r="26" spans="1:9">
      <c r="A26" s="199" t="s">
        <v>347</v>
      </c>
      <c r="B26" s="199"/>
      <c r="C26" s="213">
        <v>34</v>
      </c>
      <c r="D26" s="197"/>
      <c r="E26" s="197"/>
      <c r="F26" s="197"/>
      <c r="G26" s="197"/>
      <c r="H26" s="197"/>
      <c r="I26" s="197"/>
    </row>
    <row r="27" spans="1:9">
      <c r="A27" s="199" t="s">
        <v>348</v>
      </c>
      <c r="B27" s="199"/>
      <c r="C27" s="213">
        <v>34</v>
      </c>
      <c r="D27" s="197"/>
      <c r="E27" s="197"/>
      <c r="F27" s="197"/>
      <c r="G27" s="197"/>
      <c r="H27" s="197"/>
      <c r="I27" s="197"/>
    </row>
    <row r="28" spans="1:9">
      <c r="A28" s="198" t="s">
        <v>349</v>
      </c>
      <c r="B28" s="198"/>
      <c r="C28" s="213"/>
      <c r="D28" s="197"/>
      <c r="E28" s="197"/>
      <c r="F28" s="197"/>
      <c r="G28" s="197"/>
      <c r="H28" s="197"/>
      <c r="I28" s="197"/>
    </row>
    <row r="29" spans="1:9">
      <c r="A29" s="199" t="s">
        <v>350</v>
      </c>
      <c r="B29" s="199"/>
      <c r="C29" s="213">
        <v>29</v>
      </c>
      <c r="D29" s="197"/>
      <c r="E29" s="197"/>
      <c r="F29" s="197"/>
      <c r="G29" s="197"/>
      <c r="H29" s="197"/>
      <c r="I29" s="197"/>
    </row>
    <row r="30" spans="1:9">
      <c r="A30" s="199" t="s">
        <v>351</v>
      </c>
      <c r="B30" s="199"/>
      <c r="C30" s="213">
        <v>125</v>
      </c>
      <c r="D30" s="197"/>
      <c r="E30" s="197"/>
      <c r="F30" s="197"/>
      <c r="G30" s="197"/>
      <c r="H30" s="197"/>
      <c r="I30" s="197"/>
    </row>
    <row r="31" spans="1:9">
      <c r="A31" s="199" t="s">
        <v>352</v>
      </c>
      <c r="B31" s="199"/>
      <c r="C31" s="213">
        <v>175</v>
      </c>
      <c r="D31" s="197"/>
      <c r="E31" s="197"/>
      <c r="F31" s="197"/>
      <c r="G31" s="197"/>
      <c r="H31" s="197"/>
      <c r="I31" s="197"/>
    </row>
    <row r="32" spans="1:9">
      <c r="A32" s="199" t="s">
        <v>353</v>
      </c>
      <c r="B32" s="199"/>
      <c r="C32" s="213">
        <v>250</v>
      </c>
      <c r="D32" s="197"/>
      <c r="E32" s="197"/>
      <c r="F32" s="197"/>
      <c r="G32" s="197"/>
      <c r="H32" s="197"/>
      <c r="I32" s="197"/>
    </row>
    <row r="33" spans="1:9">
      <c r="A33" s="199" t="s">
        <v>354</v>
      </c>
      <c r="B33" s="199"/>
      <c r="C33" s="213">
        <v>324</v>
      </c>
      <c r="D33" s="197"/>
      <c r="E33" s="197"/>
      <c r="F33" s="197"/>
      <c r="G33" s="197"/>
      <c r="H33" s="197"/>
      <c r="I33" s="197"/>
    </row>
    <row r="34" spans="1:9">
      <c r="A34" s="199" t="s">
        <v>355</v>
      </c>
      <c r="B34" s="199"/>
      <c r="C34" s="213">
        <v>473</v>
      </c>
      <c r="D34" s="197"/>
      <c r="E34" s="197"/>
      <c r="F34" s="197"/>
      <c r="G34" s="197"/>
      <c r="H34" s="197"/>
      <c r="I34" s="197"/>
    </row>
    <row r="35" spans="1:9">
      <c r="A35" s="199" t="s">
        <v>356</v>
      </c>
      <c r="B35" s="199"/>
      <c r="C35" s="213">
        <v>613</v>
      </c>
      <c r="D35" s="197"/>
      <c r="E35" s="197"/>
      <c r="F35" s="197"/>
      <c r="G35" s="197"/>
      <c r="H35" s="197"/>
      <c r="I35" s="197"/>
    </row>
    <row r="36" spans="1:9">
      <c r="A36" s="199" t="s">
        <v>357</v>
      </c>
      <c r="B36" s="199"/>
      <c r="C36" s="213">
        <v>840</v>
      </c>
      <c r="D36" s="197"/>
      <c r="E36" s="197"/>
      <c r="F36" s="197"/>
      <c r="G36" s="197"/>
      <c r="H36" s="197"/>
      <c r="I36" s="197"/>
    </row>
    <row r="37" spans="1:9">
      <c r="A37" s="199" t="s">
        <v>358</v>
      </c>
      <c r="B37" s="199"/>
      <c r="C37" s="213">
        <v>980</v>
      </c>
      <c r="D37" s="151"/>
      <c r="E37" s="197"/>
      <c r="F37" s="197"/>
      <c r="G37" s="197"/>
      <c r="H37" s="197"/>
      <c r="I37" s="197"/>
    </row>
    <row r="38" spans="1:9">
      <c r="A38" s="110" t="s">
        <v>359</v>
      </c>
      <c r="B38" s="110">
        <v>2.25</v>
      </c>
      <c r="C38" s="213"/>
      <c r="D38" s="151"/>
      <c r="E38" s="197"/>
      <c r="F38" s="197"/>
      <c r="G38" s="197"/>
      <c r="H38" s="197"/>
      <c r="I38" s="197"/>
    </row>
    <row r="39" spans="1:9">
      <c r="A39" s="199" t="s">
        <v>360</v>
      </c>
      <c r="B39" s="199"/>
      <c r="C39" s="213">
        <f>C33*$B$38</f>
        <v>729</v>
      </c>
      <c r="D39" s="197" t="s">
        <v>344</v>
      </c>
      <c r="E39" s="197"/>
      <c r="F39" s="197"/>
      <c r="G39" s="197"/>
      <c r="H39" s="197"/>
      <c r="I39" s="197"/>
    </row>
    <row r="40" spans="1:9">
      <c r="A40" s="199" t="s">
        <v>361</v>
      </c>
      <c r="B40" s="199"/>
      <c r="C40" s="213">
        <f>C35*$B$38</f>
        <v>1379.25</v>
      </c>
      <c r="D40" s="197" t="s">
        <v>344</v>
      </c>
      <c r="E40" s="197"/>
      <c r="F40" s="197"/>
      <c r="G40" s="197"/>
      <c r="H40" s="197"/>
      <c r="I40" s="197"/>
    </row>
    <row r="41" spans="1:9">
      <c r="A41" s="199" t="s">
        <v>362</v>
      </c>
      <c r="B41" s="199"/>
      <c r="C41" s="213">
        <f>C36*$B$38</f>
        <v>1890</v>
      </c>
      <c r="D41" s="197" t="s">
        <v>344</v>
      </c>
      <c r="E41" s="197"/>
      <c r="F41" s="197"/>
      <c r="G41" s="197"/>
      <c r="H41" s="197"/>
      <c r="I41" s="197"/>
    </row>
    <row r="42" spans="1:9">
      <c r="A42" s="110" t="s">
        <v>363</v>
      </c>
      <c r="B42" s="110">
        <v>3</v>
      </c>
      <c r="C42" s="213"/>
      <c r="D42" s="197"/>
      <c r="E42" s="197"/>
      <c r="F42" s="197"/>
      <c r="G42" s="197"/>
      <c r="H42" s="197"/>
      <c r="I42" s="197"/>
    </row>
    <row r="43" spans="1:9">
      <c r="A43" s="199" t="s">
        <v>360</v>
      </c>
      <c r="B43" s="199"/>
      <c r="C43" s="178">
        <f>C33*$B$42</f>
        <v>972</v>
      </c>
      <c r="D43" s="197" t="s">
        <v>344</v>
      </c>
      <c r="E43" s="197"/>
      <c r="F43" s="197"/>
      <c r="G43" s="197"/>
      <c r="H43" s="197"/>
      <c r="I43" s="197"/>
    </row>
    <row r="44" spans="1:9">
      <c r="A44" s="199" t="s">
        <v>364</v>
      </c>
      <c r="B44" s="199"/>
      <c r="C44" s="178">
        <f t="shared" ref="C44:C46" si="0">C34*$B$42</f>
        <v>1419</v>
      </c>
      <c r="D44" s="197" t="s">
        <v>344</v>
      </c>
      <c r="E44" s="197"/>
      <c r="F44" s="197"/>
      <c r="G44" s="197"/>
      <c r="H44" s="197"/>
      <c r="I44" s="197"/>
    </row>
    <row r="45" spans="1:9">
      <c r="A45" s="199" t="s">
        <v>361</v>
      </c>
      <c r="B45" s="199"/>
      <c r="C45" s="178">
        <f t="shared" si="0"/>
        <v>1839</v>
      </c>
      <c r="D45" s="197" t="s">
        <v>344</v>
      </c>
      <c r="E45" s="197"/>
      <c r="F45" s="197"/>
      <c r="G45" s="197"/>
      <c r="H45" s="197"/>
      <c r="I45" s="197"/>
    </row>
    <row r="46" spans="1:9">
      <c r="A46" s="199" t="s">
        <v>362</v>
      </c>
      <c r="B46" s="199"/>
      <c r="C46" s="178">
        <f t="shared" si="0"/>
        <v>2520</v>
      </c>
      <c r="D46" s="197" t="s">
        <v>344</v>
      </c>
      <c r="E46" s="197"/>
      <c r="F46" s="197"/>
      <c r="G46" s="197"/>
      <c r="H46" s="197"/>
      <c r="I46" s="197"/>
    </row>
    <row r="47" spans="1:9">
      <c r="A47" s="110" t="s">
        <v>365</v>
      </c>
      <c r="B47" s="110">
        <v>4</v>
      </c>
      <c r="C47" s="213"/>
      <c r="D47" s="197"/>
      <c r="E47" s="197"/>
      <c r="F47" s="197"/>
      <c r="G47" s="197"/>
      <c r="H47" s="197"/>
      <c r="I47" s="197"/>
    </row>
    <row r="48" spans="1:9">
      <c r="A48" s="199" t="s">
        <v>364</v>
      </c>
      <c r="B48" s="199"/>
      <c r="C48" s="178">
        <f t="shared" ref="C48:C50" si="1">C34*$B$47</f>
        <v>1892</v>
      </c>
      <c r="D48" s="197" t="s">
        <v>344</v>
      </c>
      <c r="E48" s="197"/>
      <c r="F48" s="197"/>
      <c r="G48" s="197"/>
      <c r="H48" s="197"/>
      <c r="I48" s="197"/>
    </row>
    <row r="49" spans="1:10">
      <c r="A49" s="199" t="s">
        <v>361</v>
      </c>
      <c r="B49" s="199"/>
      <c r="C49" s="178">
        <f t="shared" si="1"/>
        <v>2452</v>
      </c>
      <c r="D49" s="197" t="s">
        <v>344</v>
      </c>
      <c r="E49" s="197"/>
      <c r="F49" s="197"/>
      <c r="G49" s="197"/>
      <c r="H49" s="197"/>
      <c r="I49" s="197"/>
    </row>
    <row r="50" spans="1:10">
      <c r="A50" s="199" t="s">
        <v>362</v>
      </c>
      <c r="B50" s="199"/>
      <c r="C50" s="178">
        <f t="shared" si="1"/>
        <v>3360</v>
      </c>
      <c r="D50" s="197" t="s">
        <v>344</v>
      </c>
      <c r="E50" s="197"/>
      <c r="F50" s="197"/>
      <c r="G50" s="197"/>
      <c r="H50" s="197"/>
      <c r="I50" s="197"/>
    </row>
    <row r="51" spans="1:10">
      <c r="A51" s="110" t="s">
        <v>366</v>
      </c>
      <c r="B51" s="110">
        <v>5</v>
      </c>
      <c r="C51" s="213"/>
      <c r="D51" s="197"/>
      <c r="E51" s="197"/>
      <c r="F51" s="197"/>
      <c r="G51" s="197"/>
      <c r="H51" s="197"/>
      <c r="I51" s="197"/>
    </row>
    <row r="52" spans="1:10">
      <c r="A52" s="199" t="s">
        <v>361</v>
      </c>
      <c r="B52" s="199"/>
      <c r="C52" s="178">
        <f>C35*$B$51</f>
        <v>3065</v>
      </c>
      <c r="D52" s="197" t="s">
        <v>344</v>
      </c>
      <c r="E52" s="197"/>
      <c r="F52" s="197"/>
      <c r="G52" s="197"/>
      <c r="H52" s="197"/>
      <c r="I52" s="197"/>
    </row>
    <row r="53" spans="1:10">
      <c r="A53" s="199" t="s">
        <v>362</v>
      </c>
      <c r="B53" s="199"/>
      <c r="C53" s="178">
        <f>C36*$B$51</f>
        <v>4200</v>
      </c>
      <c r="D53" s="197" t="s">
        <v>344</v>
      </c>
      <c r="E53" s="197"/>
      <c r="F53" s="197"/>
      <c r="G53" s="197"/>
      <c r="H53" s="197"/>
      <c r="I53" s="197"/>
    </row>
    <row r="54" spans="1:10">
      <c r="C54" s="391" t="s">
        <v>367</v>
      </c>
      <c r="D54" s="391"/>
    </row>
    <row r="55" spans="1:10">
      <c r="C55" s="193" t="s">
        <v>368</v>
      </c>
    </row>
    <row r="57" spans="1:10">
      <c r="A57" s="211" t="s">
        <v>369</v>
      </c>
      <c r="B57" s="211"/>
      <c r="C57" s="212" t="s">
        <v>370</v>
      </c>
      <c r="D57" s="212" t="s">
        <v>371</v>
      </c>
      <c r="G57" s="392" t="s">
        <v>372</v>
      </c>
      <c r="H57" s="392"/>
    </row>
    <row r="58" spans="1:10">
      <c r="A58" s="223" t="s">
        <v>397</v>
      </c>
      <c r="B58" s="223"/>
      <c r="C58" s="318">
        <v>74.209999999999994</v>
      </c>
      <c r="D58" s="219">
        <f>C58/2000</f>
        <v>3.7104999999999999E-2</v>
      </c>
      <c r="G58" s="193" t="s">
        <v>373</v>
      </c>
      <c r="H58" s="130">
        <f>0.015</f>
        <v>1.4999999999999999E-2</v>
      </c>
    </row>
    <row r="59" spans="1:10">
      <c r="A59" s="223" t="s">
        <v>398</v>
      </c>
      <c r="B59" s="223"/>
      <c r="C59" s="398">
        <v>76.67</v>
      </c>
      <c r="D59" s="399">
        <f>C59/2000</f>
        <v>3.8335000000000001E-2</v>
      </c>
      <c r="G59" s="193" t="s">
        <v>374</v>
      </c>
      <c r="H59" s="179">
        <v>5.1000000000000004E-3</v>
      </c>
    </row>
    <row r="60" spans="1:10">
      <c r="A60" s="388" t="s">
        <v>456</v>
      </c>
      <c r="B60" s="388"/>
      <c r="C60" s="332">
        <v>7.0000000000000007E-2</v>
      </c>
      <c r="D60" s="220">
        <f>C60/2000</f>
        <v>3.5000000000000004E-5</v>
      </c>
      <c r="G60" s="193" t="s">
        <v>375</v>
      </c>
      <c r="H60" s="180"/>
    </row>
    <row r="61" spans="1:10">
      <c r="A61" s="199" t="s">
        <v>273</v>
      </c>
      <c r="B61" s="199"/>
      <c r="C61" s="218">
        <f>C59-C58+C60</f>
        <v>2.5300000000000078</v>
      </c>
      <c r="D61" s="221">
        <f>D59-D58+D60</f>
        <v>1.265000000000002E-3</v>
      </c>
      <c r="E61" s="224">
        <f>C61/C58</f>
        <v>3.4092440371917637E-2</v>
      </c>
      <c r="G61" s="193" t="s">
        <v>6</v>
      </c>
      <c r="H61" s="204">
        <f>SUM(H58:H60)</f>
        <v>2.01E-2</v>
      </c>
      <c r="J61" s="182"/>
    </row>
    <row r="62" spans="1:10">
      <c r="D62" s="181"/>
    </row>
    <row r="63" spans="1:10">
      <c r="C63" s="212" t="s">
        <v>376</v>
      </c>
      <c r="G63" s="193" t="s">
        <v>378</v>
      </c>
      <c r="H63" s="205">
        <f>1-H61</f>
        <v>0.97989999999999999</v>
      </c>
    </row>
    <row r="64" spans="1:10">
      <c r="A64" s="193" t="s">
        <v>377</v>
      </c>
      <c r="C64" s="214">
        <f>C61</f>
        <v>2.5300000000000078</v>
      </c>
    </row>
    <row r="65" spans="1:5">
      <c r="A65" s="193" t="s">
        <v>379</v>
      </c>
      <c r="C65" s="214">
        <f>C64/$H$63</f>
        <v>2.5818961118481556</v>
      </c>
    </row>
    <row r="66" spans="1:5">
      <c r="A66" s="193" t="s">
        <v>380</v>
      </c>
      <c r="C66" s="356">
        <f>+'DF Schedule'!O9</f>
        <v>2687.710707781258</v>
      </c>
      <c r="D66" s="152"/>
    </row>
    <row r="67" spans="1:5">
      <c r="A67" s="198" t="s">
        <v>381</v>
      </c>
      <c r="B67" s="198"/>
      <c r="C67" s="183">
        <f>C65*C66</f>
        <v>6939.3898261930844</v>
      </c>
      <c r="D67" s="131"/>
    </row>
    <row r="68" spans="1:5">
      <c r="A68" s="198"/>
      <c r="B68" s="198"/>
      <c r="C68" s="183"/>
      <c r="D68" s="131"/>
    </row>
    <row r="69" spans="1:5" ht="15.75" thickBot="1">
      <c r="A69" s="198"/>
      <c r="B69" s="198"/>
      <c r="C69" s="183"/>
      <c r="D69" s="131"/>
    </row>
    <row r="70" spans="1:5">
      <c r="A70" s="215" t="s">
        <v>382</v>
      </c>
      <c r="B70" s="184"/>
      <c r="C70" s="185" t="s">
        <v>383</v>
      </c>
      <c r="D70" s="131"/>
    </row>
    <row r="71" spans="1:5">
      <c r="A71" s="216" t="s">
        <v>384</v>
      </c>
      <c r="B71" s="203"/>
      <c r="C71" s="357">
        <f>+'G-48 DF Calc'!O89</f>
        <v>6939.3898261930399</v>
      </c>
      <c r="D71" s="186"/>
    </row>
    <row r="72" spans="1:5" ht="15.75" thickBot="1">
      <c r="A72" s="217" t="s">
        <v>385</v>
      </c>
      <c r="B72" s="187"/>
      <c r="C72" s="132">
        <f>+C71-C67</f>
        <v>-4.4565240386873484E-11</v>
      </c>
    </row>
    <row r="73" spans="1:5">
      <c r="A73" s="208"/>
      <c r="B73" s="208"/>
      <c r="C73" s="188"/>
      <c r="D73" s="208"/>
    </row>
    <row r="74" spans="1:5">
      <c r="A74" s="208" t="s">
        <v>294</v>
      </c>
      <c r="B74" s="206"/>
      <c r="C74" s="355">
        <f>+'DF Schedule'!O8</f>
        <v>2221.4404272062957</v>
      </c>
      <c r="D74" s="208"/>
      <c r="E74" s="222"/>
    </row>
    <row r="75" spans="1:5">
      <c r="A75" s="198" t="s">
        <v>386</v>
      </c>
      <c r="B75" s="208"/>
      <c r="C75" s="189">
        <f>C74*C61</f>
        <v>5620.2442808319456</v>
      </c>
      <c r="D75" s="208"/>
    </row>
    <row r="76" spans="1:5">
      <c r="A76" s="208"/>
      <c r="B76" s="208"/>
      <c r="C76" s="111"/>
      <c r="D76" s="208"/>
    </row>
    <row r="77" spans="1:5">
      <c r="A77" s="208"/>
      <c r="B77" s="208"/>
      <c r="C77" s="208"/>
      <c r="D77" s="208"/>
    </row>
    <row r="78" spans="1:5">
      <c r="A78" s="206"/>
      <c r="B78" s="206"/>
      <c r="C78" s="190"/>
      <c r="D78" s="208"/>
    </row>
    <row r="79" spans="1:5">
      <c r="A79" s="208"/>
      <c r="B79" s="208"/>
      <c r="C79" s="208"/>
      <c r="D79" s="208"/>
    </row>
    <row r="80" spans="1:5">
      <c r="A80" s="208"/>
      <c r="B80" s="208"/>
      <c r="C80" s="208"/>
      <c r="D80" s="208"/>
    </row>
    <row r="81" spans="1:4">
      <c r="A81" s="208"/>
      <c r="B81" s="208"/>
      <c r="C81" s="208"/>
      <c r="D81" s="208"/>
    </row>
  </sheetData>
  <mergeCells count="4">
    <mergeCell ref="A4:I4"/>
    <mergeCell ref="A14:C14"/>
    <mergeCell ref="C54:D54"/>
    <mergeCell ref="G57:H57"/>
  </mergeCells>
  <pageMargins left="0.7" right="0.7" top="0.75" bottom="0.75" header="0.3" footer="0.3"/>
  <pageSetup scale="62" orientation="portrait" r:id="rId1"/>
  <headerFooter>
    <oddHeader xml:space="preserve">&amp;C&amp;"-,Bold"&amp;12
</oddHead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4"/>
  <sheetViews>
    <sheetView zoomScale="70" zoomScaleNormal="70" workbookViewId="0">
      <pane xSplit="1" ySplit="5" topLeftCell="B63" activePane="bottomRight" state="frozen"/>
      <selection activeCell="F63" sqref="F63"/>
      <selection pane="topRight" activeCell="F63" sqref="F63"/>
      <selection pane="bottomLeft" activeCell="F63" sqref="F63"/>
      <selection pane="bottomRight" activeCell="F63" sqref="F63"/>
    </sheetView>
  </sheetViews>
  <sheetFormatPr defaultRowHeight="15"/>
  <cols>
    <col min="1" max="1" width="32.42578125" style="92" bestFit="1" customWidth="1"/>
    <col min="2" max="3" width="13.28515625" style="92" customWidth="1"/>
    <col min="4" max="4" width="13.28515625" style="245" customWidth="1"/>
    <col min="5" max="5" width="13.28515625" style="236" customWidth="1"/>
    <col min="6" max="6" width="14.85546875" style="241" customWidth="1"/>
    <col min="7" max="7" width="14.85546875" style="92" customWidth="1"/>
    <col min="8" max="8" width="13.28515625" style="91" customWidth="1"/>
    <col min="9" max="10" width="13.28515625" style="92" customWidth="1"/>
    <col min="11" max="12" width="13.28515625" style="344" customWidth="1"/>
    <col min="13" max="13" width="15.5703125" style="245" customWidth="1"/>
    <col min="14" max="15" width="17.140625" style="245" customWidth="1"/>
    <col min="16" max="16" width="13.28515625" style="245" customWidth="1"/>
    <col min="17" max="17" width="13.28515625" style="92" customWidth="1"/>
    <col min="18" max="18" width="21.140625" style="92" bestFit="1" customWidth="1"/>
    <col min="19" max="20" width="9.140625" style="92"/>
    <col min="21" max="21" width="9.140625" style="338"/>
    <col min="22" max="16384" width="9.140625" style="92"/>
  </cols>
  <sheetData>
    <row r="1" spans="1:22">
      <c r="A1" s="86" t="s">
        <v>245</v>
      </c>
      <c r="B1" s="87"/>
      <c r="C1" s="88"/>
      <c r="D1" s="242"/>
      <c r="E1" s="232"/>
      <c r="F1" s="238"/>
      <c r="G1" s="89"/>
      <c r="H1" s="90"/>
      <c r="I1" s="91"/>
    </row>
    <row r="2" spans="1:22">
      <c r="A2" s="372" t="s">
        <v>427</v>
      </c>
      <c r="B2" s="87"/>
      <c r="C2" s="93"/>
      <c r="D2" s="243">
        <v>12</v>
      </c>
      <c r="E2" s="233"/>
      <c r="F2" s="239"/>
      <c r="G2" s="89"/>
      <c r="H2" s="90"/>
      <c r="I2" s="91"/>
    </row>
    <row r="3" spans="1:22">
      <c r="B3" s="87"/>
      <c r="C3" s="88"/>
      <c r="D3" s="242"/>
      <c r="E3" s="232"/>
      <c r="F3" s="238"/>
      <c r="G3" s="89"/>
      <c r="H3" s="90"/>
      <c r="I3" s="91"/>
    </row>
    <row r="4" spans="1:22">
      <c r="A4" s="86"/>
      <c r="B4" s="393"/>
      <c r="C4" s="393"/>
      <c r="D4" s="393"/>
      <c r="E4" s="393"/>
      <c r="F4" s="238"/>
      <c r="G4" s="89"/>
      <c r="H4" s="90"/>
      <c r="I4" s="91"/>
      <c r="M4" s="210"/>
      <c r="N4" s="210"/>
      <c r="P4" s="210"/>
    </row>
    <row r="5" spans="1:22" s="231" customFormat="1" ht="29.25" customHeight="1">
      <c r="A5" s="229" t="s">
        <v>274</v>
      </c>
      <c r="B5" s="229" t="s">
        <v>310</v>
      </c>
      <c r="C5" s="229" t="s">
        <v>276</v>
      </c>
      <c r="D5" s="244" t="s">
        <v>275</v>
      </c>
      <c r="E5" s="234" t="s">
        <v>277</v>
      </c>
      <c r="F5" s="240" t="s">
        <v>278</v>
      </c>
      <c r="G5" s="230" t="s">
        <v>279</v>
      </c>
      <c r="H5" s="230" t="s">
        <v>273</v>
      </c>
      <c r="I5" s="230" t="s">
        <v>280</v>
      </c>
      <c r="J5" s="230" t="s">
        <v>281</v>
      </c>
      <c r="K5" s="230" t="s">
        <v>282</v>
      </c>
      <c r="L5" s="230" t="s">
        <v>283</v>
      </c>
      <c r="M5" s="373" t="s">
        <v>284</v>
      </c>
      <c r="N5" s="373" t="s">
        <v>285</v>
      </c>
      <c r="O5" s="373" t="s">
        <v>286</v>
      </c>
      <c r="P5" s="373" t="s">
        <v>287</v>
      </c>
      <c r="Q5" s="230" t="s">
        <v>288</v>
      </c>
      <c r="S5" s="230" t="s">
        <v>424</v>
      </c>
      <c r="U5" s="389"/>
    </row>
    <row r="6" spans="1:22" s="231" customFormat="1">
      <c r="A6" s="365" t="s">
        <v>401</v>
      </c>
      <c r="B6" s="360"/>
      <c r="C6" s="360"/>
      <c r="D6" s="361"/>
      <c r="E6" s="362"/>
      <c r="F6" s="363"/>
      <c r="G6" s="364"/>
      <c r="H6" s="364"/>
      <c r="I6" s="364"/>
      <c r="J6" s="364"/>
      <c r="K6" s="364"/>
      <c r="L6" s="364"/>
      <c r="M6" s="374"/>
      <c r="N6" s="374"/>
      <c r="O6" s="374"/>
      <c r="P6" s="374"/>
      <c r="Q6" s="364"/>
      <c r="U6" s="389"/>
    </row>
    <row r="7" spans="1:22">
      <c r="A7" s="308" t="s">
        <v>414</v>
      </c>
      <c r="B7" s="309"/>
      <c r="C7" s="310"/>
      <c r="D7" s="311"/>
      <c r="E7" s="312"/>
      <c r="F7" s="313"/>
      <c r="G7" s="310"/>
      <c r="H7" s="310"/>
      <c r="I7" s="314"/>
      <c r="J7" s="314"/>
      <c r="K7" s="314"/>
      <c r="L7" s="314"/>
      <c r="M7" s="358"/>
      <c r="N7" s="358"/>
      <c r="O7" s="358"/>
      <c r="P7" s="358"/>
      <c r="Q7" s="314"/>
    </row>
    <row r="8" spans="1:22">
      <c r="A8" s="96" t="s">
        <v>246</v>
      </c>
      <c r="B8" s="116">
        <f>SUM('G-48 Price Out'!K24:K25)*D2</f>
        <v>27.124855990783409</v>
      </c>
      <c r="C8" s="95">
        <f>+References!$C$13</f>
        <v>1</v>
      </c>
      <c r="D8" s="242">
        <f>+B8*C8</f>
        <v>27.124855990783409</v>
      </c>
      <c r="E8" s="236">
        <f>+References!C27</f>
        <v>34</v>
      </c>
      <c r="F8" s="245">
        <f>D8*E8</f>
        <v>922.24510368663596</v>
      </c>
      <c r="G8" s="242">
        <f>F8*$B$99</f>
        <v>713.12988512943207</v>
      </c>
      <c r="H8" s="238">
        <f>G8*References!$D$61</f>
        <v>0.90210930468873296</v>
      </c>
      <c r="I8" s="341">
        <f>H8/References!$H$63</f>
        <v>0.92061363882919989</v>
      </c>
      <c r="J8" s="307">
        <f>IFERROR((I8/B8),0)</f>
        <v>3.3939853510817151E-2</v>
      </c>
      <c r="K8" s="341">
        <f>+'Rate Schedule G-48'!C7</f>
        <v>4.8600000000000003</v>
      </c>
      <c r="L8" s="341">
        <f>J8+K8</f>
        <v>4.8939398535108172</v>
      </c>
      <c r="M8" s="245">
        <f>B8*K8</f>
        <v>131.82680011520739</v>
      </c>
      <c r="N8" s="245">
        <f>B8*L8</f>
        <v>132.74741375403656</v>
      </c>
      <c r="O8" s="245">
        <f>N8-M8</f>
        <v>0.9206136388291668</v>
      </c>
      <c r="P8" s="245">
        <f>B8*L8</f>
        <v>132.74741375403656</v>
      </c>
      <c r="Q8" s="307">
        <f>N8-P8</f>
        <v>0</v>
      </c>
      <c r="S8" s="338">
        <f>(E8*$B$99*C8)*(References!$D$61/References!$H$63)-J8</f>
        <v>0</v>
      </c>
      <c r="V8" s="341"/>
    </row>
    <row r="9" spans="1:22">
      <c r="A9" s="96"/>
      <c r="B9" s="116"/>
      <c r="C9" s="95"/>
      <c r="D9" s="242"/>
      <c r="E9" s="235"/>
      <c r="F9" s="242"/>
      <c r="G9" s="242"/>
      <c r="H9" s="95"/>
      <c r="J9" s="307"/>
      <c r="K9" s="341"/>
      <c r="L9" s="341"/>
      <c r="Q9" s="307"/>
    </row>
    <row r="10" spans="1:22">
      <c r="A10" s="308" t="s">
        <v>415</v>
      </c>
      <c r="B10" s="315"/>
      <c r="C10" s="310"/>
      <c r="D10" s="311"/>
      <c r="E10" s="312"/>
      <c r="F10" s="311"/>
      <c r="G10" s="311"/>
      <c r="H10" s="310"/>
      <c r="I10" s="314"/>
      <c r="J10" s="316"/>
      <c r="K10" s="316"/>
      <c r="L10" s="316"/>
      <c r="M10" s="358"/>
      <c r="N10" s="358"/>
      <c r="O10" s="358"/>
      <c r="P10" s="358"/>
      <c r="Q10" s="316"/>
    </row>
    <row r="11" spans="1:22">
      <c r="A11" s="96" t="s">
        <v>405</v>
      </c>
      <c r="B11" s="116">
        <f>'G-48 Price Out'!K12*'G-48 DF Calc'!D2</f>
        <v>42.9375</v>
      </c>
      <c r="C11" s="95">
        <f>References!$C$10</f>
        <v>4.333333333333333</v>
      </c>
      <c r="D11" s="242">
        <f>+B11*C11</f>
        <v>186.0625</v>
      </c>
      <c r="E11" s="236">
        <f>+References!C16</f>
        <v>20</v>
      </c>
      <c r="F11" s="245">
        <f>D11*E11</f>
        <v>3721.25</v>
      </c>
      <c r="G11" s="242">
        <f t="shared" ref="G11:G17" si="0">F11*$B$99</f>
        <v>2877.4721323319659</v>
      </c>
      <c r="H11" s="238">
        <f>G11*References!$D$61</f>
        <v>3.6400022473999427</v>
      </c>
      <c r="I11" s="341">
        <f>H11/References!$H$63</f>
        <v>3.7146670552096568</v>
      </c>
      <c r="J11" s="341">
        <f t="shared" ref="J11:J19" si="1">IFERROR((I11/B11),0)</f>
        <v>8.6513352086396669E-2</v>
      </c>
      <c r="K11" s="341">
        <f>+'Rate Schedule G-48'!C10</f>
        <v>18.86</v>
      </c>
      <c r="L11" s="341">
        <f>J11+K11</f>
        <v>18.946513352086395</v>
      </c>
      <c r="M11" s="245">
        <f t="shared" ref="M11:M19" si="2">B11*K11</f>
        <v>809.80124999999998</v>
      </c>
      <c r="N11" s="245">
        <f t="shared" ref="N11:N19" si="3">B11*L11</f>
        <v>813.51591705520957</v>
      </c>
      <c r="O11" s="245">
        <f>N11-M11</f>
        <v>3.7146670552095884</v>
      </c>
      <c r="P11" s="245">
        <f t="shared" ref="P11:P19" si="4">B11*L11</f>
        <v>813.51591705520957</v>
      </c>
      <c r="Q11" s="307">
        <f>N11-P11</f>
        <v>0</v>
      </c>
      <c r="S11" s="338">
        <f>(E11*$B$99*C11)*(References!$D$61/References!$H$63)-J11</f>
        <v>0</v>
      </c>
      <c r="V11" s="341"/>
    </row>
    <row r="12" spans="1:22">
      <c r="A12" s="96" t="s">
        <v>387</v>
      </c>
      <c r="B12" s="116">
        <f>'G-48 Price Out'!K19*D2</f>
        <v>358.5</v>
      </c>
      <c r="C12" s="95">
        <f>References!$C$12</f>
        <v>1</v>
      </c>
      <c r="D12" s="242">
        <f t="shared" ref="D12:D29" si="5">+B12*C12</f>
        <v>358.5</v>
      </c>
      <c r="E12" s="236">
        <f>References!$C$17</f>
        <v>34</v>
      </c>
      <c r="F12" s="245">
        <f t="shared" ref="F12:F78" si="6">D12*E12</f>
        <v>12189</v>
      </c>
      <c r="G12" s="242">
        <f t="shared" si="0"/>
        <v>9425.1952491755001</v>
      </c>
      <c r="H12" s="238">
        <f>G12*References!$D$61</f>
        <v>11.922871990207026</v>
      </c>
      <c r="I12" s="341">
        <f>H12/References!$H$63</f>
        <v>12.167437483627948</v>
      </c>
      <c r="J12" s="341">
        <f t="shared" si="1"/>
        <v>3.3939853510817151E-2</v>
      </c>
      <c r="K12" s="341">
        <f>+'Rate Schedule G-48'!C11</f>
        <v>6.91</v>
      </c>
      <c r="L12" s="341">
        <f t="shared" ref="L12:L29" si="7">J12+K12</f>
        <v>6.943939853510817</v>
      </c>
      <c r="M12" s="245">
        <f t="shared" si="2"/>
        <v>2477.2350000000001</v>
      </c>
      <c r="N12" s="245">
        <f t="shared" si="3"/>
        <v>2489.4024374836281</v>
      </c>
      <c r="O12" s="245">
        <f>N12-M12</f>
        <v>12.167437483627964</v>
      </c>
      <c r="P12" s="245">
        <f t="shared" si="4"/>
        <v>2489.4024374836281</v>
      </c>
      <c r="Q12" s="307">
        <f t="shared" ref="Q12:Q29" si="8">N12-P12</f>
        <v>0</v>
      </c>
      <c r="S12" s="338">
        <f>(E12*$B$99*C12)*(References!$D$61/References!$H$63)-J12</f>
        <v>0</v>
      </c>
      <c r="V12" s="341"/>
    </row>
    <row r="13" spans="1:22">
      <c r="A13" s="96" t="s">
        <v>388</v>
      </c>
      <c r="B13" s="116">
        <f>'G-48 Price Out'!K18*'G-48 DF Calc'!D2</f>
        <v>1526.8780457916992</v>
      </c>
      <c r="C13" s="95">
        <f>References!$C$11</f>
        <v>2.1666666666666665</v>
      </c>
      <c r="D13" s="242">
        <f>+B13*C13</f>
        <v>3308.2357658820147</v>
      </c>
      <c r="E13" s="236">
        <f>References!$C$17</f>
        <v>34</v>
      </c>
      <c r="F13" s="245">
        <f t="shared" si="6"/>
        <v>112480.01603998849</v>
      </c>
      <c r="G13" s="242">
        <f t="shared" si="0"/>
        <v>86975.643022994802</v>
      </c>
      <c r="H13" s="238">
        <f>G13*References!$D$61</f>
        <v>110.02418842408861</v>
      </c>
      <c r="I13" s="341">
        <f>H13/References!$H$63</f>
        <v>112.28103727328157</v>
      </c>
      <c r="J13" s="341">
        <f t="shared" si="1"/>
        <v>7.3536349273437163E-2</v>
      </c>
      <c r="K13" s="341">
        <f>+'Rate Schedule G-48'!C12</f>
        <v>13.82</v>
      </c>
      <c r="L13" s="341">
        <f t="shared" si="7"/>
        <v>13.893536349273438</v>
      </c>
      <c r="M13" s="245">
        <f t="shared" si="2"/>
        <v>21101.454592841284</v>
      </c>
      <c r="N13" s="245">
        <f t="shared" si="3"/>
        <v>21213.735630114566</v>
      </c>
      <c r="O13" s="245">
        <f t="shared" ref="O13:O19" si="9">N13-M13</f>
        <v>112.28103727328198</v>
      </c>
      <c r="P13" s="245">
        <f t="shared" si="4"/>
        <v>21213.735630114566</v>
      </c>
      <c r="Q13" s="307">
        <f t="shared" si="8"/>
        <v>0</v>
      </c>
      <c r="S13" s="338">
        <f>(E13*$B$99*C13)*(References!$D$61/References!$H$63)-J13</f>
        <v>0</v>
      </c>
      <c r="V13" s="341"/>
    </row>
    <row r="14" spans="1:22">
      <c r="A14" s="96" t="s">
        <v>389</v>
      </c>
      <c r="B14" s="116">
        <f>'G-48 Price Out'!K13*'G-48 DF Calc'!D2</f>
        <v>11977.632451429094</v>
      </c>
      <c r="C14" s="95">
        <f>References!$C$10</f>
        <v>4.333333333333333</v>
      </c>
      <c r="D14" s="242">
        <f t="shared" si="5"/>
        <v>51903.073956192733</v>
      </c>
      <c r="E14" s="236">
        <f>References!$C$17</f>
        <v>34</v>
      </c>
      <c r="F14" s="245">
        <f t="shared" si="6"/>
        <v>1764704.5145105529</v>
      </c>
      <c r="G14" s="242">
        <f t="shared" si="0"/>
        <v>1364565.1494268128</v>
      </c>
      <c r="H14" s="238">
        <f>G14*References!$D$61</f>
        <v>1726.174914024921</v>
      </c>
      <c r="I14" s="341">
        <f>H14/References!$H$63</f>
        <v>1761.5827268342903</v>
      </c>
      <c r="J14" s="341">
        <f t="shared" si="1"/>
        <v>0.14707269854687433</v>
      </c>
      <c r="K14" s="341">
        <f>+'Rate Schedule G-48'!C13</f>
        <v>21.89</v>
      </c>
      <c r="L14" s="341">
        <f t="shared" si="7"/>
        <v>22.037072698546876</v>
      </c>
      <c r="M14" s="245">
        <f t="shared" si="2"/>
        <v>262190.37436178286</v>
      </c>
      <c r="N14" s="245">
        <f t="shared" si="3"/>
        <v>263951.95708861714</v>
      </c>
      <c r="O14" s="245">
        <f t="shared" si="9"/>
        <v>1761.5827268342837</v>
      </c>
      <c r="P14" s="245">
        <f t="shared" si="4"/>
        <v>263951.95708861714</v>
      </c>
      <c r="Q14" s="307">
        <f t="shared" si="8"/>
        <v>0</v>
      </c>
      <c r="S14" s="338">
        <f>(E14*$B$99*C14)*(References!$D$61/References!$H$63)-J14</f>
        <v>0</v>
      </c>
      <c r="V14" s="341"/>
    </row>
    <row r="15" spans="1:22">
      <c r="A15" s="96" t="s">
        <v>406</v>
      </c>
      <c r="B15" s="116">
        <f>'G-48 Price Out'!K14*'G-48 DF Calc'!$D$2</f>
        <v>4096.4567937599495</v>
      </c>
      <c r="C15" s="95">
        <f>References!$C$10</f>
        <v>4.333333333333333</v>
      </c>
      <c r="D15" s="242">
        <f t="shared" si="5"/>
        <v>17751.31277295978</v>
      </c>
      <c r="E15" s="236">
        <f>References!$C$18</f>
        <v>51</v>
      </c>
      <c r="F15" s="245">
        <f t="shared" si="6"/>
        <v>905316.95142094872</v>
      </c>
      <c r="G15" s="242">
        <f t="shared" si="0"/>
        <v>700040.12056204549</v>
      </c>
      <c r="H15" s="238">
        <f>G15*References!$D$61</f>
        <v>885.5507525109889</v>
      </c>
      <c r="I15" s="341">
        <f>H15/References!$H$63</f>
        <v>903.71543270842835</v>
      </c>
      <c r="J15" s="341">
        <f t="shared" si="1"/>
        <v>0.22060904782031143</v>
      </c>
      <c r="K15" s="341">
        <f>+'Rate Schedule G-48'!C14</f>
        <v>30.01</v>
      </c>
      <c r="L15" s="341">
        <f t="shared" si="7"/>
        <v>30.230609047820312</v>
      </c>
      <c r="M15" s="245">
        <f t="shared" si="2"/>
        <v>122934.6683807361</v>
      </c>
      <c r="N15" s="245">
        <f t="shared" si="3"/>
        <v>123838.38381344451</v>
      </c>
      <c r="O15" s="245">
        <f t="shared" si="9"/>
        <v>903.71543270841357</v>
      </c>
      <c r="P15" s="245">
        <f t="shared" si="4"/>
        <v>123838.38381344451</v>
      </c>
      <c r="Q15" s="307">
        <f t="shared" si="8"/>
        <v>0</v>
      </c>
      <c r="S15" s="338">
        <f>(E15*$B$99*C15)*(References!$D$61/References!$H$63)-J15</f>
        <v>0</v>
      </c>
      <c r="V15" s="341"/>
    </row>
    <row r="16" spans="1:22">
      <c r="A16" s="96" t="s">
        <v>407</v>
      </c>
      <c r="B16" s="116">
        <f>'G-48 Price Out'!K15*'G-48 DF Calc'!$D$2</f>
        <v>460.25750916886369</v>
      </c>
      <c r="C16" s="95">
        <f>References!$C$10</f>
        <v>4.333333333333333</v>
      </c>
      <c r="D16" s="242">
        <f t="shared" si="5"/>
        <v>1994.4492063984092</v>
      </c>
      <c r="E16" s="236">
        <f>References!C19</f>
        <v>77</v>
      </c>
      <c r="F16" s="245">
        <f t="shared" si="6"/>
        <v>153572.58889267751</v>
      </c>
      <c r="G16" s="242">
        <f t="shared" si="0"/>
        <v>118750.64691400822</v>
      </c>
      <c r="H16" s="238">
        <f>G16*References!$D$61</f>
        <v>150.21956834622063</v>
      </c>
      <c r="I16" s="341">
        <f>H16/References!$H$63</f>
        <v>153.30091677336526</v>
      </c>
      <c r="J16" s="341">
        <f t="shared" si="1"/>
        <v>0.33307640553262707</v>
      </c>
      <c r="K16" s="341">
        <f>+'Rate Schedule G-48'!C15</f>
        <v>39.15</v>
      </c>
      <c r="L16" s="341">
        <f t="shared" si="7"/>
        <v>39.483076405532628</v>
      </c>
      <c r="M16" s="245">
        <f t="shared" si="2"/>
        <v>18019.081483961014</v>
      </c>
      <c r="N16" s="245">
        <f t="shared" si="3"/>
        <v>18172.382400734379</v>
      </c>
      <c r="O16" s="245">
        <f t="shared" si="9"/>
        <v>153.30091677336532</v>
      </c>
      <c r="P16" s="245">
        <f t="shared" si="4"/>
        <v>18172.382400734379</v>
      </c>
      <c r="Q16" s="307">
        <f t="shared" si="8"/>
        <v>0</v>
      </c>
      <c r="S16" s="338">
        <f>(E16*$B$99*C16)*(References!$D$61/References!$H$63)-J16</f>
        <v>0</v>
      </c>
      <c r="V16" s="341"/>
    </row>
    <row r="17" spans="1:22">
      <c r="A17" s="96" t="s">
        <v>408</v>
      </c>
      <c r="B17" s="116">
        <f>'G-48 Price Out'!K16*'G-48 DF Calc'!$D$2</f>
        <v>112.125</v>
      </c>
      <c r="C17" s="95">
        <f>References!$C$10</f>
        <v>4.333333333333333</v>
      </c>
      <c r="D17" s="242">
        <f t="shared" si="5"/>
        <v>485.87499999999994</v>
      </c>
      <c r="E17" s="236">
        <f>References!C20</f>
        <v>97</v>
      </c>
      <c r="F17" s="245">
        <f t="shared" si="6"/>
        <v>47129.874999999993</v>
      </c>
      <c r="G17" s="242">
        <f t="shared" si="0"/>
        <v>36443.373036691701</v>
      </c>
      <c r="H17" s="238">
        <f>G17*References!$D$61</f>
        <v>46.100866891415073</v>
      </c>
      <c r="I17" s="341">
        <f>H17/References!$H$63</f>
        <v>47.046501573033041</v>
      </c>
      <c r="J17" s="341">
        <f t="shared" si="1"/>
        <v>0.41958975761902378</v>
      </c>
      <c r="K17" s="341">
        <f>+'Rate Schedule G-48'!C16</f>
        <v>47.69</v>
      </c>
      <c r="L17" s="341">
        <f t="shared" si="7"/>
        <v>48.10958975761902</v>
      </c>
      <c r="M17" s="245">
        <f t="shared" si="2"/>
        <v>5347.24125</v>
      </c>
      <c r="N17" s="245">
        <f t="shared" si="3"/>
        <v>5394.2877515730324</v>
      </c>
      <c r="O17" s="245">
        <f t="shared" si="9"/>
        <v>47.046501573032401</v>
      </c>
      <c r="P17" s="245">
        <f t="shared" si="4"/>
        <v>5394.2877515730324</v>
      </c>
      <c r="Q17" s="307">
        <f t="shared" si="8"/>
        <v>0</v>
      </c>
      <c r="S17" s="338">
        <f>(E17*$B$99*C17)*(References!$D$61/References!$H$63)-J17</f>
        <v>0</v>
      </c>
      <c r="V17" s="341"/>
    </row>
    <row r="18" spans="1:22">
      <c r="A18" s="368" t="s">
        <v>422</v>
      </c>
      <c r="B18" s="369">
        <v>0</v>
      </c>
      <c r="C18" s="337">
        <f>References!$C$10</f>
        <v>4.333333333333333</v>
      </c>
      <c r="D18" s="328">
        <f t="shared" si="5"/>
        <v>0</v>
      </c>
      <c r="E18" s="370">
        <f>References!C21</f>
        <v>117</v>
      </c>
      <c r="F18" s="359"/>
      <c r="G18" s="328"/>
      <c r="H18" s="333"/>
      <c r="I18" s="326"/>
      <c r="J18" s="333">
        <f>(E18*C18*$B$99)*(References!$D$61/References!$H$63)</f>
        <v>0.50610310970542038</v>
      </c>
      <c r="K18" s="333">
        <f>+'Rate Schedule G-48'!C17</f>
        <v>57.79</v>
      </c>
      <c r="L18" s="333">
        <f t="shared" si="7"/>
        <v>58.29610310970542</v>
      </c>
      <c r="M18" s="359">
        <f t="shared" si="2"/>
        <v>0</v>
      </c>
      <c r="N18" s="359">
        <f t="shared" si="3"/>
        <v>0</v>
      </c>
      <c r="O18" s="359">
        <f t="shared" si="9"/>
        <v>0</v>
      </c>
      <c r="P18" s="359">
        <f t="shared" si="4"/>
        <v>0</v>
      </c>
      <c r="Q18" s="335">
        <f t="shared" si="8"/>
        <v>0</v>
      </c>
      <c r="R18" s="92" t="s">
        <v>399</v>
      </c>
      <c r="S18" s="338">
        <f>(E18*$B$99*C18)*(References!$D$61/References!$H$63)-J18</f>
        <v>0</v>
      </c>
      <c r="V18" s="341"/>
    </row>
    <row r="19" spans="1:22">
      <c r="A19" s="96" t="s">
        <v>409</v>
      </c>
      <c r="B19" s="116">
        <f>'G-48 Price Out'!K17*'G-48 DF Calc'!$D$2</f>
        <v>12</v>
      </c>
      <c r="C19" s="95">
        <f>References!$C$10</f>
        <v>4.333333333333333</v>
      </c>
      <c r="D19" s="242">
        <f t="shared" si="5"/>
        <v>52</v>
      </c>
      <c r="E19" s="236">
        <f>References!C22</f>
        <v>137</v>
      </c>
      <c r="F19" s="245">
        <f t="shared" si="6"/>
        <v>7124</v>
      </c>
      <c r="G19" s="242">
        <f>F19*$B$99</f>
        <v>5508.6628070494926</v>
      </c>
      <c r="H19" s="238">
        <f>G19*References!$D$61</f>
        <v>6.9684584509176188</v>
      </c>
      <c r="I19" s="341">
        <f>H19/References!$H$63</f>
        <v>7.1113975415018054</v>
      </c>
      <c r="J19" s="341">
        <f t="shared" si="1"/>
        <v>0.59261646179181715</v>
      </c>
      <c r="K19" s="341">
        <f>+'Rate Schedule G-48'!C18</f>
        <v>68.599999999999994</v>
      </c>
      <c r="L19" s="341">
        <f t="shared" si="7"/>
        <v>69.192616461791815</v>
      </c>
      <c r="M19" s="245">
        <f t="shared" si="2"/>
        <v>823.19999999999993</v>
      </c>
      <c r="N19" s="245">
        <f t="shared" si="3"/>
        <v>830.31139754150172</v>
      </c>
      <c r="O19" s="245">
        <f t="shared" si="9"/>
        <v>7.1113975415017876</v>
      </c>
      <c r="P19" s="245">
        <f t="shared" si="4"/>
        <v>830.31139754150172</v>
      </c>
      <c r="Q19" s="307">
        <f t="shared" si="8"/>
        <v>0</v>
      </c>
      <c r="S19" s="338">
        <f>(E19*$B$99*C19)*(References!$D$61/References!$H$63)-J19</f>
        <v>0</v>
      </c>
      <c r="V19" s="341"/>
    </row>
    <row r="20" spans="1:22">
      <c r="A20" s="96"/>
      <c r="B20" s="116"/>
      <c r="C20" s="95"/>
      <c r="D20" s="242"/>
      <c r="F20" s="245"/>
      <c r="G20" s="242"/>
      <c r="H20" s="95"/>
      <c r="J20" s="341"/>
      <c r="K20" s="341">
        <v>0</v>
      </c>
      <c r="L20" s="341"/>
      <c r="Q20" s="307"/>
      <c r="S20" s="338">
        <f>(E20*$B$99*C20)*(References!$D$61/References!$H$63)-J20</f>
        <v>0</v>
      </c>
    </row>
    <row r="21" spans="1:22">
      <c r="A21" s="228" t="s">
        <v>410</v>
      </c>
      <c r="B21" s="116">
        <f>'G-48 Price Out'!K20*D2</f>
        <v>878.04628336387168</v>
      </c>
      <c r="C21" s="95">
        <f>References!$C$10</f>
        <v>4.333333333333333</v>
      </c>
      <c r="D21" s="242">
        <f t="shared" si="5"/>
        <v>3804.8672279101102</v>
      </c>
      <c r="E21" s="237">
        <f>References!$C$23</f>
        <v>40</v>
      </c>
      <c r="F21" s="245">
        <f t="shared" si="6"/>
        <v>152194.68911640439</v>
      </c>
      <c r="G21" s="242">
        <f>F21*$B$99</f>
        <v>117685.18014682722</v>
      </c>
      <c r="H21" s="238">
        <f>G21*References!$D$61</f>
        <v>148.87175288573667</v>
      </c>
      <c r="I21" s="341">
        <f>H21/References!$H$63</f>
        <v>151.92545452162125</v>
      </c>
      <c r="J21" s="341">
        <f t="shared" ref="J21:J23" si="10">IFERROR((I21/B21),0)</f>
        <v>0.17302670417279328</v>
      </c>
      <c r="K21" s="341">
        <f>+'Rate Schedule G-48'!C20</f>
        <v>35.33</v>
      </c>
      <c r="L21" s="341">
        <f t="shared" si="7"/>
        <v>35.50302670417279</v>
      </c>
      <c r="M21" s="245">
        <f>B21*K21</f>
        <v>31021.375191245585</v>
      </c>
      <c r="N21" s="245">
        <f>B21*L21</f>
        <v>31173.300645767205</v>
      </c>
      <c r="O21" s="245">
        <f>N21-M21</f>
        <v>151.92545452162085</v>
      </c>
      <c r="P21" s="245">
        <f>B21*L21</f>
        <v>31173.300645767205</v>
      </c>
      <c r="Q21" s="307">
        <f t="shared" si="8"/>
        <v>0</v>
      </c>
      <c r="S21" s="338">
        <f>(E21*$B$99*C21)*(References!$D$61/References!$H$63)-J21</f>
        <v>0</v>
      </c>
      <c r="V21" s="341"/>
    </row>
    <row r="22" spans="1:22">
      <c r="A22" s="368" t="s">
        <v>411</v>
      </c>
      <c r="B22" s="369">
        <v>0</v>
      </c>
      <c r="C22" s="337">
        <f>References!$C$10</f>
        <v>4.333333333333333</v>
      </c>
      <c r="D22" s="328">
        <f t="shared" si="5"/>
        <v>0</v>
      </c>
      <c r="E22" s="370">
        <f>References!$C$23*2</f>
        <v>80</v>
      </c>
      <c r="F22" s="359"/>
      <c r="G22" s="328"/>
      <c r="H22" s="333"/>
      <c r="I22" s="335"/>
      <c r="J22" s="333">
        <f>(E22*C22*$B$99)*(References!$D$61/References!$H$63)</f>
        <v>0.34605340834558657</v>
      </c>
      <c r="K22" s="333">
        <f>+'Rate Schedule G-48'!C21</f>
        <v>70.63</v>
      </c>
      <c r="L22" s="333">
        <f t="shared" si="7"/>
        <v>70.976053408345578</v>
      </c>
      <c r="M22" s="359">
        <f>B22*K22</f>
        <v>0</v>
      </c>
      <c r="N22" s="359">
        <f>B22*L22</f>
        <v>0</v>
      </c>
      <c r="O22" s="359">
        <f t="shared" ref="O22:O24" si="11">N22-M22</f>
        <v>0</v>
      </c>
      <c r="P22" s="359">
        <f>B22*L22</f>
        <v>0</v>
      </c>
      <c r="Q22" s="335">
        <f t="shared" si="8"/>
        <v>0</v>
      </c>
      <c r="R22" s="344" t="s">
        <v>399</v>
      </c>
      <c r="S22" s="338">
        <f>(E22*$B$99*C22)*(References!$D$61/References!$H$63)-J22</f>
        <v>0</v>
      </c>
      <c r="V22" s="341"/>
    </row>
    <row r="23" spans="1:22">
      <c r="A23" s="228" t="s">
        <v>412</v>
      </c>
      <c r="B23" s="116">
        <f>'G-48 Price Out'!K21*'G-48 DF Calc'!$D$2</f>
        <v>88.869981069148508</v>
      </c>
      <c r="C23" s="95">
        <f>References!$C$10</f>
        <v>4.333333333333333</v>
      </c>
      <c r="D23" s="242">
        <f t="shared" si="5"/>
        <v>385.10325129964349</v>
      </c>
      <c r="E23" s="237">
        <f>References!$C$24</f>
        <v>47</v>
      </c>
      <c r="F23" s="245">
        <f t="shared" si="6"/>
        <v>18099.852811083245</v>
      </c>
      <c r="G23" s="242">
        <f>F23*$B$99</f>
        <v>13995.786916547511</v>
      </c>
      <c r="H23" s="238">
        <f>G23*References!$D$61</f>
        <v>17.70467044943263</v>
      </c>
      <c r="I23" s="341">
        <f>H23/References!$H$63</f>
        <v>18.067833911044627</v>
      </c>
      <c r="J23" s="341">
        <f t="shared" si="10"/>
        <v>0.20330637740303212</v>
      </c>
      <c r="K23" s="341">
        <f>+'Rate Schedule G-48'!C22</f>
        <v>44.07</v>
      </c>
      <c r="L23" s="341">
        <f t="shared" si="7"/>
        <v>44.273306377403031</v>
      </c>
      <c r="M23" s="245">
        <f>B23*K23</f>
        <v>3916.5000657173746</v>
      </c>
      <c r="N23" s="245">
        <f>B23*L23</f>
        <v>3934.5678996284191</v>
      </c>
      <c r="O23" s="245">
        <f t="shared" si="11"/>
        <v>18.067833911044545</v>
      </c>
      <c r="P23" s="245">
        <f>B23*L23</f>
        <v>3934.5678996284191</v>
      </c>
      <c r="Q23" s="307">
        <f t="shared" si="8"/>
        <v>0</v>
      </c>
      <c r="S23" s="338">
        <f>(E23*$B$99*C23)*(References!$D$61/References!$H$63)-J23</f>
        <v>0</v>
      </c>
      <c r="V23" s="341"/>
    </row>
    <row r="24" spans="1:22">
      <c r="A24" s="368" t="s">
        <v>413</v>
      </c>
      <c r="B24" s="369">
        <v>0</v>
      </c>
      <c r="C24" s="337">
        <f>References!$C$12</f>
        <v>1</v>
      </c>
      <c r="D24" s="328">
        <f t="shared" si="5"/>
        <v>0</v>
      </c>
      <c r="E24" s="370">
        <f>References!$C$24*2</f>
        <v>94</v>
      </c>
      <c r="F24" s="359"/>
      <c r="G24" s="328"/>
      <c r="H24" s="371"/>
      <c r="I24" s="335"/>
      <c r="J24" s="333">
        <f>(E24*C24*$B$99)*(References!$D$61/References!$H$63)</f>
        <v>9.3833712647553302E-2</v>
      </c>
      <c r="K24" s="333">
        <f>+'Rate Schedule G-48'!C23</f>
        <v>37.880000000000003</v>
      </c>
      <c r="L24" s="333">
        <f t="shared" si="7"/>
        <v>37.973833712647554</v>
      </c>
      <c r="M24" s="359">
        <f>B24*K24</f>
        <v>0</v>
      </c>
      <c r="N24" s="359">
        <f>B24*L24</f>
        <v>0</v>
      </c>
      <c r="O24" s="359">
        <f t="shared" si="11"/>
        <v>0</v>
      </c>
      <c r="P24" s="359">
        <f>B24*L24</f>
        <v>0</v>
      </c>
      <c r="Q24" s="335">
        <f t="shared" si="8"/>
        <v>0</v>
      </c>
      <c r="R24" s="344" t="s">
        <v>399</v>
      </c>
      <c r="S24" s="338">
        <f>(E24*$B$99*C24)*(References!$D$61/References!$H$63)-J24</f>
        <v>0</v>
      </c>
      <c r="V24" s="341"/>
    </row>
    <row r="25" spans="1:22">
      <c r="A25" s="96"/>
      <c r="B25" s="116"/>
      <c r="C25" s="95"/>
      <c r="D25" s="242"/>
      <c r="E25" s="235"/>
      <c r="F25" s="245"/>
      <c r="G25" s="242"/>
      <c r="H25" s="95"/>
      <c r="J25" s="307"/>
      <c r="K25" s="341"/>
      <c r="L25" s="341"/>
      <c r="Q25" s="307"/>
      <c r="S25" s="338">
        <f>(E25*$B$99*C25)*(References!$D$61/References!$H$63)-J25</f>
        <v>0</v>
      </c>
    </row>
    <row r="26" spans="1:22">
      <c r="A26" s="308" t="s">
        <v>416</v>
      </c>
      <c r="B26" s="315"/>
      <c r="C26" s="310"/>
      <c r="D26" s="311"/>
      <c r="E26" s="312"/>
      <c r="F26" s="358"/>
      <c r="G26" s="311"/>
      <c r="H26" s="310"/>
      <c r="I26" s="314"/>
      <c r="J26" s="316"/>
      <c r="K26" s="316"/>
      <c r="L26" s="316"/>
      <c r="M26" s="358"/>
      <c r="N26" s="358"/>
      <c r="O26" s="358"/>
      <c r="P26" s="358"/>
      <c r="Q26" s="316"/>
      <c r="S26" s="338">
        <f>(E26*$B$99*C26)*(References!$D$61/References!$H$63)-J26</f>
        <v>0</v>
      </c>
    </row>
    <row r="27" spans="1:22">
      <c r="A27" s="96" t="s">
        <v>247</v>
      </c>
      <c r="B27" s="116">
        <f>SUM('G-48 Price Out'!K23)*'G-48 DF Calc'!D2</f>
        <v>5013.0004678180194</v>
      </c>
      <c r="C27" s="95">
        <f>+References!$C$13</f>
        <v>1</v>
      </c>
      <c r="D27" s="242">
        <f t="shared" si="5"/>
        <v>5013.0004678180194</v>
      </c>
      <c r="E27" s="236">
        <f>References!C27</f>
        <v>34</v>
      </c>
      <c r="F27" s="245">
        <f t="shared" si="6"/>
        <v>170442.01590581267</v>
      </c>
      <c r="G27" s="242">
        <f>F27*$B$99</f>
        <v>131795.00193415052</v>
      </c>
      <c r="H27" s="238">
        <f>G27*References!$D$61</f>
        <v>166.72067744670068</v>
      </c>
      <c r="I27" s="341">
        <f>H27/References!$H$63</f>
        <v>170.14050152740145</v>
      </c>
      <c r="J27" s="341">
        <f t="shared" ref="J27:J30" si="12">IFERROR((I27/B27),0)</f>
        <v>3.3939853510817158E-2</v>
      </c>
      <c r="K27" s="341">
        <f>+'Rate Schedule G-48'!C26</f>
        <v>5.08</v>
      </c>
      <c r="L27" s="341">
        <f t="shared" si="7"/>
        <v>5.1139398535108169</v>
      </c>
      <c r="M27" s="245">
        <f>B27*K27</f>
        <v>25466.042376515539</v>
      </c>
      <c r="N27" s="245">
        <f>B27*L27</f>
        <v>25636.182878042939</v>
      </c>
      <c r="O27" s="245">
        <f>N27-M27</f>
        <v>170.14050152739946</v>
      </c>
      <c r="P27" s="245">
        <f>B27*L27</f>
        <v>25636.182878042939</v>
      </c>
      <c r="Q27" s="307">
        <f t="shared" si="8"/>
        <v>0</v>
      </c>
      <c r="S27" s="338">
        <f>(E27*$B$99*C27)*(References!$D$61/References!$H$63)-J27</f>
        <v>0</v>
      </c>
      <c r="V27" s="341"/>
    </row>
    <row r="28" spans="1:22">
      <c r="A28" s="368" t="s">
        <v>248</v>
      </c>
      <c r="B28" s="369">
        <v>0</v>
      </c>
      <c r="C28" s="337">
        <f>+References!$C$13</f>
        <v>1</v>
      </c>
      <c r="D28" s="328">
        <f t="shared" si="5"/>
        <v>0</v>
      </c>
      <c r="E28" s="370">
        <f>References!$C$23</f>
        <v>40</v>
      </c>
      <c r="F28" s="359"/>
      <c r="G28" s="328"/>
      <c r="H28" s="333"/>
      <c r="I28" s="335"/>
      <c r="J28" s="333">
        <f>(E28*C28*$B$99)*(References!$D$61/References!$H$63)</f>
        <v>3.9929239424490767E-2</v>
      </c>
      <c r="K28" s="333">
        <f>+'Rate Schedule G-48'!C27</f>
        <v>9.44</v>
      </c>
      <c r="L28" s="333">
        <f>J28+K28</f>
        <v>9.4799292394244894</v>
      </c>
      <c r="M28" s="359">
        <f>B28*K28</f>
        <v>0</v>
      </c>
      <c r="N28" s="359">
        <f>B28*L28</f>
        <v>0</v>
      </c>
      <c r="O28" s="359">
        <f t="shared" ref="O28:O29" si="13">N28-M28</f>
        <v>0</v>
      </c>
      <c r="P28" s="359">
        <f>B28*L28</f>
        <v>0</v>
      </c>
      <c r="Q28" s="335">
        <f t="shared" si="8"/>
        <v>0</v>
      </c>
      <c r="R28" s="344" t="s">
        <v>399</v>
      </c>
      <c r="S28" s="338">
        <f>(E28*$B$99*C28)*(References!$D$61/References!$H$63)-J28</f>
        <v>0</v>
      </c>
      <c r="V28" s="341"/>
    </row>
    <row r="29" spans="1:22">
      <c r="A29" s="368" t="s">
        <v>249</v>
      </c>
      <c r="B29" s="369">
        <v>0</v>
      </c>
      <c r="C29" s="337">
        <f>+References!$C$13</f>
        <v>1</v>
      </c>
      <c r="D29" s="328">
        <f t="shared" si="5"/>
        <v>0</v>
      </c>
      <c r="E29" s="370">
        <f>References!$C$24</f>
        <v>47</v>
      </c>
      <c r="F29" s="359"/>
      <c r="G29" s="328"/>
      <c r="H29" s="371"/>
      <c r="I29" s="335"/>
      <c r="J29" s="333">
        <f>(E29*C29*$B$99)*(References!$D$61/References!$H$63)</f>
        <v>4.6916856323776651E-2</v>
      </c>
      <c r="K29" s="333">
        <f>+'Rate Schedule G-48'!C28</f>
        <v>11.45</v>
      </c>
      <c r="L29" s="333">
        <f t="shared" si="7"/>
        <v>11.496916856323775</v>
      </c>
      <c r="M29" s="359">
        <f>B29*K29</f>
        <v>0</v>
      </c>
      <c r="N29" s="359">
        <f>B29*L29</f>
        <v>0</v>
      </c>
      <c r="O29" s="359">
        <f t="shared" si="13"/>
        <v>0</v>
      </c>
      <c r="P29" s="359">
        <f>B29*L29</f>
        <v>0</v>
      </c>
      <c r="Q29" s="335">
        <f t="shared" si="8"/>
        <v>0</v>
      </c>
      <c r="R29" s="344" t="s">
        <v>399</v>
      </c>
      <c r="S29" s="338">
        <f>(E29*$B$99*C29)*(References!$D$61/References!$H$63)-J29</f>
        <v>0</v>
      </c>
      <c r="V29" s="341"/>
    </row>
    <row r="30" spans="1:22">
      <c r="A30" s="96" t="s">
        <v>250</v>
      </c>
      <c r="B30" s="116">
        <f>'G-48 Price Out'!K22*'G-48 DF Calc'!D2</f>
        <v>455.8640619089648</v>
      </c>
      <c r="C30" s="95">
        <f>+References!$C$13</f>
        <v>1</v>
      </c>
      <c r="D30" s="242">
        <f>+B30*C30</f>
        <v>455.8640619089648</v>
      </c>
      <c r="E30" s="235">
        <f>References!C27</f>
        <v>34</v>
      </c>
      <c r="F30" s="245">
        <f t="shared" si="6"/>
        <v>15499.378104904803</v>
      </c>
      <c r="G30" s="242">
        <f>F30*$B$99</f>
        <v>11984.958969523628</v>
      </c>
      <c r="H30" s="238">
        <f>G30*References!$D$61</f>
        <v>15.160973096447414</v>
      </c>
      <c r="I30" s="341">
        <f>H30/References!$H$63</f>
        <v>15.471959482036345</v>
      </c>
      <c r="J30" s="341">
        <f t="shared" si="12"/>
        <v>3.3939853510817151E-2</v>
      </c>
      <c r="K30" s="341">
        <f>+'Rate Schedule G-48'!C29</f>
        <v>6.91</v>
      </c>
      <c r="L30" s="341">
        <f>J30+K30</f>
        <v>6.943939853510817</v>
      </c>
      <c r="M30" s="245">
        <f>B30*K30</f>
        <v>3150.0206677909468</v>
      </c>
      <c r="N30" s="245">
        <f>B30*L30</f>
        <v>3165.4926272729831</v>
      </c>
      <c r="O30" s="245">
        <f>N30-M30</f>
        <v>15.471959482036254</v>
      </c>
      <c r="P30" s="245">
        <f>B30*L30</f>
        <v>3165.4926272729831</v>
      </c>
      <c r="Q30" s="307">
        <f>N30-P30</f>
        <v>0</v>
      </c>
      <c r="S30" s="338">
        <f>(E30*$B$99*C30)*(References!$D$61/References!$H$63)-J30</f>
        <v>0</v>
      </c>
      <c r="V30" s="341"/>
    </row>
    <row r="31" spans="1:22">
      <c r="A31" s="329" t="s">
        <v>390</v>
      </c>
      <c r="B31" s="324">
        <f>+(SUM('G-48 Price Out'!K12:K25)*12)-SUM(B8:B30)</f>
        <v>0</v>
      </c>
      <c r="C31" s="337"/>
      <c r="D31" s="328"/>
      <c r="E31" s="327"/>
      <c r="F31" s="359"/>
      <c r="G31" s="328"/>
      <c r="H31" s="337"/>
      <c r="I31" s="336"/>
      <c r="J31" s="335"/>
      <c r="K31" s="335"/>
      <c r="L31" s="335"/>
      <c r="M31" s="359"/>
      <c r="N31" s="359"/>
      <c r="O31" s="359"/>
      <c r="P31" s="359"/>
      <c r="Q31" s="336"/>
    </row>
    <row r="32" spans="1:22" s="344" customFormat="1">
      <c r="A32" s="334" t="s">
        <v>396</v>
      </c>
      <c r="B32" s="323">
        <f>SUM(B7:B30)</f>
        <v>25049.692950300388</v>
      </c>
      <c r="C32" s="323"/>
      <c r="D32" s="323">
        <f t="shared" ref="D32:I32" si="14">SUM(D7:D30)</f>
        <v>85725.469066360471</v>
      </c>
      <c r="E32" s="323">
        <f t="shared" si="14"/>
        <v>1051</v>
      </c>
      <c r="F32" s="323">
        <f t="shared" si="14"/>
        <v>3363396.3769060592</v>
      </c>
      <c r="G32" s="323">
        <f t="shared" si="14"/>
        <v>2600760.321003289</v>
      </c>
      <c r="H32" s="323">
        <f t="shared" si="14"/>
        <v>3289.9618060691655</v>
      </c>
      <c r="I32" s="323">
        <f t="shared" si="14"/>
        <v>3357.4464803236706</v>
      </c>
      <c r="J32" s="322"/>
      <c r="K32" s="322"/>
      <c r="L32" s="322"/>
      <c r="M32" s="323">
        <f>SUM(M7:M30)</f>
        <v>497388.82142070594</v>
      </c>
      <c r="N32" s="323">
        <f>SUM(N7:N30)</f>
        <v>500746.26790102944</v>
      </c>
      <c r="O32" s="323">
        <f>SUM(O7:O30)</f>
        <v>3357.4464803236469</v>
      </c>
      <c r="P32" s="323">
        <f>SUM(P7:P30)</f>
        <v>500746.26790102944</v>
      </c>
      <c r="Q32" s="323">
        <f>SUM(Q7:Q30)</f>
        <v>0</v>
      </c>
      <c r="U32" s="338"/>
    </row>
    <row r="33" spans="1:22" s="344" customFormat="1">
      <c r="A33" s="366"/>
      <c r="B33" s="367"/>
      <c r="C33" s="367"/>
      <c r="D33" s="367"/>
      <c r="E33" s="367"/>
      <c r="F33" s="367"/>
      <c r="G33" s="367"/>
      <c r="H33" s="367"/>
      <c r="I33" s="367"/>
      <c r="J33" s="341"/>
      <c r="K33" s="341"/>
      <c r="L33" s="341"/>
      <c r="M33" s="367"/>
      <c r="N33" s="367"/>
      <c r="O33" s="367"/>
      <c r="P33" s="367"/>
      <c r="Q33" s="367"/>
      <c r="U33" s="338"/>
    </row>
    <row r="34" spans="1:22" s="344" customFormat="1" ht="15" customHeight="1">
      <c r="A34" s="395" t="s">
        <v>423</v>
      </c>
      <c r="B34" s="395"/>
      <c r="C34" s="395"/>
      <c r="D34" s="395"/>
      <c r="E34" s="395"/>
      <c r="F34" s="363"/>
      <c r="G34" s="364"/>
      <c r="H34" s="364"/>
      <c r="I34" s="364"/>
      <c r="J34" s="364"/>
      <c r="K34" s="364"/>
      <c r="L34" s="364"/>
      <c r="M34" s="374"/>
      <c r="N34" s="374"/>
      <c r="O34" s="374"/>
      <c r="P34" s="374"/>
      <c r="Q34" s="364"/>
      <c r="U34" s="338"/>
    </row>
    <row r="35" spans="1:22">
      <c r="A35" s="308" t="s">
        <v>417</v>
      </c>
      <c r="B35" s="315"/>
      <c r="C35" s="310"/>
      <c r="D35" s="311"/>
      <c r="E35" s="312"/>
      <c r="F35" s="317"/>
      <c r="G35" s="313"/>
      <c r="H35" s="310"/>
      <c r="I35" s="314"/>
      <c r="J35" s="314"/>
      <c r="K35" s="314"/>
      <c r="L35" s="314"/>
      <c r="M35" s="358"/>
      <c r="N35" s="358"/>
      <c r="O35" s="358"/>
      <c r="P35" s="358"/>
      <c r="Q35" s="314"/>
    </row>
    <row r="36" spans="1:22">
      <c r="A36" s="96" t="s">
        <v>251</v>
      </c>
      <c r="B36" s="116">
        <f>('G-48 Price Out'!K27*'G-48 DF Calc'!D2)+'G-48 Price Out'!V76</f>
        <v>27.131071229983625</v>
      </c>
      <c r="C36" s="95">
        <f>+References!$C$13</f>
        <v>1</v>
      </c>
      <c r="D36" s="242">
        <f t="shared" ref="D36" si="15">+B36*C36</f>
        <v>27.131071229983625</v>
      </c>
      <c r="E36" s="236">
        <f>References!$C$30</f>
        <v>125</v>
      </c>
      <c r="F36" s="241">
        <f>D36*E36</f>
        <v>3391.3839037479534</v>
      </c>
      <c r="G36" s="238">
        <f>F36*$B$99</f>
        <v>2622.4017932345123</v>
      </c>
      <c r="H36" s="238">
        <f>G36*References!$D$61</f>
        <v>3.3173382684416635</v>
      </c>
      <c r="I36" s="341">
        <f>H36/References!$H$63</f>
        <v>3.3853844968279043</v>
      </c>
      <c r="J36" s="341">
        <f>IFERROR((I36/D36),0)</f>
        <v>0.12477887320153365</v>
      </c>
      <c r="K36" s="341">
        <f>+'Rate Schedule G-48'!C32</f>
        <v>19.86</v>
      </c>
      <c r="L36" s="341">
        <f>J36+K36</f>
        <v>19.984778873201535</v>
      </c>
      <c r="M36" s="245">
        <f t="shared" ref="M36:M41" si="16">D36*K36</f>
        <v>538.82307462747474</v>
      </c>
      <c r="N36" s="245">
        <f t="shared" ref="N36:N41" si="17">D36*L36</f>
        <v>542.20845912430275</v>
      </c>
      <c r="O36" s="245">
        <f>N36-M36</f>
        <v>3.38538449682801</v>
      </c>
      <c r="P36" s="245">
        <f t="shared" ref="P36:P41" si="18">D36*L36</f>
        <v>542.20845912430275</v>
      </c>
      <c r="Q36" s="307">
        <f>N36-P36</f>
        <v>0</v>
      </c>
      <c r="S36" s="338">
        <f>(E36*$B$99*C36)*(References!$D$61/References!$H$63)-J36</f>
        <v>0</v>
      </c>
      <c r="V36" s="341"/>
    </row>
    <row r="37" spans="1:22">
      <c r="A37" s="368" t="s">
        <v>252</v>
      </c>
      <c r="B37" s="369">
        <v>0</v>
      </c>
      <c r="C37" s="369">
        <f>+References!$C$13</f>
        <v>1</v>
      </c>
      <c r="D37" s="328">
        <v>0</v>
      </c>
      <c r="E37" s="370">
        <f>References!$C$30</f>
        <v>125</v>
      </c>
      <c r="F37" s="326"/>
      <c r="G37" s="333"/>
      <c r="H37" s="333"/>
      <c r="I37" s="335"/>
      <c r="J37" s="333">
        <f>(E37*C37*$B$99)*(References!$D$61/References!$H$63)</f>
        <v>0.12477887320153365</v>
      </c>
      <c r="K37" s="333">
        <f>+'Rate Schedule G-48'!C33</f>
        <v>19.86</v>
      </c>
      <c r="L37" s="333">
        <f t="shared" ref="L37:L41" si="19">J37+K37</f>
        <v>19.984778873201535</v>
      </c>
      <c r="M37" s="359">
        <f t="shared" si="16"/>
        <v>0</v>
      </c>
      <c r="N37" s="359">
        <f t="shared" si="17"/>
        <v>0</v>
      </c>
      <c r="O37" s="359">
        <f t="shared" ref="O37:O41" si="20">N37-M37</f>
        <v>0</v>
      </c>
      <c r="P37" s="359">
        <f t="shared" si="18"/>
        <v>0</v>
      </c>
      <c r="Q37" s="335">
        <f t="shared" ref="Q37:Q41" si="21">N37-P37</f>
        <v>0</v>
      </c>
      <c r="R37" s="344" t="s">
        <v>399</v>
      </c>
      <c r="S37" s="338">
        <f>(E37*$B$99*C37)*(References!$D$61/References!$H$63)-J37</f>
        <v>0</v>
      </c>
    </row>
    <row r="38" spans="1:22">
      <c r="A38" s="368" t="s">
        <v>253</v>
      </c>
      <c r="B38" s="369">
        <v>0</v>
      </c>
      <c r="C38" s="369">
        <f>+References!$C$13</f>
        <v>1</v>
      </c>
      <c r="D38" s="328">
        <v>0</v>
      </c>
      <c r="E38" s="370">
        <f>References!$C$30</f>
        <v>125</v>
      </c>
      <c r="F38" s="326"/>
      <c r="G38" s="333"/>
      <c r="H38" s="333"/>
      <c r="I38" s="335"/>
      <c r="J38" s="333">
        <f>(E38*C38*$B$99)*(References!$D$61/References!$H$63)</f>
        <v>0.12477887320153365</v>
      </c>
      <c r="K38" s="333">
        <f>+'Rate Schedule G-48'!C34</f>
        <v>19.86</v>
      </c>
      <c r="L38" s="333">
        <f t="shared" si="19"/>
        <v>19.984778873201535</v>
      </c>
      <c r="M38" s="359">
        <f t="shared" si="16"/>
        <v>0</v>
      </c>
      <c r="N38" s="359">
        <f t="shared" si="17"/>
        <v>0</v>
      </c>
      <c r="O38" s="359">
        <f t="shared" si="20"/>
        <v>0</v>
      </c>
      <c r="P38" s="359">
        <f t="shared" si="18"/>
        <v>0</v>
      </c>
      <c r="Q38" s="335">
        <f t="shared" si="21"/>
        <v>0</v>
      </c>
      <c r="R38" s="344" t="s">
        <v>399</v>
      </c>
      <c r="S38" s="338">
        <f>(E38*$B$99*C38)*(References!$D$61/References!$H$63)-J38</f>
        <v>0</v>
      </c>
    </row>
    <row r="39" spans="1:22">
      <c r="A39" s="368" t="s">
        <v>254</v>
      </c>
      <c r="B39" s="369">
        <v>0</v>
      </c>
      <c r="C39" s="369">
        <f>+References!$C$13</f>
        <v>1</v>
      </c>
      <c r="D39" s="328">
        <v>0</v>
      </c>
      <c r="E39" s="370">
        <f>References!$C$30</f>
        <v>125</v>
      </c>
      <c r="F39" s="326"/>
      <c r="G39" s="333"/>
      <c r="H39" s="333"/>
      <c r="I39" s="335"/>
      <c r="J39" s="333">
        <f>(E39*C39*$B$99)*(References!$D$61/References!$H$63)</f>
        <v>0.12477887320153365</v>
      </c>
      <c r="K39" s="333">
        <f>+'Rate Schedule G-48'!C35</f>
        <v>19.86</v>
      </c>
      <c r="L39" s="333">
        <f t="shared" si="19"/>
        <v>19.984778873201535</v>
      </c>
      <c r="M39" s="359">
        <f t="shared" si="16"/>
        <v>0</v>
      </c>
      <c r="N39" s="359">
        <f t="shared" si="17"/>
        <v>0</v>
      </c>
      <c r="O39" s="359">
        <f t="shared" si="20"/>
        <v>0</v>
      </c>
      <c r="P39" s="359">
        <f t="shared" si="18"/>
        <v>0</v>
      </c>
      <c r="Q39" s="335">
        <f t="shared" si="21"/>
        <v>0</v>
      </c>
      <c r="R39" s="344" t="s">
        <v>399</v>
      </c>
      <c r="S39" s="338">
        <f>(E39*$B$99*C39)*(References!$D$61/References!$H$63)-J39</f>
        <v>0</v>
      </c>
    </row>
    <row r="40" spans="1:22">
      <c r="A40" s="368" t="s">
        <v>255</v>
      </c>
      <c r="B40" s="369">
        <v>0</v>
      </c>
      <c r="C40" s="369">
        <f>+References!$C$13</f>
        <v>1</v>
      </c>
      <c r="D40" s="328">
        <v>0</v>
      </c>
      <c r="E40" s="370">
        <f>References!$C$30</f>
        <v>125</v>
      </c>
      <c r="F40" s="326"/>
      <c r="G40" s="333"/>
      <c r="H40" s="333"/>
      <c r="I40" s="335"/>
      <c r="J40" s="333">
        <f>(E40*C40*$B$99)*(References!$D$61/References!$H$63)</f>
        <v>0.12477887320153365</v>
      </c>
      <c r="K40" s="333">
        <f>+'Rate Schedule G-48'!C36</f>
        <v>19.86</v>
      </c>
      <c r="L40" s="333">
        <f t="shared" si="19"/>
        <v>19.984778873201535</v>
      </c>
      <c r="M40" s="359">
        <f t="shared" si="16"/>
        <v>0</v>
      </c>
      <c r="N40" s="359">
        <f t="shared" si="17"/>
        <v>0</v>
      </c>
      <c r="O40" s="359">
        <f t="shared" si="20"/>
        <v>0</v>
      </c>
      <c r="P40" s="359">
        <f t="shared" si="18"/>
        <v>0</v>
      </c>
      <c r="Q40" s="335">
        <f t="shared" si="21"/>
        <v>0</v>
      </c>
      <c r="R40" s="344" t="s">
        <v>399</v>
      </c>
      <c r="S40" s="338">
        <f>(E40*$B$99*C40)*(References!$D$61/References!$H$63)-J40</f>
        <v>0</v>
      </c>
    </row>
    <row r="41" spans="1:22">
      <c r="A41" s="368" t="s">
        <v>255</v>
      </c>
      <c r="B41" s="369">
        <v>0</v>
      </c>
      <c r="C41" s="369">
        <f>+References!$C$13</f>
        <v>1</v>
      </c>
      <c r="D41" s="328">
        <v>0</v>
      </c>
      <c r="E41" s="370">
        <f>References!$C$30</f>
        <v>125</v>
      </c>
      <c r="F41" s="326"/>
      <c r="G41" s="333"/>
      <c r="H41" s="333"/>
      <c r="I41" s="335"/>
      <c r="J41" s="333">
        <f>(E41*C41*$B$99)*(References!$D$61/References!$H$63)</f>
        <v>0.12477887320153365</v>
      </c>
      <c r="K41" s="333">
        <f>+'Rate Schedule G-48'!C37</f>
        <v>19.86</v>
      </c>
      <c r="L41" s="333">
        <f t="shared" si="19"/>
        <v>19.984778873201535</v>
      </c>
      <c r="M41" s="359">
        <f t="shared" si="16"/>
        <v>0</v>
      </c>
      <c r="N41" s="359">
        <f t="shared" si="17"/>
        <v>0</v>
      </c>
      <c r="O41" s="359">
        <f t="shared" si="20"/>
        <v>0</v>
      </c>
      <c r="P41" s="359">
        <f t="shared" si="18"/>
        <v>0</v>
      </c>
      <c r="Q41" s="335">
        <f t="shared" si="21"/>
        <v>0</v>
      </c>
      <c r="R41" s="344" t="s">
        <v>399</v>
      </c>
      <c r="S41" s="338">
        <f>(E41*$B$99*C41)*(References!$D$61/References!$H$63)-J41</f>
        <v>0</v>
      </c>
    </row>
    <row r="42" spans="1:22">
      <c r="A42" s="96"/>
      <c r="B42" s="116"/>
      <c r="C42" s="95"/>
      <c r="D42" s="242"/>
      <c r="E42" s="235"/>
      <c r="G42" s="238"/>
      <c r="H42" s="95"/>
      <c r="J42" s="203"/>
    </row>
    <row r="43" spans="1:22">
      <c r="A43" s="308" t="s">
        <v>256</v>
      </c>
      <c r="B43" s="315"/>
      <c r="C43" s="310"/>
      <c r="D43" s="311"/>
      <c r="E43" s="312"/>
      <c r="F43" s="317"/>
      <c r="G43" s="313"/>
      <c r="H43" s="310"/>
      <c r="I43" s="314"/>
      <c r="J43" s="314"/>
      <c r="K43" s="314"/>
      <c r="L43" s="314"/>
      <c r="M43" s="358"/>
      <c r="N43" s="358"/>
      <c r="O43" s="358"/>
      <c r="P43" s="358"/>
      <c r="Q43" s="314"/>
    </row>
    <row r="44" spans="1:22">
      <c r="A44" s="96" t="s">
        <v>257</v>
      </c>
      <c r="B44" s="116"/>
      <c r="C44" s="95"/>
      <c r="D44" s="242"/>
      <c r="E44" s="235"/>
      <c r="G44" s="238"/>
      <c r="H44" s="95"/>
    </row>
    <row r="45" spans="1:22">
      <c r="A45" s="96" t="s">
        <v>258</v>
      </c>
      <c r="B45" s="116"/>
      <c r="C45" s="116">
        <f>+References!$C$13</f>
        <v>1</v>
      </c>
      <c r="D45" s="116">
        <f>+SUM('G-48 Price Out'!$U$40:$U$43)</f>
        <v>2527.6515505815332</v>
      </c>
      <c r="E45" s="235">
        <f>References!C31</f>
        <v>175</v>
      </c>
      <c r="F45" s="241">
        <f t="shared" si="6"/>
        <v>442339.02135176829</v>
      </c>
      <c r="G45" s="238">
        <f>F45*$B$99</f>
        <v>342040.49902121804</v>
      </c>
      <c r="H45" s="238">
        <f>G45*References!$D$61</f>
        <v>432.6812312618415</v>
      </c>
      <c r="I45" s="341">
        <f>H45/References!$H$63</f>
        <v>441.55651725874225</v>
      </c>
      <c r="J45" s="341">
        <f t="shared" ref="J45:J49" si="22">IFERROR((I45/D45),0)</f>
        <v>0.17469042248214711</v>
      </c>
      <c r="K45" s="341">
        <f>+'Rate Schedule G-48'!C44</f>
        <v>18.87</v>
      </c>
      <c r="L45" s="341">
        <f t="shared" ref="L45:L49" si="23">J45+K45</f>
        <v>19.044690422482148</v>
      </c>
      <c r="M45" s="245">
        <f>D45*K45</f>
        <v>47696.784759473536</v>
      </c>
      <c r="N45" s="245">
        <f>D45*L45</f>
        <v>48138.341276732273</v>
      </c>
      <c r="O45" s="245">
        <f>N45-M45</f>
        <v>441.55651725873759</v>
      </c>
      <c r="P45" s="245">
        <f>D45*L45</f>
        <v>48138.341276732273</v>
      </c>
      <c r="Q45" s="307">
        <f>N45-P45</f>
        <v>0</v>
      </c>
      <c r="R45" s="341"/>
      <c r="S45" s="338">
        <f>(E45*$B$99*C45)*(References!$D$61/References!$H$63)-J45</f>
        <v>0</v>
      </c>
      <c r="T45" s="338"/>
      <c r="V45" s="341"/>
    </row>
    <row r="46" spans="1:22">
      <c r="A46" s="96" t="s">
        <v>259</v>
      </c>
      <c r="B46" s="242"/>
      <c r="C46" s="116">
        <f>+References!$C$13</f>
        <v>1</v>
      </c>
      <c r="D46" s="242">
        <f>+SUM('G-48 Price Out'!$U$44:$U$48)</f>
        <v>2443.143160977414</v>
      </c>
      <c r="E46" s="235">
        <f>References!C32</f>
        <v>250</v>
      </c>
      <c r="F46" s="241">
        <f t="shared" si="6"/>
        <v>610785.79024435347</v>
      </c>
      <c r="G46" s="238">
        <f>F46*$B$99</f>
        <v>472292.66785421147</v>
      </c>
      <c r="H46" s="238">
        <f>G46*References!$D$61</f>
        <v>597.45022483557841</v>
      </c>
      <c r="I46" s="341">
        <f>H46/References!$H$63</f>
        <v>609.70530139358959</v>
      </c>
      <c r="J46" s="341">
        <f t="shared" si="22"/>
        <v>0.24955774640306724</v>
      </c>
      <c r="K46" s="341">
        <f>+'Rate Schedule G-48'!C45</f>
        <v>27.8</v>
      </c>
      <c r="L46" s="341">
        <f t="shared" si="23"/>
        <v>28.049557746403067</v>
      </c>
      <c r="M46" s="245">
        <f>D46*K46</f>
        <v>67919.379875172119</v>
      </c>
      <c r="N46" s="245">
        <f>D46*L46</f>
        <v>68529.085176565699</v>
      </c>
      <c r="O46" s="245">
        <f t="shared" ref="O46:O49" si="24">N46-M46</f>
        <v>609.70530139358016</v>
      </c>
      <c r="P46" s="245">
        <f>D46*L46</f>
        <v>68529.085176565699</v>
      </c>
      <c r="Q46" s="307">
        <f t="shared" ref="Q46:Q49" si="25">N46-P46</f>
        <v>0</v>
      </c>
      <c r="R46" s="341"/>
      <c r="S46" s="338">
        <f>(E46*$B$99*C46)*(References!$D$61/References!$H$63)-J46</f>
        <v>0</v>
      </c>
      <c r="V46" s="341"/>
    </row>
    <row r="47" spans="1:22">
      <c r="A47" s="96" t="s">
        <v>260</v>
      </c>
      <c r="B47" s="242"/>
      <c r="C47" s="116">
        <f>+References!$C$13</f>
        <v>1</v>
      </c>
      <c r="D47" s="242">
        <f>SUM('G-48 Price Out'!$U$49:$U$60)</f>
        <v>7071.2705479981996</v>
      </c>
      <c r="E47" s="235">
        <f>References!C33</f>
        <v>324</v>
      </c>
      <c r="F47" s="241">
        <f t="shared" si="6"/>
        <v>2291091.6575514167</v>
      </c>
      <c r="G47" s="238">
        <f>F47*$B$99</f>
        <v>1771596.2102042197</v>
      </c>
      <c r="H47" s="238">
        <f>G47*References!$D$61</f>
        <v>2241.0692059083412</v>
      </c>
      <c r="I47" s="341">
        <f>H47/References!$H$63</f>
        <v>2287.0386834455976</v>
      </c>
      <c r="J47" s="341">
        <f t="shared" si="22"/>
        <v>0.32342683933837513</v>
      </c>
      <c r="K47" s="341">
        <f>+'Rate Schedule G-48'!C46</f>
        <v>36.31</v>
      </c>
      <c r="L47" s="341">
        <f t="shared" si="23"/>
        <v>36.633426839338377</v>
      </c>
      <c r="M47" s="245">
        <f>D47*K47</f>
        <v>256757.83359781464</v>
      </c>
      <c r="N47" s="245">
        <f>D47*L47</f>
        <v>259044.87228126024</v>
      </c>
      <c r="O47" s="245">
        <f t="shared" si="24"/>
        <v>2287.0386834456003</v>
      </c>
      <c r="P47" s="245">
        <f>D47*L47</f>
        <v>259044.87228126024</v>
      </c>
      <c r="Q47" s="307">
        <f t="shared" si="25"/>
        <v>0</v>
      </c>
      <c r="R47" s="341"/>
      <c r="S47" s="338">
        <f>(E47*$B$99*C47)*(References!$D$61/References!$H$63)-J47</f>
        <v>0</v>
      </c>
      <c r="V47" s="341"/>
    </row>
    <row r="48" spans="1:22">
      <c r="A48" s="368" t="s">
        <v>261</v>
      </c>
      <c r="B48" s="369"/>
      <c r="C48" s="369">
        <f>+References!$C$13</f>
        <v>1</v>
      </c>
      <c r="D48" s="328">
        <v>0</v>
      </c>
      <c r="E48" s="327">
        <f>References!C34</f>
        <v>473</v>
      </c>
      <c r="F48" s="326"/>
      <c r="G48" s="333"/>
      <c r="H48" s="333"/>
      <c r="I48" s="335"/>
      <c r="J48" s="333">
        <f>(E48*$B$99)*(References!$D$61/References!$H$63)</f>
        <v>0.47216325619460336</v>
      </c>
      <c r="K48" s="333">
        <f>+'Rate Schedule G-48'!C47</f>
        <v>49.5</v>
      </c>
      <c r="L48" s="333">
        <f t="shared" si="23"/>
        <v>49.972163256194605</v>
      </c>
      <c r="M48" s="359">
        <f>D48*K48</f>
        <v>0</v>
      </c>
      <c r="N48" s="359">
        <f>D48*L48</f>
        <v>0</v>
      </c>
      <c r="O48" s="359">
        <f t="shared" si="24"/>
        <v>0</v>
      </c>
      <c r="P48" s="359">
        <f>D48*L48</f>
        <v>0</v>
      </c>
      <c r="Q48" s="335">
        <f t="shared" si="25"/>
        <v>0</v>
      </c>
      <c r="R48" s="344" t="s">
        <v>399</v>
      </c>
      <c r="S48" s="338">
        <f>(E48*$B$99*C48)*(References!$D$61/References!$H$63)-J48</f>
        <v>0</v>
      </c>
      <c r="V48" s="341"/>
    </row>
    <row r="49" spans="1:22">
      <c r="A49" s="96" t="s">
        <v>262</v>
      </c>
      <c r="B49" s="242"/>
      <c r="C49" s="116">
        <f>+References!$C$13</f>
        <v>1</v>
      </c>
      <c r="D49" s="242">
        <f>SUM('G-48 Price Out'!$U$61:$U$62)</f>
        <v>103.88664254658502</v>
      </c>
      <c r="E49" s="235">
        <f>References!C35</f>
        <v>613</v>
      </c>
      <c r="F49" s="241">
        <f t="shared" si="6"/>
        <v>63682.51188105662</v>
      </c>
      <c r="G49" s="238">
        <f>F49*$B$99</f>
        <v>49242.768761743966</v>
      </c>
      <c r="H49" s="238">
        <f>G49*References!$D$61</f>
        <v>62.292102483606214</v>
      </c>
      <c r="I49" s="341">
        <f>H49/References!$H$63</f>
        <v>63.569856601292187</v>
      </c>
      <c r="J49" s="341">
        <f t="shared" si="22"/>
        <v>0.61191559418032093</v>
      </c>
      <c r="K49" s="341">
        <f>+'Rate Schedule G-48'!C48</f>
        <v>61.22</v>
      </c>
      <c r="L49" s="341">
        <f t="shared" si="23"/>
        <v>61.831915594180323</v>
      </c>
      <c r="M49" s="245">
        <f>D49*K49</f>
        <v>6359.9402567019351</v>
      </c>
      <c r="N49" s="245">
        <f>D49*L49</f>
        <v>6423.5101133032276</v>
      </c>
      <c r="O49" s="245">
        <f t="shared" si="24"/>
        <v>63.569856601292486</v>
      </c>
      <c r="P49" s="245">
        <f>D49*L49</f>
        <v>6423.5101133032276</v>
      </c>
      <c r="Q49" s="307">
        <f t="shared" si="25"/>
        <v>0</v>
      </c>
      <c r="R49" s="341"/>
      <c r="S49" s="338">
        <f>(E49*$B$99*C49)*(References!$D$61/References!$H$63)-J49</f>
        <v>0</v>
      </c>
      <c r="V49" s="341"/>
    </row>
    <row r="50" spans="1:22">
      <c r="A50" s="96"/>
      <c r="B50" s="116"/>
      <c r="C50" s="95"/>
      <c r="D50" s="242"/>
      <c r="E50" s="235"/>
      <c r="G50" s="238"/>
      <c r="H50" s="95"/>
      <c r="Q50" s="307"/>
      <c r="R50" s="341"/>
      <c r="S50" s="338">
        <f>(E50*$B$99*C50)*(References!$D$61/References!$H$63)-J50</f>
        <v>0</v>
      </c>
    </row>
    <row r="51" spans="1:22">
      <c r="A51" s="96" t="s">
        <v>263</v>
      </c>
      <c r="B51" s="116"/>
      <c r="C51" s="95"/>
      <c r="D51" s="242"/>
      <c r="E51" s="235"/>
      <c r="G51" s="238"/>
      <c r="H51" s="95"/>
      <c r="R51" s="341"/>
      <c r="S51" s="338">
        <f>(E51*$B$99*C51)*(References!$D$61/References!$H$63)-J51</f>
        <v>0</v>
      </c>
      <c r="V51" s="341"/>
    </row>
    <row r="52" spans="1:22">
      <c r="A52" s="96" t="s">
        <v>258</v>
      </c>
      <c r="B52" s="242"/>
      <c r="C52" s="116">
        <f>+References!$C$13</f>
        <v>1</v>
      </c>
      <c r="D52" s="242">
        <f>'G-48 Price Out'!U73</f>
        <v>27.737435567010309</v>
      </c>
      <c r="E52" s="235">
        <f>References!C31</f>
        <v>175</v>
      </c>
      <c r="F52" s="241">
        <f t="shared" si="6"/>
        <v>4854.0512242268042</v>
      </c>
      <c r="G52" s="238">
        <f>F52*$B$99</f>
        <v>3753.4154186427922</v>
      </c>
      <c r="H52" s="238">
        <f>G52*References!$D$61</f>
        <v>4.74807050458314</v>
      </c>
      <c r="I52" s="341">
        <f>H52/References!$H$63</f>
        <v>4.8454643377723645</v>
      </c>
      <c r="J52" s="341">
        <f t="shared" ref="J52:J54" si="26">IFERROR((I52/D52),0)</f>
        <v>0.17469042248214711</v>
      </c>
      <c r="K52" s="341">
        <f>+'Rate Schedule G-48'!C51</f>
        <v>26.08</v>
      </c>
      <c r="L52" s="341">
        <f>J52+K52</f>
        <v>26.254690422482145</v>
      </c>
      <c r="M52" s="245">
        <f>D52*K52</f>
        <v>723.39231958762878</v>
      </c>
      <c r="N52" s="245">
        <f>D52*L52</f>
        <v>728.23778392540112</v>
      </c>
      <c r="O52" s="245">
        <f>N52-M52</f>
        <v>4.8454643377723414</v>
      </c>
      <c r="P52" s="245">
        <f>D52*L52</f>
        <v>728.23778392540112</v>
      </c>
      <c r="Q52" s="307">
        <f>N52-P52</f>
        <v>0</v>
      </c>
      <c r="R52" s="341"/>
      <c r="S52" s="338">
        <f>(E52*$B$99*C52)*(References!$D$61/References!$H$63)-J52</f>
        <v>0</v>
      </c>
      <c r="V52" s="341"/>
    </row>
    <row r="53" spans="1:22">
      <c r="A53" s="96" t="s">
        <v>259</v>
      </c>
      <c r="B53" s="242"/>
      <c r="C53" s="116">
        <f>+References!$C$13</f>
        <v>1</v>
      </c>
      <c r="D53" s="242">
        <f>'G-48 Price Out'!U74</f>
        <v>111.17479556074764</v>
      </c>
      <c r="E53" s="235">
        <f>References!C32</f>
        <v>250</v>
      </c>
      <c r="F53" s="241">
        <f t="shared" si="6"/>
        <v>27793.698890186912</v>
      </c>
      <c r="G53" s="238">
        <f>F53*$B$99</f>
        <v>21491.593956584136</v>
      </c>
      <c r="H53" s="238">
        <f>G53*References!$D$61</f>
        <v>27.186866355078976</v>
      </c>
      <c r="I53" s="341">
        <f>H53/References!$H$63</f>
        <v>27.74453143696191</v>
      </c>
      <c r="J53" s="341">
        <f t="shared" si="26"/>
        <v>0.2495577464030673</v>
      </c>
      <c r="K53" s="341">
        <f>+'Rate Schedule G-48'!C52</f>
        <v>38.340000000000003</v>
      </c>
      <c r="L53" s="341">
        <f t="shared" ref="L53:L56" si="27">J53+K53</f>
        <v>38.589557746403074</v>
      </c>
      <c r="M53" s="245">
        <f>D53*K53</f>
        <v>4262.4416617990646</v>
      </c>
      <c r="N53" s="245">
        <f>D53*L53</f>
        <v>4290.1861932360271</v>
      </c>
      <c r="O53" s="245">
        <f t="shared" ref="O53:O56" si="28">N53-M53</f>
        <v>27.744531436962461</v>
      </c>
      <c r="P53" s="245">
        <f>D53*L53</f>
        <v>4290.1861932360271</v>
      </c>
      <c r="Q53" s="307">
        <f t="shared" ref="Q53:Q56" si="29">N53-P53</f>
        <v>0</v>
      </c>
      <c r="R53" s="341"/>
      <c r="S53" s="338">
        <f>(E53*$B$99*C53)*(References!$D$61/References!$H$63)-J53</f>
        <v>0</v>
      </c>
      <c r="V53" s="341"/>
    </row>
    <row r="54" spans="1:22">
      <c r="A54" s="96" t="s">
        <v>260</v>
      </c>
      <c r="B54" s="242"/>
      <c r="C54" s="116">
        <f>+References!$C$13</f>
        <v>1</v>
      </c>
      <c r="D54" s="242">
        <f>'G-48 Price Out'!U75</f>
        <v>120.68992678056357</v>
      </c>
      <c r="E54" s="235">
        <f>References!C33</f>
        <v>324</v>
      </c>
      <c r="F54" s="241">
        <f t="shared" si="6"/>
        <v>39103.536276902596</v>
      </c>
      <c r="G54" s="238">
        <f>F54*$B$99</f>
        <v>30236.97303659235</v>
      </c>
      <c r="H54" s="238">
        <f>G54*References!$D$61</f>
        <v>38.24977089128938</v>
      </c>
      <c r="I54" s="341">
        <f>H54/References!$H$63</f>
        <v>39.034361558617597</v>
      </c>
      <c r="J54" s="341">
        <f t="shared" si="26"/>
        <v>0.32342683933837518</v>
      </c>
      <c r="K54" s="341">
        <f>+'Rate Schedule G-48'!C53</f>
        <v>50.47</v>
      </c>
      <c r="L54" s="341">
        <f t="shared" si="27"/>
        <v>50.793426839338373</v>
      </c>
      <c r="M54" s="245">
        <f>D54*K54</f>
        <v>6091.2206046150432</v>
      </c>
      <c r="N54" s="245">
        <f>D54*L54</f>
        <v>6130.2549661736603</v>
      </c>
      <c r="O54" s="245">
        <f t="shared" si="28"/>
        <v>39.034361558617093</v>
      </c>
      <c r="P54" s="245">
        <f>D54*L54</f>
        <v>6130.2549661736603</v>
      </c>
      <c r="Q54" s="307">
        <f t="shared" si="29"/>
        <v>0</v>
      </c>
      <c r="R54" s="341"/>
      <c r="S54" s="338">
        <f>(E54*$B$99*C54)*(References!$D$61/References!$H$63)-J54</f>
        <v>0</v>
      </c>
      <c r="V54" s="341"/>
    </row>
    <row r="55" spans="1:22">
      <c r="A55" s="368" t="s">
        <v>261</v>
      </c>
      <c r="B55" s="369"/>
      <c r="C55" s="369">
        <f>+References!$C$13</f>
        <v>1</v>
      </c>
      <c r="D55" s="328">
        <v>0</v>
      </c>
      <c r="E55" s="327">
        <f>References!C34</f>
        <v>473</v>
      </c>
      <c r="F55" s="326"/>
      <c r="G55" s="333"/>
      <c r="H55" s="333"/>
      <c r="I55" s="335"/>
      <c r="J55" s="333">
        <f>(E55*$B$99)*(References!$D$61/References!$H$63)</f>
        <v>0.47216325619460336</v>
      </c>
      <c r="K55" s="333">
        <f>+'Rate Schedule G-48'!C54</f>
        <v>65.19</v>
      </c>
      <c r="L55" s="333">
        <f t="shared" si="27"/>
        <v>65.662163256194603</v>
      </c>
      <c r="M55" s="359">
        <f>D55*K55</f>
        <v>0</v>
      </c>
      <c r="N55" s="359">
        <f>D55*L55</f>
        <v>0</v>
      </c>
      <c r="O55" s="359">
        <f t="shared" si="28"/>
        <v>0</v>
      </c>
      <c r="P55" s="359">
        <f>D55*L55</f>
        <v>0</v>
      </c>
      <c r="Q55" s="335">
        <f t="shared" si="29"/>
        <v>0</v>
      </c>
      <c r="R55" s="344" t="s">
        <v>399</v>
      </c>
      <c r="S55" s="338">
        <f>(E55*$B$99*C55)*(References!$D$61/References!$H$63)-J55</f>
        <v>0</v>
      </c>
      <c r="V55" s="341"/>
    </row>
    <row r="56" spans="1:22">
      <c r="A56" s="368" t="s">
        <v>262</v>
      </c>
      <c r="B56" s="369"/>
      <c r="C56" s="369">
        <f>+References!$C$13</f>
        <v>1</v>
      </c>
      <c r="D56" s="328">
        <v>0</v>
      </c>
      <c r="E56" s="327">
        <f>References!C35</f>
        <v>613</v>
      </c>
      <c r="F56" s="326"/>
      <c r="G56" s="333"/>
      <c r="H56" s="333"/>
      <c r="I56" s="335"/>
      <c r="J56" s="333">
        <f>(E56*$B$99)*(References!$D$61/References!$H$63)</f>
        <v>0.61191559418032104</v>
      </c>
      <c r="K56" s="333">
        <f>+'Rate Schedule G-48'!C55</f>
        <v>77.98</v>
      </c>
      <c r="L56" s="333">
        <f t="shared" si="27"/>
        <v>78.591915594180321</v>
      </c>
      <c r="M56" s="359">
        <f>D56*K56</f>
        <v>0</v>
      </c>
      <c r="N56" s="359">
        <f>D56*L56</f>
        <v>0</v>
      </c>
      <c r="O56" s="359">
        <f t="shared" si="28"/>
        <v>0</v>
      </c>
      <c r="P56" s="359">
        <f>D56*L56</f>
        <v>0</v>
      </c>
      <c r="Q56" s="335">
        <f t="shared" si="29"/>
        <v>0</v>
      </c>
      <c r="R56" s="344" t="s">
        <v>399</v>
      </c>
      <c r="S56" s="338">
        <f>(E56*$B$99*C56)*(References!$D$61/References!$H$63)-J56</f>
        <v>0</v>
      </c>
      <c r="V56" s="341"/>
    </row>
    <row r="57" spans="1:22">
      <c r="A57" s="96"/>
      <c r="B57" s="116"/>
      <c r="C57" s="95"/>
      <c r="D57" s="242"/>
      <c r="E57" s="235"/>
      <c r="G57" s="238"/>
      <c r="H57" s="95"/>
      <c r="Q57" s="307"/>
      <c r="R57" s="341"/>
      <c r="S57" s="338">
        <f>(E57*$B$99*C57)*(References!$D$61/References!$H$63)-J57</f>
        <v>0</v>
      </c>
    </row>
    <row r="58" spans="1:22">
      <c r="A58" s="96" t="s">
        <v>264</v>
      </c>
      <c r="B58" s="116"/>
      <c r="C58" s="95"/>
      <c r="D58" s="242"/>
      <c r="E58" s="235"/>
      <c r="G58" s="238"/>
      <c r="H58" s="95"/>
      <c r="R58" s="341"/>
      <c r="S58" s="338">
        <f>(E58*$B$99*C58)*(References!$D$61/References!$H$63)-J58</f>
        <v>0</v>
      </c>
    </row>
    <row r="59" spans="1:22">
      <c r="A59" s="96" t="s">
        <v>258</v>
      </c>
      <c r="B59" s="242"/>
      <c r="C59" s="116">
        <f>+References!$C$13</f>
        <v>1</v>
      </c>
      <c r="D59" s="242">
        <f>'G-48 Price Out'!U64</f>
        <v>12</v>
      </c>
      <c r="E59" s="235">
        <f>References!C31</f>
        <v>175</v>
      </c>
      <c r="F59" s="241">
        <f t="shared" si="6"/>
        <v>2100</v>
      </c>
      <c r="G59" s="238">
        <f>F59*$B$99</f>
        <v>1623.8337864688285</v>
      </c>
      <c r="H59" s="238">
        <f>G59*References!$D$61</f>
        <v>2.0541497398830715</v>
      </c>
      <c r="I59" s="341">
        <f>H59/References!$H$63</f>
        <v>2.0962850697857656</v>
      </c>
      <c r="J59" s="341">
        <f t="shared" ref="J59:J60" si="30">IFERROR((I59/D59),0)</f>
        <v>0.17469042248214714</v>
      </c>
      <c r="K59" s="341">
        <f>+'Rate Schedule G-48'!C58</f>
        <v>26.08</v>
      </c>
      <c r="L59" s="341">
        <f t="shared" ref="L59:L63" si="31">J59+K59</f>
        <v>26.254690422482145</v>
      </c>
      <c r="M59" s="245">
        <f>D59*K59</f>
        <v>312.95999999999998</v>
      </c>
      <c r="N59" s="245">
        <f>D59*L59</f>
        <v>315.05628506978576</v>
      </c>
      <c r="O59" s="245">
        <f t="shared" ref="O59" si="32">N59-M59</f>
        <v>2.0962850697857789</v>
      </c>
      <c r="P59" s="245">
        <f>D59*L59</f>
        <v>315.05628506978576</v>
      </c>
      <c r="Q59" s="307">
        <f>N59-P59</f>
        <v>0</v>
      </c>
      <c r="R59" s="341"/>
      <c r="S59" s="338">
        <f>(E59*$B$99*C59)*(References!$D$61/References!$H$63)-J59</f>
        <v>0</v>
      </c>
      <c r="V59" s="341"/>
    </row>
    <row r="60" spans="1:22">
      <c r="A60" s="96" t="s">
        <v>259</v>
      </c>
      <c r="B60" s="242"/>
      <c r="C60" s="116">
        <f>+References!$C$13</f>
        <v>1</v>
      </c>
      <c r="D60" s="242">
        <f>'G-48 Price Out'!U63</f>
        <v>1.5</v>
      </c>
      <c r="E60" s="235">
        <f>References!C32</f>
        <v>250</v>
      </c>
      <c r="F60" s="241">
        <f t="shared" si="6"/>
        <v>375</v>
      </c>
      <c r="G60" s="238">
        <f>F60*$B$99</f>
        <v>289.97031901229082</v>
      </c>
      <c r="H60" s="238">
        <f>G60*References!$D$61</f>
        <v>0.36681245355054848</v>
      </c>
      <c r="I60" s="341">
        <f>H60/References!$H$63</f>
        <v>0.37433661960460096</v>
      </c>
      <c r="J60" s="341">
        <f t="shared" si="30"/>
        <v>0.2495577464030673</v>
      </c>
      <c r="K60" s="341">
        <f>+'Rate Schedule G-48'!C59</f>
        <v>38.340000000000003</v>
      </c>
      <c r="L60" s="341">
        <f t="shared" si="31"/>
        <v>38.589557746403074</v>
      </c>
      <c r="M60" s="245">
        <f>D60*K60</f>
        <v>57.510000000000005</v>
      </c>
      <c r="N60" s="245">
        <f>D60*L60</f>
        <v>57.884336619604611</v>
      </c>
      <c r="O60" s="245">
        <f t="shared" ref="O60:O63" si="33">N60-M60</f>
        <v>0.3743366196046054</v>
      </c>
      <c r="P60" s="245">
        <f>D60*L60</f>
        <v>57.884336619604611</v>
      </c>
      <c r="Q60" s="307">
        <f t="shared" ref="Q60:Q63" si="34">N60-P60</f>
        <v>0</v>
      </c>
      <c r="R60" s="341"/>
      <c r="S60" s="338">
        <f>(E60*$B$99*C60)*(References!$D$61/References!$H$63)-J60</f>
        <v>0</v>
      </c>
      <c r="V60" s="341"/>
    </row>
    <row r="61" spans="1:22">
      <c r="A61" s="368" t="s">
        <v>260</v>
      </c>
      <c r="B61" s="369"/>
      <c r="C61" s="369">
        <f>+References!$C$13</f>
        <v>1</v>
      </c>
      <c r="D61" s="328">
        <v>0</v>
      </c>
      <c r="E61" s="327">
        <f>References!C33</f>
        <v>324</v>
      </c>
      <c r="F61" s="326"/>
      <c r="G61" s="333"/>
      <c r="H61" s="333"/>
      <c r="I61" s="335"/>
      <c r="J61" s="333">
        <f>(E61*$B$99)*(References!$D$61/References!$H$63)</f>
        <v>0.32342683933837524</v>
      </c>
      <c r="K61" s="333">
        <f>+'Rate Schedule G-48'!C60</f>
        <v>50.47</v>
      </c>
      <c r="L61" s="333">
        <f t="shared" si="31"/>
        <v>50.793426839338373</v>
      </c>
      <c r="M61" s="359">
        <f>D61*K61</f>
        <v>0</v>
      </c>
      <c r="N61" s="359">
        <f>D61*L61</f>
        <v>0</v>
      </c>
      <c r="O61" s="359">
        <f t="shared" si="33"/>
        <v>0</v>
      </c>
      <c r="P61" s="359">
        <f>D61*L61</f>
        <v>0</v>
      </c>
      <c r="Q61" s="335">
        <f t="shared" si="34"/>
        <v>0</v>
      </c>
      <c r="R61" s="344" t="s">
        <v>399</v>
      </c>
      <c r="S61" s="338">
        <f>(E61*$B$99*C61)*(References!$D$61/References!$H$63)-J61</f>
        <v>0</v>
      </c>
      <c r="V61" s="341"/>
    </row>
    <row r="62" spans="1:22">
      <c r="A62" s="368" t="s">
        <v>261</v>
      </c>
      <c r="B62" s="369"/>
      <c r="C62" s="369">
        <f>+References!$C$13</f>
        <v>1</v>
      </c>
      <c r="D62" s="328">
        <v>0</v>
      </c>
      <c r="E62" s="327">
        <f>References!C34</f>
        <v>473</v>
      </c>
      <c r="F62" s="326"/>
      <c r="G62" s="333"/>
      <c r="H62" s="333"/>
      <c r="I62" s="335"/>
      <c r="J62" s="333">
        <f>(E62*$B$99)*(References!$D$61/References!$H$63)</f>
        <v>0.47216325619460336</v>
      </c>
      <c r="K62" s="333">
        <f>+'Rate Schedule G-48'!C61</f>
        <v>65.19</v>
      </c>
      <c r="L62" s="333">
        <f t="shared" si="31"/>
        <v>65.662163256194603</v>
      </c>
      <c r="M62" s="359">
        <f>D62*K62</f>
        <v>0</v>
      </c>
      <c r="N62" s="359">
        <f>D62*L62</f>
        <v>0</v>
      </c>
      <c r="O62" s="359">
        <f t="shared" si="33"/>
        <v>0</v>
      </c>
      <c r="P62" s="359">
        <f>D62*L62</f>
        <v>0</v>
      </c>
      <c r="Q62" s="335">
        <f t="shared" si="34"/>
        <v>0</v>
      </c>
      <c r="R62" s="344" t="s">
        <v>399</v>
      </c>
      <c r="S62" s="338">
        <f>(E62*$B$99*C62)*(References!$D$61/References!$H$63)-J62</f>
        <v>0</v>
      </c>
      <c r="V62" s="341"/>
    </row>
    <row r="63" spans="1:22">
      <c r="A63" s="368" t="s">
        <v>262</v>
      </c>
      <c r="B63" s="369"/>
      <c r="C63" s="369">
        <f>+References!$C$13</f>
        <v>1</v>
      </c>
      <c r="D63" s="328">
        <v>0</v>
      </c>
      <c r="E63" s="327">
        <f>References!C35</f>
        <v>613</v>
      </c>
      <c r="F63" s="326"/>
      <c r="G63" s="333"/>
      <c r="H63" s="333"/>
      <c r="I63" s="335"/>
      <c r="J63" s="333">
        <f>(E63*$B$99)*(References!$D$61/References!$H$63)</f>
        <v>0.61191559418032104</v>
      </c>
      <c r="K63" s="333">
        <f>+'Rate Schedule G-48'!C62</f>
        <v>77.98</v>
      </c>
      <c r="L63" s="333">
        <f t="shared" si="31"/>
        <v>78.591915594180321</v>
      </c>
      <c r="M63" s="359">
        <f>D63*K63</f>
        <v>0</v>
      </c>
      <c r="N63" s="359">
        <f>D63*L63</f>
        <v>0</v>
      </c>
      <c r="O63" s="359">
        <f t="shared" si="33"/>
        <v>0</v>
      </c>
      <c r="P63" s="359">
        <f>D63*L63</f>
        <v>0</v>
      </c>
      <c r="Q63" s="335">
        <f t="shared" si="34"/>
        <v>0</v>
      </c>
      <c r="R63" s="344" t="s">
        <v>399</v>
      </c>
      <c r="S63" s="338">
        <f>(E63*$B$99*C63)*(References!$D$61/References!$H$63)-J63</f>
        <v>0</v>
      </c>
      <c r="V63" s="341"/>
    </row>
    <row r="64" spans="1:22">
      <c r="A64" s="96"/>
      <c r="B64" s="116"/>
      <c r="C64" s="95"/>
      <c r="D64" s="242"/>
      <c r="E64" s="235"/>
      <c r="G64" s="238"/>
      <c r="H64" s="95"/>
      <c r="R64" s="341"/>
    </row>
    <row r="65" spans="1:22">
      <c r="A65" s="308" t="s">
        <v>265</v>
      </c>
      <c r="B65" s="315"/>
      <c r="C65" s="310"/>
      <c r="D65" s="311"/>
      <c r="E65" s="312"/>
      <c r="F65" s="317"/>
      <c r="G65" s="313"/>
      <c r="H65" s="310"/>
      <c r="I65" s="314"/>
      <c r="J65" s="314"/>
      <c r="K65" s="314"/>
      <c r="L65" s="314"/>
      <c r="M65" s="358"/>
      <c r="N65" s="358"/>
      <c r="O65" s="358"/>
      <c r="P65" s="358"/>
      <c r="Q65" s="314"/>
    </row>
    <row r="66" spans="1:22">
      <c r="A66" s="96" t="s">
        <v>419</v>
      </c>
      <c r="B66" s="116">
        <v>0</v>
      </c>
      <c r="C66" s="116">
        <f>+References!$C$13</f>
        <v>1</v>
      </c>
      <c r="D66" s="242">
        <f>SUM('G-48 Price Out'!U66:U69)</f>
        <v>1104.3528064020697</v>
      </c>
      <c r="E66" s="236">
        <f>References!$C$29</f>
        <v>29</v>
      </c>
      <c r="F66" s="241">
        <f t="shared" si="6"/>
        <v>32026.231385660023</v>
      </c>
      <c r="G66" s="238">
        <f t="shared" ref="G66:G71" si="35">F66*$B$99</f>
        <v>24764.417417763405</v>
      </c>
      <c r="H66" s="238">
        <f>G66*References!$D$61</f>
        <v>31.326988033470759</v>
      </c>
      <c r="I66" s="341">
        <f>H66/References!$H$63</f>
        <v>31.969576521553993</v>
      </c>
      <c r="J66" s="341">
        <f t="shared" ref="J66:J71" si="36">IFERROR((I66/D66),0)</f>
        <v>2.8948698582755804E-2</v>
      </c>
      <c r="K66" s="341">
        <f>+'Rate Schedule G-48'!C65</f>
        <v>4.9400000000000004</v>
      </c>
      <c r="L66" s="341">
        <f t="shared" ref="L66:L84" si="37">J66+K66</f>
        <v>4.9689486985827562</v>
      </c>
      <c r="M66" s="245">
        <f>D66*K66</f>
        <v>5455.502863626225</v>
      </c>
      <c r="N66" s="245">
        <f>D66*L66</f>
        <v>5487.4724401477788</v>
      </c>
      <c r="O66" s="245">
        <f t="shared" ref="O66" si="38">N66-M66</f>
        <v>31.96957652155379</v>
      </c>
      <c r="P66" s="245">
        <f>D66*L66</f>
        <v>5487.4724401477788</v>
      </c>
      <c r="Q66" s="307">
        <f>N66-P66</f>
        <v>0</v>
      </c>
      <c r="S66" s="338">
        <f>(E66*$B$99*C66)*(References!$D$61/References!$H$63)-J66</f>
        <v>0</v>
      </c>
      <c r="V66" s="341"/>
    </row>
    <row r="67" spans="1:22">
      <c r="A67" s="368" t="s">
        <v>420</v>
      </c>
      <c r="B67" s="369">
        <v>0</v>
      </c>
      <c r="C67" s="369">
        <f>+References!$C$13</f>
        <v>1</v>
      </c>
      <c r="D67" s="328">
        <v>0</v>
      </c>
      <c r="E67" s="370">
        <f>References!$C$29</f>
        <v>29</v>
      </c>
      <c r="F67" s="326">
        <f t="shared" si="6"/>
        <v>0</v>
      </c>
      <c r="G67" s="333">
        <f t="shared" si="35"/>
        <v>0</v>
      </c>
      <c r="H67" s="333">
        <f>G67*References!$D$61</f>
        <v>0</v>
      </c>
      <c r="I67" s="335">
        <f>H67/References!$H$63</f>
        <v>0</v>
      </c>
      <c r="J67" s="333">
        <f>(E67*$B$99)*(References!$D$61/References!$H$63)</f>
        <v>2.8948698582755807E-2</v>
      </c>
      <c r="K67" s="333">
        <f>+'Rate Schedule G-48'!C66</f>
        <v>4.9400000000000004</v>
      </c>
      <c r="L67" s="333">
        <f t="shared" si="37"/>
        <v>4.9689486985827562</v>
      </c>
      <c r="M67" s="359">
        <f>D67*K67</f>
        <v>0</v>
      </c>
      <c r="N67" s="359">
        <f>D67*L67</f>
        <v>0</v>
      </c>
      <c r="O67" s="359">
        <f t="shared" ref="O67:O71" si="39">N67-M67</f>
        <v>0</v>
      </c>
      <c r="P67" s="359">
        <f>D67*L67</f>
        <v>0</v>
      </c>
      <c r="Q67" s="335">
        <f t="shared" ref="Q67:Q71" si="40">N67-P67</f>
        <v>0</v>
      </c>
      <c r="R67" s="344" t="s">
        <v>399</v>
      </c>
      <c r="S67" s="338">
        <f>(E67*$B$99*C67)*(References!$D$61/References!$H$63)-J67</f>
        <v>0</v>
      </c>
      <c r="V67" s="341"/>
    </row>
    <row r="68" spans="1:22">
      <c r="A68" s="96" t="s">
        <v>421</v>
      </c>
      <c r="B68" s="116">
        <f>'G-48 Price Out'!V65</f>
        <v>482.53340415241178</v>
      </c>
      <c r="C68" s="95">
        <f>References!$C$10</f>
        <v>4.333333333333333</v>
      </c>
      <c r="D68" s="242">
        <f t="shared" ref="D68" si="41">+B68*C68</f>
        <v>2090.9780846604508</v>
      </c>
      <c r="E68" s="236">
        <f>References!$C$29</f>
        <v>29</v>
      </c>
      <c r="F68" s="241">
        <f t="shared" si="6"/>
        <v>60638.364455153074</v>
      </c>
      <c r="G68" s="238">
        <f t="shared" si="35"/>
        <v>46888.869027851448</v>
      </c>
      <c r="H68" s="238">
        <f>G68*References!$D$61</f>
        <v>59.314419320232176</v>
      </c>
      <c r="I68" s="341">
        <f>H68/References!$H$63</f>
        <v>60.531094315983445</v>
      </c>
      <c r="J68" s="341">
        <f>IFERROR((I68/B68),0)</f>
        <v>0.12544436052527516</v>
      </c>
      <c r="K68" s="341">
        <f>+'Rate Schedule G-48'!C67</f>
        <v>21.44</v>
      </c>
      <c r="L68" s="341">
        <f t="shared" si="37"/>
        <v>21.565444360525277</v>
      </c>
      <c r="M68" s="245">
        <f>B68*K68</f>
        <v>10345.516185027709</v>
      </c>
      <c r="N68" s="245">
        <f>B68*L68</f>
        <v>10406.047279343693</v>
      </c>
      <c r="O68" s="245">
        <f t="shared" si="39"/>
        <v>60.531094315983864</v>
      </c>
      <c r="P68" s="245">
        <f>B68*L68</f>
        <v>10406.047279343693</v>
      </c>
      <c r="Q68" s="307">
        <f t="shared" si="40"/>
        <v>0</v>
      </c>
      <c r="S68" s="338">
        <f>(E68*$B$99*C68)*(References!$D$61/References!$H$63)-J68</f>
        <v>0</v>
      </c>
      <c r="V68" s="341"/>
    </row>
    <row r="69" spans="1:22">
      <c r="A69" s="96" t="s">
        <v>267</v>
      </c>
      <c r="B69" s="116">
        <v>0</v>
      </c>
      <c r="C69" s="116">
        <f>+References!$C$13</f>
        <v>1</v>
      </c>
      <c r="D69" s="242">
        <f>'G-48 Price Out'!U72</f>
        <v>9.6520371731597194</v>
      </c>
      <c r="E69" s="236">
        <f>References!$C$29</f>
        <v>29</v>
      </c>
      <c r="F69" s="241">
        <f t="shared" si="6"/>
        <v>279.90907802163184</v>
      </c>
      <c r="G69" s="238">
        <f t="shared" si="35"/>
        <v>216.44086572898343</v>
      </c>
      <c r="H69" s="238">
        <f>G69*References!$D$61</f>
        <v>0.27379769514716445</v>
      </c>
      <c r="I69" s="341">
        <f>H69/References!$H$63</f>
        <v>0.2794139148353551</v>
      </c>
      <c r="J69" s="341">
        <f t="shared" si="36"/>
        <v>2.8948698582755804E-2</v>
      </c>
      <c r="K69" s="341">
        <f>+'Rate Schedule G-48'!C68</f>
        <v>5.97</v>
      </c>
      <c r="L69" s="341">
        <f t="shared" si="37"/>
        <v>5.9989486985827556</v>
      </c>
      <c r="M69" s="245">
        <f>D69*K69</f>
        <v>57.622661923763523</v>
      </c>
      <c r="N69" s="245">
        <f>D69*L69</f>
        <v>57.902075838598876</v>
      </c>
      <c r="O69" s="245">
        <f t="shared" si="39"/>
        <v>0.27941391483535227</v>
      </c>
      <c r="P69" s="245">
        <f>D69*L69</f>
        <v>57.902075838598876</v>
      </c>
      <c r="Q69" s="307">
        <f t="shared" si="40"/>
        <v>0</v>
      </c>
      <c r="S69" s="338">
        <f>(E69*$B$99*C69)*(References!$D$61/References!$H$63)-J69</f>
        <v>0</v>
      </c>
      <c r="V69" s="341"/>
    </row>
    <row r="70" spans="1:22">
      <c r="A70" s="368" t="s">
        <v>268</v>
      </c>
      <c r="B70" s="369">
        <v>0</v>
      </c>
      <c r="C70" s="369">
        <f>+References!$C$13</f>
        <v>1</v>
      </c>
      <c r="D70" s="328"/>
      <c r="E70" s="370">
        <f>References!$C$29</f>
        <v>29</v>
      </c>
      <c r="F70" s="326">
        <f t="shared" si="6"/>
        <v>0</v>
      </c>
      <c r="G70" s="333">
        <f t="shared" si="35"/>
        <v>0</v>
      </c>
      <c r="H70" s="333">
        <f>G70*References!$D$61</f>
        <v>0</v>
      </c>
      <c r="I70" s="335">
        <f>H70/References!$H$63</f>
        <v>0</v>
      </c>
      <c r="J70" s="333">
        <f>(E70*$B$99)*(References!$D$61/References!$H$63)</f>
        <v>2.8948698582755807E-2</v>
      </c>
      <c r="K70" s="333">
        <f>+'Rate Schedule G-48'!C69</f>
        <v>4.9400000000000004</v>
      </c>
      <c r="L70" s="333">
        <f t="shared" si="37"/>
        <v>4.9689486985827562</v>
      </c>
      <c r="M70" s="359">
        <f>D70*K70</f>
        <v>0</v>
      </c>
      <c r="N70" s="359">
        <f>D70*L70</f>
        <v>0</v>
      </c>
      <c r="O70" s="359">
        <f t="shared" si="39"/>
        <v>0</v>
      </c>
      <c r="P70" s="359">
        <f>D70*L70</f>
        <v>0</v>
      </c>
      <c r="Q70" s="335">
        <f t="shared" si="40"/>
        <v>0</v>
      </c>
      <c r="R70" s="344" t="s">
        <v>399</v>
      </c>
      <c r="S70" s="338">
        <f>(E70*$B$99*C70)*(References!$D$61/References!$H$63)-J70</f>
        <v>0</v>
      </c>
      <c r="V70" s="341"/>
    </row>
    <row r="71" spans="1:22">
      <c r="A71" s="96" t="s">
        <v>269</v>
      </c>
      <c r="B71" s="242"/>
      <c r="C71" s="116">
        <f>+References!$C$13</f>
        <v>1</v>
      </c>
      <c r="D71" s="242">
        <f>'G-48 Price Out'!U71</f>
        <v>312.45903746113822</v>
      </c>
      <c r="E71" s="236">
        <f>References!$C$29</f>
        <v>29</v>
      </c>
      <c r="F71" s="241">
        <f t="shared" si="6"/>
        <v>9061.3120863730092</v>
      </c>
      <c r="G71" s="238">
        <f t="shared" si="35"/>
        <v>7006.6974836146874</v>
      </c>
      <c r="H71" s="238">
        <f>G71*References!$D$61</f>
        <v>8.8634723167725937</v>
      </c>
      <c r="I71" s="341">
        <f>H71/References!$H$63</f>
        <v>9.045282494920496</v>
      </c>
      <c r="J71" s="341">
        <f t="shared" si="36"/>
        <v>2.8948698582755807E-2</v>
      </c>
      <c r="K71" s="341">
        <f>+'Rate Schedule G-48'!C70</f>
        <v>4.9400000000000004</v>
      </c>
      <c r="L71" s="341">
        <f t="shared" si="37"/>
        <v>4.9689486985827562</v>
      </c>
      <c r="M71" s="245">
        <f>D71*K71</f>
        <v>1543.5476450580229</v>
      </c>
      <c r="N71" s="245">
        <f>D71*L71</f>
        <v>1552.5929275529434</v>
      </c>
      <c r="O71" s="245">
        <f t="shared" si="39"/>
        <v>9.0452824949204569</v>
      </c>
      <c r="P71" s="245">
        <f>D71*L71</f>
        <v>1552.5929275529434</v>
      </c>
      <c r="Q71" s="307">
        <f t="shared" si="40"/>
        <v>0</v>
      </c>
      <c r="S71" s="338">
        <f>(E71*$B$99*C71)*(References!$D$61/References!$H$63)-J71</f>
        <v>0</v>
      </c>
      <c r="V71" s="341"/>
    </row>
    <row r="72" spans="1:22">
      <c r="A72" s="94"/>
      <c r="B72" s="116"/>
      <c r="C72" s="95"/>
      <c r="D72" s="242"/>
      <c r="E72" s="235"/>
      <c r="G72" s="238"/>
      <c r="H72" s="95"/>
      <c r="I72" s="341"/>
      <c r="J72" s="341"/>
      <c r="K72" s="341"/>
      <c r="L72" s="341"/>
      <c r="S72" s="338">
        <f>(E72*$B$99*C72)*(References!$D$61/References!$H$63)-J72</f>
        <v>0</v>
      </c>
    </row>
    <row r="73" spans="1:22">
      <c r="A73" s="368" t="s">
        <v>270</v>
      </c>
      <c r="B73" s="328">
        <v>0</v>
      </c>
      <c r="C73" s="369">
        <f>+References!$C$13</f>
        <v>1</v>
      </c>
      <c r="D73" s="328"/>
      <c r="E73" s="327">
        <f>References!$C$17</f>
        <v>34</v>
      </c>
      <c r="F73" s="326">
        <f t="shared" si="6"/>
        <v>0</v>
      </c>
      <c r="G73" s="333">
        <f>F73*$B$99</f>
        <v>0</v>
      </c>
      <c r="H73" s="333">
        <f>G73*References!$D$61</f>
        <v>0</v>
      </c>
      <c r="I73" s="335">
        <f>H73/References!$H$63</f>
        <v>0</v>
      </c>
      <c r="J73" s="333">
        <f>(E73*$B$99)*(References!$D$61/References!$H$63)</f>
        <v>3.3939853510817151E-2</v>
      </c>
      <c r="K73" s="333">
        <f>+'Rate Schedule G-48'!C72</f>
        <v>5.71</v>
      </c>
      <c r="L73" s="333">
        <f t="shared" si="37"/>
        <v>5.7439398535108168</v>
      </c>
      <c r="M73" s="359">
        <f>D73*K73</f>
        <v>0</v>
      </c>
      <c r="N73" s="359">
        <f>D73*L73</f>
        <v>0</v>
      </c>
      <c r="O73" s="359">
        <f t="shared" ref="O73" si="42">N73-M73</f>
        <v>0</v>
      </c>
      <c r="P73" s="359">
        <f>D73*L73</f>
        <v>0</v>
      </c>
      <c r="Q73" s="335">
        <f>N73-P73</f>
        <v>0</v>
      </c>
      <c r="R73" s="344" t="s">
        <v>399</v>
      </c>
      <c r="S73" s="338">
        <f>(E73*$B$99*C73)*(References!$D$61/References!$H$63)-J73</f>
        <v>0</v>
      </c>
      <c r="V73" s="341"/>
    </row>
    <row r="74" spans="1:22">
      <c r="A74" s="368" t="s">
        <v>266</v>
      </c>
      <c r="B74" s="328">
        <v>0</v>
      </c>
      <c r="C74" s="337">
        <f>References!$C$10</f>
        <v>4.333333333333333</v>
      </c>
      <c r="D74" s="328"/>
      <c r="E74" s="327">
        <f>References!$C$17</f>
        <v>34</v>
      </c>
      <c r="F74" s="326">
        <f t="shared" si="6"/>
        <v>0</v>
      </c>
      <c r="G74" s="333">
        <f>F74*$B$99</f>
        <v>0</v>
      </c>
      <c r="H74" s="333">
        <f>G74*References!$D$61</f>
        <v>0</v>
      </c>
      <c r="I74" s="335">
        <f>H74/References!$H$63</f>
        <v>0</v>
      </c>
      <c r="J74" s="333">
        <f>(E74*C74*$B$99)*(References!$D$61/References!$H$63)</f>
        <v>0.14707269854687433</v>
      </c>
      <c r="K74" s="333">
        <f>+'Rate Schedule G-48'!C73</f>
        <v>24.71</v>
      </c>
      <c r="L74" s="333">
        <f t="shared" si="37"/>
        <v>24.857072698546876</v>
      </c>
      <c r="M74" s="359">
        <f>D74*K74</f>
        <v>0</v>
      </c>
      <c r="N74" s="359">
        <f>D74*L74</f>
        <v>0</v>
      </c>
      <c r="O74" s="359">
        <f t="shared" ref="O74:O86" si="43">N74-M74</f>
        <v>0</v>
      </c>
      <c r="P74" s="359">
        <f>D74*L74</f>
        <v>0</v>
      </c>
      <c r="Q74" s="335">
        <f t="shared" ref="Q74:Q86" si="44">N74-P74</f>
        <v>0</v>
      </c>
      <c r="R74" s="344" t="s">
        <v>399</v>
      </c>
      <c r="S74" s="338">
        <f>(E74*$B$99*C74)*(References!$D$61/References!$H$63)-J74</f>
        <v>0</v>
      </c>
      <c r="V74" s="341"/>
    </row>
    <row r="75" spans="1:22" s="344" customFormat="1">
      <c r="A75" s="368" t="s">
        <v>267</v>
      </c>
      <c r="B75" s="369">
        <v>0</v>
      </c>
      <c r="C75" s="369">
        <f>+References!$C$13</f>
        <v>1</v>
      </c>
      <c r="D75" s="328">
        <f>'G-48 Price Out'!U78</f>
        <v>0</v>
      </c>
      <c r="E75" s="327">
        <f>References!$C$17</f>
        <v>34</v>
      </c>
      <c r="F75" s="326">
        <f t="shared" ref="F75:F76" si="45">D75*E75</f>
        <v>0</v>
      </c>
      <c r="G75" s="333">
        <f>F75*$B$99</f>
        <v>0</v>
      </c>
      <c r="H75" s="333">
        <f>G75*References!$D$61</f>
        <v>0</v>
      </c>
      <c r="I75" s="335">
        <f>H75/References!$H$63</f>
        <v>0</v>
      </c>
      <c r="J75" s="333">
        <f>(E75*$B$99)*(References!$D$61/References!$H$63)</f>
        <v>3.3939853510817151E-2</v>
      </c>
      <c r="K75" s="333">
        <f>+'Rate Schedule G-48'!C74</f>
        <v>7.21</v>
      </c>
      <c r="L75" s="333">
        <f t="shared" ref="L75:L76" si="46">J75+K75</f>
        <v>7.2439398535108168</v>
      </c>
      <c r="M75" s="359">
        <f>D75*K75</f>
        <v>0</v>
      </c>
      <c r="N75" s="359">
        <f>D75*L75</f>
        <v>0</v>
      </c>
      <c r="O75" s="359">
        <f t="shared" si="43"/>
        <v>0</v>
      </c>
      <c r="P75" s="359">
        <f>D75*L75</f>
        <v>0</v>
      </c>
      <c r="Q75" s="335">
        <f t="shared" si="44"/>
        <v>0</v>
      </c>
      <c r="S75" s="338">
        <f>(E75*$B$99*C75)*(References!$D$61/References!$H$63)-J75</f>
        <v>0</v>
      </c>
      <c r="U75" s="338"/>
      <c r="V75" s="341"/>
    </row>
    <row r="76" spans="1:22" s="344" customFormat="1">
      <c r="A76" s="368" t="s">
        <v>268</v>
      </c>
      <c r="B76" s="369">
        <v>0</v>
      </c>
      <c r="C76" s="369">
        <f>+References!$C$13</f>
        <v>1</v>
      </c>
      <c r="D76" s="328"/>
      <c r="E76" s="327">
        <f>References!$C$17</f>
        <v>34</v>
      </c>
      <c r="F76" s="326">
        <f t="shared" si="45"/>
        <v>0</v>
      </c>
      <c r="G76" s="333">
        <f>F76*$B$99</f>
        <v>0</v>
      </c>
      <c r="H76" s="333">
        <f>G76*References!$D$61</f>
        <v>0</v>
      </c>
      <c r="I76" s="335">
        <f>H76/References!$H$63</f>
        <v>0</v>
      </c>
      <c r="J76" s="333">
        <f>(E76*C76*$B$99)*(References!$D$61/References!$H$63)</f>
        <v>3.3939853510817151E-2</v>
      </c>
      <c r="K76" s="333">
        <f>+'Rate Schedule G-48'!C75</f>
        <v>5.71</v>
      </c>
      <c r="L76" s="333">
        <f t="shared" si="46"/>
        <v>5.7439398535108168</v>
      </c>
      <c r="M76" s="359">
        <f>D76*K76</f>
        <v>0</v>
      </c>
      <c r="N76" s="359">
        <f>D76*L76</f>
        <v>0</v>
      </c>
      <c r="O76" s="359">
        <f t="shared" si="43"/>
        <v>0</v>
      </c>
      <c r="P76" s="359">
        <f>D76*L76</f>
        <v>0</v>
      </c>
      <c r="Q76" s="335">
        <f t="shared" si="44"/>
        <v>0</v>
      </c>
      <c r="R76" s="344" t="s">
        <v>399</v>
      </c>
      <c r="S76" s="338">
        <f>(E76*$B$99*C76)*(References!$D$61/References!$H$63)-J76</f>
        <v>0</v>
      </c>
      <c r="U76" s="338"/>
      <c r="V76" s="341"/>
    </row>
    <row r="77" spans="1:22" s="345" customFormat="1">
      <c r="A77" s="228"/>
      <c r="B77" s="116"/>
      <c r="C77" s="116"/>
      <c r="D77" s="242"/>
      <c r="E77" s="235"/>
      <c r="F77" s="99"/>
      <c r="G77" s="238"/>
      <c r="H77" s="238"/>
      <c r="I77" s="376"/>
      <c r="J77" s="238"/>
      <c r="K77" s="238"/>
      <c r="L77" s="238"/>
      <c r="M77" s="210"/>
      <c r="N77" s="210"/>
      <c r="O77" s="210"/>
      <c r="P77" s="210"/>
      <c r="Q77" s="376"/>
      <c r="S77" s="99"/>
      <c r="U77" s="99"/>
    </row>
    <row r="78" spans="1:22">
      <c r="A78" s="368" t="s">
        <v>271</v>
      </c>
      <c r="B78" s="328">
        <v>0</v>
      </c>
      <c r="C78" s="369">
        <f>+References!$C$13</f>
        <v>1</v>
      </c>
      <c r="D78" s="328"/>
      <c r="E78" s="327">
        <f>References!$C$23</f>
        <v>40</v>
      </c>
      <c r="F78" s="326">
        <f t="shared" si="6"/>
        <v>0</v>
      </c>
      <c r="G78" s="333">
        <f>F78*$B$99</f>
        <v>0</v>
      </c>
      <c r="H78" s="333">
        <f>G78*References!$D$61</f>
        <v>0</v>
      </c>
      <c r="I78" s="335">
        <f>H78/References!$H$63</f>
        <v>0</v>
      </c>
      <c r="J78" s="333">
        <f>(E78*$B$99)*(References!$D$61/References!$H$63)</f>
        <v>3.9929239424490767E-2</v>
      </c>
      <c r="K78" s="333">
        <f>+'Rate Schedule G-48'!C76</f>
        <v>8.15</v>
      </c>
      <c r="L78" s="333">
        <f t="shared" si="37"/>
        <v>8.1899292394244902</v>
      </c>
      <c r="M78" s="359">
        <f>D78*K78</f>
        <v>0</v>
      </c>
      <c r="N78" s="359">
        <f>D78*L78</f>
        <v>0</v>
      </c>
      <c r="O78" s="359">
        <f t="shared" si="43"/>
        <v>0</v>
      </c>
      <c r="P78" s="359">
        <f>D78*L78</f>
        <v>0</v>
      </c>
      <c r="Q78" s="335">
        <f t="shared" si="44"/>
        <v>0</v>
      </c>
      <c r="R78" s="344" t="s">
        <v>399</v>
      </c>
      <c r="S78" s="338">
        <f>(E78*$B$99*C78)*(References!$D$61/References!$H$63)-J78</f>
        <v>0</v>
      </c>
      <c r="V78" s="341"/>
    </row>
    <row r="79" spans="1:22">
      <c r="A79" s="96" t="s">
        <v>266</v>
      </c>
      <c r="B79" s="242">
        <f>'G-48 Price Out'!V70</f>
        <v>24</v>
      </c>
      <c r="C79" s="95">
        <f>References!$C$10</f>
        <v>4.333333333333333</v>
      </c>
      <c r="D79" s="242">
        <f t="shared" ref="D79" si="47">+B79*C79</f>
        <v>104</v>
      </c>
      <c r="E79" s="235">
        <f>References!$C$23</f>
        <v>40</v>
      </c>
      <c r="F79" s="241">
        <f t="shared" ref="F79:F83" si="48">D79*E79</f>
        <v>4160</v>
      </c>
      <c r="G79" s="238">
        <f>F79*$B$99</f>
        <v>3216.7374055763457</v>
      </c>
      <c r="H79" s="238">
        <f>G79*References!$D$61</f>
        <v>4.069172818054084</v>
      </c>
      <c r="I79" s="341">
        <f>H79/References!$H$63</f>
        <v>4.1526409001470395</v>
      </c>
      <c r="J79" s="341">
        <f>IFERROR((I79/B79),0)</f>
        <v>0.17302670417279331</v>
      </c>
      <c r="K79" s="341">
        <f>+'Rate Schedule G-48'!C77</f>
        <v>35.31</v>
      </c>
      <c r="L79" s="341">
        <f t="shared" si="37"/>
        <v>35.483026704172794</v>
      </c>
      <c r="M79" s="245">
        <f>B79*K79</f>
        <v>847.44</v>
      </c>
      <c r="N79" s="245">
        <f>B79*L79</f>
        <v>851.59264090014699</v>
      </c>
      <c r="O79" s="245">
        <f t="shared" si="43"/>
        <v>4.1526409001469347</v>
      </c>
      <c r="P79" s="245">
        <f>B79*L79</f>
        <v>851.59264090014699</v>
      </c>
      <c r="Q79" s="307">
        <f t="shared" si="44"/>
        <v>0</v>
      </c>
      <c r="S79" s="338">
        <f>(E79*$B$99*C79)*(References!$D$61/References!$H$63)-J79</f>
        <v>0</v>
      </c>
      <c r="V79" s="341"/>
    </row>
    <row r="80" spans="1:22" s="344" customFormat="1">
      <c r="A80" s="368" t="s">
        <v>267</v>
      </c>
      <c r="B80" s="369">
        <v>0</v>
      </c>
      <c r="C80" s="369">
        <f>+References!$C$13</f>
        <v>1</v>
      </c>
      <c r="D80" s="328">
        <f>'G-48 Price Out'!U82</f>
        <v>0</v>
      </c>
      <c r="E80" s="327">
        <f>References!$C$23</f>
        <v>40</v>
      </c>
      <c r="F80" s="326">
        <f t="shared" si="48"/>
        <v>0</v>
      </c>
      <c r="G80" s="333">
        <f>F80*$B$99</f>
        <v>0</v>
      </c>
      <c r="H80" s="333">
        <f>G80*References!$D$61</f>
        <v>0</v>
      </c>
      <c r="I80" s="335">
        <f>H80/References!$H$63</f>
        <v>0</v>
      </c>
      <c r="J80" s="333">
        <f>(E80*$B$99)*(References!$D$61/References!$H$63)</f>
        <v>3.9929239424490767E-2</v>
      </c>
      <c r="K80" s="333">
        <f>+'Rate Schedule G-48'!C78</f>
        <v>9.65</v>
      </c>
      <c r="L80" s="333">
        <f t="shared" si="37"/>
        <v>9.6899292394244902</v>
      </c>
      <c r="M80" s="359">
        <f>D80*K80</f>
        <v>0</v>
      </c>
      <c r="N80" s="359">
        <f>D80*L80</f>
        <v>0</v>
      </c>
      <c r="O80" s="359">
        <f t="shared" ref="O80:O81" si="49">N80-M80</f>
        <v>0</v>
      </c>
      <c r="P80" s="359">
        <f>D80*L80</f>
        <v>0</v>
      </c>
      <c r="Q80" s="335">
        <f t="shared" ref="Q80:Q81" si="50">N80-P80</f>
        <v>0</v>
      </c>
      <c r="R80" s="344" t="s">
        <v>399</v>
      </c>
      <c r="S80" s="338">
        <f>(E80*$B$99*C80)*(References!$D$61/References!$H$63)-J80</f>
        <v>0</v>
      </c>
      <c r="U80" s="338"/>
      <c r="V80" s="341"/>
    </row>
    <row r="81" spans="1:22" s="344" customFormat="1">
      <c r="A81" s="368" t="s">
        <v>268</v>
      </c>
      <c r="B81" s="369">
        <v>0</v>
      </c>
      <c r="C81" s="369">
        <f>+References!$C$13</f>
        <v>1</v>
      </c>
      <c r="D81" s="328"/>
      <c r="E81" s="327">
        <f>References!$C$23</f>
        <v>40</v>
      </c>
      <c r="F81" s="326">
        <f t="shared" si="48"/>
        <v>0</v>
      </c>
      <c r="G81" s="333">
        <f>F81*$B$99</f>
        <v>0</v>
      </c>
      <c r="H81" s="333">
        <f>G81*References!$D$61</f>
        <v>0</v>
      </c>
      <c r="I81" s="335">
        <f>H81/References!$H$63</f>
        <v>0</v>
      </c>
      <c r="J81" s="333">
        <f>(E81*C81*$B$99)*(References!$D$61/References!$H$63)</f>
        <v>3.9929239424490767E-2</v>
      </c>
      <c r="K81" s="333">
        <f>+'Rate Schedule G-48'!C79</f>
        <v>8.15</v>
      </c>
      <c r="L81" s="333">
        <f t="shared" si="37"/>
        <v>8.1899292394244902</v>
      </c>
      <c r="M81" s="359">
        <f>D81*K81</f>
        <v>0</v>
      </c>
      <c r="N81" s="359">
        <f>D81*L81</f>
        <v>0</v>
      </c>
      <c r="O81" s="359">
        <f t="shared" si="49"/>
        <v>0</v>
      </c>
      <c r="P81" s="359">
        <f>D81*L81</f>
        <v>0</v>
      </c>
      <c r="Q81" s="335">
        <f t="shared" si="50"/>
        <v>0</v>
      </c>
      <c r="R81" s="344" t="s">
        <v>399</v>
      </c>
      <c r="S81" s="338">
        <f>(E81*$B$99*C81)*(References!$D$61/References!$H$63)-J81</f>
        <v>0</v>
      </c>
      <c r="U81" s="338"/>
      <c r="V81" s="341"/>
    </row>
    <row r="82" spans="1:22" s="345" customFormat="1">
      <c r="A82" s="228"/>
      <c r="B82" s="116"/>
      <c r="C82" s="116"/>
      <c r="D82" s="242"/>
      <c r="E82" s="235"/>
      <c r="F82" s="99"/>
      <c r="G82" s="238"/>
      <c r="H82" s="238"/>
      <c r="I82" s="376"/>
      <c r="J82" s="238"/>
      <c r="K82" s="238"/>
      <c r="L82" s="238"/>
      <c r="M82" s="210"/>
      <c r="N82" s="210"/>
      <c r="O82" s="210"/>
      <c r="P82" s="210"/>
      <c r="Q82" s="376"/>
      <c r="S82" s="99"/>
      <c r="U82" s="99"/>
    </row>
    <row r="83" spans="1:22">
      <c r="A83" s="368" t="s">
        <v>272</v>
      </c>
      <c r="B83" s="328">
        <v>0</v>
      </c>
      <c r="C83" s="369">
        <f>+References!$C$13</f>
        <v>1</v>
      </c>
      <c r="D83" s="328">
        <v>0</v>
      </c>
      <c r="E83" s="327">
        <f>References!$C$24</f>
        <v>47</v>
      </c>
      <c r="F83" s="326">
        <f t="shared" si="48"/>
        <v>0</v>
      </c>
      <c r="G83" s="333">
        <f>F83*$B$99</f>
        <v>0</v>
      </c>
      <c r="H83" s="333">
        <f>G83*References!$D$61</f>
        <v>0</v>
      </c>
      <c r="I83" s="335">
        <f>H83/References!$H$63</f>
        <v>0</v>
      </c>
      <c r="J83" s="333">
        <f>(E83*$B$99)*(References!$D$61/References!$H$63)</f>
        <v>4.6916856323776651E-2</v>
      </c>
      <c r="K83" s="333">
        <f>+'Rate Schedule G-48'!C80</f>
        <v>10.15</v>
      </c>
      <c r="L83" s="333">
        <f t="shared" si="37"/>
        <v>10.196916856323776</v>
      </c>
      <c r="M83" s="359">
        <f>D83*K83</f>
        <v>0</v>
      </c>
      <c r="N83" s="359">
        <f>D83*L83</f>
        <v>0</v>
      </c>
      <c r="O83" s="359">
        <f t="shared" si="43"/>
        <v>0</v>
      </c>
      <c r="P83" s="359">
        <f>D83*L83</f>
        <v>0</v>
      </c>
      <c r="Q83" s="335">
        <f t="shared" si="44"/>
        <v>0</v>
      </c>
      <c r="R83" s="344" t="s">
        <v>399</v>
      </c>
      <c r="S83" s="338">
        <f>(E83*$B$99*C83)*(References!$D$61/References!$H$63)-J83</f>
        <v>0</v>
      </c>
      <c r="V83" s="341"/>
    </row>
    <row r="84" spans="1:22">
      <c r="A84" s="368" t="s">
        <v>266</v>
      </c>
      <c r="B84" s="328">
        <v>0</v>
      </c>
      <c r="C84" s="337">
        <f>References!$C$10</f>
        <v>4.333333333333333</v>
      </c>
      <c r="D84" s="328">
        <v>0</v>
      </c>
      <c r="E84" s="327">
        <f>References!$C$24</f>
        <v>47</v>
      </c>
      <c r="F84" s="326">
        <f>D84*E84</f>
        <v>0</v>
      </c>
      <c r="G84" s="333">
        <f>F84*$B$99</f>
        <v>0</v>
      </c>
      <c r="H84" s="333">
        <f>G84*References!$D$61</f>
        <v>0</v>
      </c>
      <c r="I84" s="335">
        <f>H84/References!$H$63</f>
        <v>0</v>
      </c>
      <c r="J84" s="333">
        <f>(E84*C84*$B$99)*(References!$D$61/References!$H$63)</f>
        <v>0.20330637740303215</v>
      </c>
      <c r="K84" s="333">
        <f>+'Rate Schedule G-48'!C81</f>
        <v>43.97</v>
      </c>
      <c r="L84" s="333">
        <f t="shared" si="37"/>
        <v>44.17330637740303</v>
      </c>
      <c r="M84" s="359">
        <f>D84*K84</f>
        <v>0</v>
      </c>
      <c r="N84" s="359">
        <f>D84*L84</f>
        <v>0</v>
      </c>
      <c r="O84" s="359">
        <f t="shared" si="43"/>
        <v>0</v>
      </c>
      <c r="P84" s="359">
        <f>D84*L84</f>
        <v>0</v>
      </c>
      <c r="Q84" s="335">
        <f t="shared" si="44"/>
        <v>0</v>
      </c>
      <c r="R84" s="344" t="s">
        <v>399</v>
      </c>
      <c r="S84" s="338">
        <f>(E84*$B$99*C84)*(References!$D$61/References!$H$63)-J84</f>
        <v>0</v>
      </c>
      <c r="V84" s="341"/>
    </row>
    <row r="85" spans="1:22" s="344" customFormat="1">
      <c r="A85" s="368" t="s">
        <v>267</v>
      </c>
      <c r="B85" s="369">
        <v>0</v>
      </c>
      <c r="C85" s="369">
        <f>+References!$C$13</f>
        <v>1</v>
      </c>
      <c r="D85" s="328">
        <f>'G-48 Price Out'!U86</f>
        <v>0</v>
      </c>
      <c r="E85" s="327">
        <f>References!$C$24</f>
        <v>47</v>
      </c>
      <c r="F85" s="326">
        <f t="shared" ref="F85:F86" si="51">D85*E85</f>
        <v>0</v>
      </c>
      <c r="G85" s="333">
        <f>F85*$B$99</f>
        <v>0</v>
      </c>
      <c r="H85" s="333">
        <f>G85*References!$D$61</f>
        <v>0</v>
      </c>
      <c r="I85" s="335">
        <f>H85/References!$H$63</f>
        <v>0</v>
      </c>
      <c r="J85" s="333">
        <f>(E85*$B$99)*(References!$D$61/References!$H$63)</f>
        <v>4.6916856323776651E-2</v>
      </c>
      <c r="K85" s="333">
        <f>+'Rate Schedule G-48'!C82</f>
        <v>11.65</v>
      </c>
      <c r="L85" s="333">
        <f t="shared" ref="L85:L86" si="52">J85+K85</f>
        <v>11.696916856323776</v>
      </c>
      <c r="M85" s="359">
        <f>D85*K85</f>
        <v>0</v>
      </c>
      <c r="N85" s="359">
        <f>D85*L85</f>
        <v>0</v>
      </c>
      <c r="O85" s="359">
        <f t="shared" si="43"/>
        <v>0</v>
      </c>
      <c r="P85" s="359">
        <f>D85*L85</f>
        <v>0</v>
      </c>
      <c r="Q85" s="335">
        <f t="shared" si="44"/>
        <v>0</v>
      </c>
      <c r="R85" s="344" t="s">
        <v>399</v>
      </c>
      <c r="S85" s="338">
        <f>(E85*$B$99*C85)*(References!$D$61/References!$H$63)-J85</f>
        <v>0</v>
      </c>
      <c r="U85" s="338"/>
      <c r="V85" s="341"/>
    </row>
    <row r="86" spans="1:22" s="344" customFormat="1">
      <c r="A86" s="368" t="s">
        <v>268</v>
      </c>
      <c r="B86" s="369">
        <v>0</v>
      </c>
      <c r="C86" s="369">
        <f>+References!$C$13</f>
        <v>1</v>
      </c>
      <c r="D86" s="328"/>
      <c r="E86" s="327">
        <f>References!$C$24</f>
        <v>47</v>
      </c>
      <c r="F86" s="326">
        <f t="shared" si="51"/>
        <v>0</v>
      </c>
      <c r="G86" s="333">
        <f>F86*$B$99</f>
        <v>0</v>
      </c>
      <c r="H86" s="333">
        <f>G86*References!$D$61</f>
        <v>0</v>
      </c>
      <c r="I86" s="335">
        <f>H86/References!$H$63</f>
        <v>0</v>
      </c>
      <c r="J86" s="333">
        <f>(E86*C86*$B$99)*(References!$D$61/References!$H$63)</f>
        <v>4.6916856323776651E-2</v>
      </c>
      <c r="K86" s="333">
        <f>+'Rate Schedule G-48'!C83</f>
        <v>10.15</v>
      </c>
      <c r="L86" s="333">
        <f t="shared" si="52"/>
        <v>10.196916856323776</v>
      </c>
      <c r="M86" s="359">
        <f>D86*K86</f>
        <v>0</v>
      </c>
      <c r="N86" s="359">
        <f>D86*L86</f>
        <v>0</v>
      </c>
      <c r="O86" s="359">
        <f t="shared" si="43"/>
        <v>0</v>
      </c>
      <c r="P86" s="359">
        <f>D86*L86</f>
        <v>0</v>
      </c>
      <c r="Q86" s="335">
        <f t="shared" si="44"/>
        <v>0</v>
      </c>
      <c r="R86" s="344" t="s">
        <v>399</v>
      </c>
      <c r="S86" s="338">
        <f>(E86*$B$99*C86)*(References!$D$61/References!$H$63)-J86</f>
        <v>0</v>
      </c>
      <c r="U86" s="338"/>
      <c r="V86" s="341"/>
    </row>
    <row r="87" spans="1:22">
      <c r="A87" s="329" t="s">
        <v>390</v>
      </c>
      <c r="B87" s="330"/>
      <c r="C87" s="337"/>
      <c r="D87" s="328"/>
      <c r="E87" s="327"/>
      <c r="F87" s="326"/>
      <c r="G87" s="337"/>
      <c r="H87" s="337"/>
      <c r="I87" s="336"/>
      <c r="J87" s="335"/>
      <c r="K87" s="335"/>
      <c r="L87" s="335"/>
      <c r="M87" s="359"/>
      <c r="N87" s="359"/>
      <c r="O87" s="359"/>
      <c r="P87" s="359"/>
      <c r="Q87" s="335"/>
    </row>
    <row r="88" spans="1:22" s="344" customFormat="1">
      <c r="A88" s="334" t="s">
        <v>396</v>
      </c>
      <c r="B88" s="323">
        <f>SUM(B45:B84)</f>
        <v>506.53340415241178</v>
      </c>
      <c r="C88" s="323"/>
      <c r="D88" s="323">
        <f t="shared" ref="D88:I88" si="53">SUM(D45:D84)</f>
        <v>16040.496025708873</v>
      </c>
      <c r="E88" s="323">
        <f t="shared" si="53"/>
        <v>6069</v>
      </c>
      <c r="F88" s="323">
        <f t="shared" si="53"/>
        <v>3588291.0844251188</v>
      </c>
      <c r="G88" s="323">
        <f t="shared" si="53"/>
        <v>2774661.0945592276</v>
      </c>
      <c r="H88" s="323">
        <f t="shared" si="53"/>
        <v>3509.9462846174288</v>
      </c>
      <c r="I88" s="323">
        <f t="shared" si="53"/>
        <v>3581.9433458694039</v>
      </c>
      <c r="J88" s="322"/>
      <c r="K88" s="322"/>
      <c r="L88" s="322"/>
      <c r="M88" s="323">
        <f>SUM(M45:M84)</f>
        <v>408431.09243079979</v>
      </c>
      <c r="N88" s="323">
        <f>SUM(N45:N84)</f>
        <v>412013.03577666904</v>
      </c>
      <c r="O88" s="323">
        <f>SUM(O45:O84)</f>
        <v>3581.9433458693929</v>
      </c>
      <c r="P88" s="323">
        <f>SUM(P45:P84)</f>
        <v>412013.03577666904</v>
      </c>
      <c r="Q88" s="323">
        <f>SUM(Q45:Q84)</f>
        <v>0</v>
      </c>
      <c r="U88" s="338"/>
    </row>
    <row r="89" spans="1:22" s="344" customFormat="1" ht="15.75" thickBot="1">
      <c r="A89" s="321" t="s">
        <v>6</v>
      </c>
      <c r="B89" s="320">
        <f>B88+B32</f>
        <v>25556.2263544528</v>
      </c>
      <c r="C89" s="319"/>
      <c r="D89" s="320">
        <f t="shared" ref="D89:I89" si="54">D88+D32</f>
        <v>101765.96509206934</v>
      </c>
      <c r="E89" s="320">
        <f t="shared" si="54"/>
        <v>7120</v>
      </c>
      <c r="F89" s="320">
        <f t="shared" si="54"/>
        <v>6951687.4613311775</v>
      </c>
      <c r="G89" s="320">
        <f t="shared" si="54"/>
        <v>5375421.4155625161</v>
      </c>
      <c r="H89" s="320">
        <f t="shared" si="54"/>
        <v>6799.9080906865947</v>
      </c>
      <c r="I89" s="320">
        <f t="shared" si="54"/>
        <v>6939.3898261930744</v>
      </c>
      <c r="J89" s="325"/>
      <c r="K89" s="325"/>
      <c r="L89" s="325"/>
      <c r="M89" s="375">
        <f>M88+M32</f>
        <v>905819.91385150573</v>
      </c>
      <c r="N89" s="375">
        <f>N88+N32</f>
        <v>912759.30367769848</v>
      </c>
      <c r="O89" s="375">
        <f>O88+O32</f>
        <v>6939.3898261930399</v>
      </c>
      <c r="P89" s="375">
        <f>P88+P32</f>
        <v>912759.30367769848</v>
      </c>
      <c r="Q89" s="320">
        <f>Q88+Q32</f>
        <v>0</v>
      </c>
      <c r="U89" s="338"/>
    </row>
    <row r="90" spans="1:22" s="344" customFormat="1" ht="15.75" thickTop="1">
      <c r="A90" s="331"/>
      <c r="B90" s="97"/>
      <c r="C90" s="95"/>
      <c r="D90" s="242"/>
      <c r="E90" s="235"/>
      <c r="F90" s="338"/>
      <c r="G90" s="95"/>
      <c r="H90" s="95"/>
      <c r="I90" s="246">
        <f>I89-References!$C$67</f>
        <v>-1.0004441719502211E-11</v>
      </c>
      <c r="J90" s="341"/>
      <c r="K90" s="341"/>
      <c r="L90" s="341"/>
      <c r="M90" s="245"/>
      <c r="N90" s="245"/>
      <c r="O90" s="245">
        <f>O89-References!$C$67</f>
        <v>-4.4565240386873484E-11</v>
      </c>
      <c r="P90" s="245"/>
      <c r="Q90" s="341"/>
      <c r="U90" s="338"/>
    </row>
    <row r="91" spans="1:22" s="344" customFormat="1">
      <c r="A91" s="331"/>
      <c r="B91" s="97"/>
      <c r="C91" s="95"/>
      <c r="D91" s="242"/>
      <c r="E91" s="235"/>
      <c r="F91" s="338"/>
      <c r="G91" s="95"/>
      <c r="H91" s="95"/>
      <c r="J91" s="341"/>
      <c r="K91" s="341"/>
      <c r="L91" s="341"/>
      <c r="M91" s="245"/>
      <c r="N91" s="245"/>
      <c r="O91" s="245"/>
      <c r="P91" s="245"/>
      <c r="Q91" s="341"/>
      <c r="U91" s="338"/>
    </row>
    <row r="92" spans="1:22">
      <c r="A92" s="96"/>
      <c r="B92" s="97"/>
      <c r="C92" s="95"/>
      <c r="D92" s="242"/>
      <c r="E92" s="235"/>
      <c r="F92" s="238"/>
      <c r="J92" s="341"/>
      <c r="K92" s="341"/>
      <c r="L92" s="341"/>
    </row>
    <row r="93" spans="1:22">
      <c r="A93" s="96"/>
      <c r="B93" s="97"/>
      <c r="C93" s="95"/>
      <c r="D93" s="242"/>
      <c r="E93" s="235"/>
      <c r="F93" s="238"/>
    </row>
    <row r="94" spans="1:22">
      <c r="A94" s="394" t="s">
        <v>391</v>
      </c>
      <c r="B94" s="394"/>
      <c r="C94" s="95"/>
      <c r="D94" s="352" t="s">
        <v>400</v>
      </c>
      <c r="E94" s="353"/>
      <c r="F94" s="353"/>
    </row>
    <row r="95" spans="1:22">
      <c r="A95" s="344"/>
      <c r="B95" s="343" t="s">
        <v>6</v>
      </c>
      <c r="C95" s="95"/>
      <c r="D95" s="347" t="s">
        <v>401</v>
      </c>
      <c r="E95" s="348">
        <f>+O32</f>
        <v>3357.4464803236469</v>
      </c>
      <c r="F95" s="351">
        <f>E95/'G-48 Price Out'!G35</f>
        <v>7.4200101433622868E-3</v>
      </c>
      <c r="G95" s="246"/>
    </row>
    <row r="96" spans="1:22">
      <c r="A96" s="344" t="s">
        <v>392</v>
      </c>
      <c r="B96" s="354">
        <f>+'DF Schedule'!O9</f>
        <v>2687.710707781258</v>
      </c>
      <c r="C96" s="95"/>
      <c r="D96" s="347" t="s">
        <v>402</v>
      </c>
      <c r="E96" s="349">
        <f>+O88</f>
        <v>3581.9433458693929</v>
      </c>
      <c r="F96" s="351">
        <f>E96/'G-48 Price Out'!G103</f>
        <v>8.0315957162382778E-3</v>
      </c>
      <c r="G96" s="246"/>
    </row>
    <row r="97" spans="1:8">
      <c r="A97" s="344" t="s">
        <v>393</v>
      </c>
      <c r="B97" s="340">
        <f>+B96*References!H19</f>
        <v>5375421.4155625161</v>
      </c>
      <c r="C97" s="95"/>
      <c r="D97" s="378" t="s">
        <v>403</v>
      </c>
      <c r="E97" s="350">
        <f>+SUM(E95:E96)</f>
        <v>6939.3898261930399</v>
      </c>
      <c r="F97" s="346"/>
      <c r="G97" s="95"/>
      <c r="H97" s="95"/>
    </row>
    <row r="98" spans="1:8">
      <c r="A98" s="344" t="s">
        <v>394</v>
      </c>
      <c r="B98" s="340">
        <f>D89</f>
        <v>101765.96509206934</v>
      </c>
      <c r="C98" s="95"/>
      <c r="D98" s="347" t="s">
        <v>404</v>
      </c>
      <c r="E98" s="348">
        <f>+References!C75</f>
        <v>5620.2442808319456</v>
      </c>
      <c r="F98" s="377">
        <f>E98/'G-48 Price Out'!G135</f>
        <v>3.5606288106540193E-2</v>
      </c>
      <c r="G98" s="95"/>
      <c r="H98" s="95"/>
    </row>
    <row r="99" spans="1:8">
      <c r="A99" s="342" t="s">
        <v>395</v>
      </c>
      <c r="B99" s="339">
        <f>B97/F89</f>
        <v>0.77325418403277546</v>
      </c>
      <c r="C99" s="95"/>
      <c r="D99" s="242"/>
      <c r="E99" s="235"/>
      <c r="F99" s="238"/>
      <c r="G99" s="95"/>
      <c r="H99" s="95"/>
    </row>
    <row r="100" spans="1:8">
      <c r="A100" s="94"/>
      <c r="B100" s="97"/>
      <c r="C100" s="95"/>
      <c r="D100" s="242"/>
      <c r="E100" s="235"/>
      <c r="F100" s="238"/>
      <c r="G100" s="95"/>
      <c r="H100" s="95"/>
    </row>
    <row r="101" spans="1:8">
      <c r="A101" s="94"/>
      <c r="B101" s="97"/>
      <c r="C101" s="95"/>
      <c r="D101" s="242"/>
      <c r="E101" s="235"/>
      <c r="F101" s="238"/>
      <c r="G101" s="95"/>
      <c r="H101" s="95"/>
    </row>
    <row r="102" spans="1:8">
      <c r="A102" s="96"/>
      <c r="B102" s="97"/>
      <c r="C102" s="95"/>
      <c r="D102" s="242"/>
      <c r="E102" s="235"/>
      <c r="F102" s="238"/>
      <c r="G102" s="95"/>
      <c r="H102" s="95"/>
    </row>
    <row r="103" spans="1:8">
      <c r="A103" s="96"/>
      <c r="B103" s="97"/>
      <c r="C103" s="95"/>
      <c r="D103" s="242"/>
      <c r="E103" s="235"/>
      <c r="F103" s="238"/>
      <c r="G103" s="95"/>
      <c r="H103" s="95"/>
    </row>
    <row r="104" spans="1:8">
      <c r="A104" s="96"/>
      <c r="B104" s="97"/>
      <c r="C104" s="95"/>
      <c r="D104" s="242"/>
      <c r="E104" s="235"/>
      <c r="F104" s="238"/>
      <c r="G104" s="95"/>
      <c r="H104" s="95"/>
    </row>
    <row r="105" spans="1:8">
      <c r="A105" s="96"/>
      <c r="B105" s="97"/>
      <c r="C105" s="95"/>
      <c r="D105" s="242"/>
      <c r="E105" s="235"/>
      <c r="F105" s="238"/>
      <c r="G105" s="95"/>
      <c r="H105" s="95"/>
    </row>
    <row r="106" spans="1:8">
      <c r="A106" s="96"/>
      <c r="B106" s="97"/>
      <c r="C106" s="95"/>
      <c r="D106" s="242"/>
      <c r="E106" s="235"/>
      <c r="F106" s="238"/>
      <c r="G106" s="95"/>
      <c r="H106" s="95"/>
    </row>
    <row r="107" spans="1:8">
      <c r="A107" s="96"/>
      <c r="B107" s="97"/>
      <c r="C107" s="95"/>
      <c r="D107" s="242"/>
      <c r="E107" s="235"/>
      <c r="F107" s="238"/>
      <c r="G107" s="95"/>
      <c r="H107" s="95"/>
    </row>
    <row r="108" spans="1:8">
      <c r="A108" s="96"/>
      <c r="B108" s="97"/>
      <c r="C108" s="95"/>
      <c r="D108" s="242"/>
      <c r="E108" s="235"/>
      <c r="F108" s="238"/>
      <c r="G108" s="95"/>
      <c r="H108" s="95"/>
    </row>
    <row r="109" spans="1:8">
      <c r="A109" s="96"/>
      <c r="B109" s="97"/>
      <c r="C109" s="95"/>
      <c r="D109" s="242"/>
      <c r="E109" s="235"/>
      <c r="F109" s="238"/>
      <c r="G109" s="95"/>
      <c r="H109" s="95"/>
    </row>
    <row r="110" spans="1:8">
      <c r="A110" s="96"/>
      <c r="B110" s="97"/>
      <c r="C110" s="95"/>
      <c r="D110" s="242"/>
      <c r="E110" s="235"/>
      <c r="F110" s="238"/>
      <c r="G110" s="95"/>
      <c r="H110" s="95"/>
    </row>
    <row r="111" spans="1:8">
      <c r="A111" s="94"/>
      <c r="B111" s="97"/>
      <c r="C111" s="95"/>
      <c r="D111" s="242"/>
      <c r="E111" s="235"/>
      <c r="F111" s="238"/>
      <c r="G111" s="95"/>
      <c r="H111" s="95"/>
    </row>
    <row r="112" spans="1:8">
      <c r="A112" s="96"/>
      <c r="B112" s="97"/>
      <c r="C112" s="95"/>
      <c r="D112" s="242"/>
      <c r="E112" s="235"/>
      <c r="F112" s="238"/>
      <c r="G112" s="95"/>
      <c r="H112" s="95"/>
    </row>
    <row r="113" spans="1:8">
      <c r="A113" s="96"/>
      <c r="B113" s="97"/>
      <c r="C113" s="95"/>
      <c r="D113" s="242"/>
      <c r="E113" s="235"/>
      <c r="F113" s="238"/>
      <c r="G113" s="95"/>
      <c r="H113" s="95"/>
    </row>
    <row r="114" spans="1:8">
      <c r="A114" s="96"/>
      <c r="B114" s="97"/>
      <c r="C114" s="95"/>
      <c r="D114" s="242"/>
      <c r="E114" s="235"/>
      <c r="F114" s="238"/>
      <c r="G114" s="95"/>
      <c r="H114" s="95"/>
    </row>
    <row r="115" spans="1:8">
      <c r="A115" s="96"/>
      <c r="B115" s="97"/>
      <c r="C115" s="95"/>
      <c r="D115" s="242"/>
      <c r="E115" s="235"/>
      <c r="F115" s="238"/>
      <c r="G115" s="95"/>
      <c r="H115" s="95"/>
    </row>
    <row r="116" spans="1:8">
      <c r="A116" s="96"/>
      <c r="B116" s="97"/>
      <c r="C116" s="95"/>
      <c r="D116" s="242"/>
      <c r="E116" s="235"/>
      <c r="F116" s="238"/>
      <c r="G116" s="95"/>
      <c r="H116" s="95"/>
    </row>
    <row r="117" spans="1:8">
      <c r="A117" s="96"/>
      <c r="B117" s="97"/>
      <c r="C117" s="95"/>
      <c r="D117" s="242"/>
      <c r="E117" s="235"/>
      <c r="F117" s="238"/>
      <c r="G117" s="95"/>
      <c r="H117" s="95"/>
    </row>
    <row r="118" spans="1:8">
      <c r="A118" s="96"/>
      <c r="B118" s="97"/>
      <c r="C118" s="95"/>
      <c r="D118" s="242"/>
      <c r="E118" s="235"/>
      <c r="F118" s="238"/>
      <c r="G118" s="95"/>
      <c r="H118" s="95"/>
    </row>
    <row r="119" spans="1:8">
      <c r="A119" s="96"/>
      <c r="B119" s="97"/>
      <c r="C119" s="95"/>
      <c r="D119" s="242"/>
      <c r="E119" s="235"/>
      <c r="F119" s="238"/>
      <c r="G119" s="95"/>
      <c r="H119" s="95"/>
    </row>
    <row r="120" spans="1:8">
      <c r="A120" s="96"/>
      <c r="B120" s="97"/>
      <c r="C120" s="95"/>
      <c r="D120" s="242"/>
      <c r="E120" s="235"/>
      <c r="F120" s="238"/>
      <c r="G120" s="95"/>
      <c r="H120" s="95"/>
    </row>
    <row r="121" spans="1:8">
      <c r="A121" s="96"/>
      <c r="B121" s="97"/>
      <c r="C121" s="95"/>
      <c r="D121" s="242"/>
      <c r="E121" s="235"/>
      <c r="F121" s="238"/>
      <c r="G121" s="95"/>
      <c r="H121" s="95"/>
    </row>
    <row r="122" spans="1:8">
      <c r="A122" s="96"/>
      <c r="B122" s="97"/>
      <c r="C122" s="95"/>
      <c r="D122" s="242"/>
      <c r="E122" s="235"/>
      <c r="F122" s="238"/>
      <c r="G122" s="95"/>
      <c r="H122" s="95"/>
    </row>
    <row r="123" spans="1:8">
      <c r="A123" s="96"/>
      <c r="B123" s="97"/>
      <c r="C123" s="95"/>
      <c r="D123" s="242"/>
      <c r="E123" s="235"/>
      <c r="F123" s="238"/>
      <c r="G123" s="95"/>
      <c r="H123" s="95"/>
    </row>
    <row r="124" spans="1:8">
      <c r="A124" s="96"/>
      <c r="B124" s="97"/>
      <c r="C124" s="95"/>
      <c r="D124" s="242"/>
      <c r="E124" s="235"/>
      <c r="F124" s="238"/>
      <c r="G124" s="95"/>
      <c r="H124" s="95"/>
    </row>
    <row r="125" spans="1:8">
      <c r="A125" s="96"/>
      <c r="B125" s="97"/>
      <c r="C125" s="95"/>
      <c r="D125" s="242"/>
      <c r="E125" s="235"/>
      <c r="F125" s="238"/>
      <c r="G125" s="95"/>
      <c r="H125" s="95"/>
    </row>
    <row r="126" spans="1:8">
      <c r="A126" s="96"/>
      <c r="B126" s="97"/>
      <c r="C126" s="95"/>
      <c r="D126" s="242"/>
      <c r="E126" s="235"/>
      <c r="F126" s="238"/>
      <c r="G126" s="95"/>
      <c r="H126" s="95"/>
    </row>
    <row r="127" spans="1:8">
      <c r="A127" s="96"/>
      <c r="B127" s="97"/>
      <c r="C127" s="95"/>
      <c r="D127" s="242"/>
      <c r="E127" s="235"/>
      <c r="F127" s="238"/>
      <c r="G127" s="95"/>
      <c r="H127" s="95"/>
    </row>
    <row r="128" spans="1:8">
      <c r="A128" s="96"/>
      <c r="B128" s="97"/>
      <c r="C128" s="95"/>
      <c r="D128" s="242"/>
      <c r="E128" s="235"/>
      <c r="F128" s="238"/>
      <c r="G128" s="95"/>
      <c r="H128" s="95"/>
    </row>
    <row r="129" spans="1:8">
      <c r="A129" s="96"/>
      <c r="B129" s="97"/>
      <c r="C129" s="95"/>
      <c r="D129" s="242"/>
      <c r="E129" s="235"/>
      <c r="F129" s="238"/>
      <c r="G129" s="95"/>
      <c r="H129" s="95"/>
    </row>
    <row r="130" spans="1:8">
      <c r="A130" s="96"/>
      <c r="B130" s="97"/>
      <c r="C130" s="95"/>
      <c r="D130" s="242"/>
      <c r="E130" s="235"/>
      <c r="F130" s="238"/>
      <c r="G130" s="95"/>
      <c r="H130" s="95"/>
    </row>
    <row r="131" spans="1:8">
      <c r="A131" s="94"/>
      <c r="B131" s="97"/>
      <c r="C131" s="95"/>
      <c r="D131" s="242"/>
      <c r="E131" s="235"/>
      <c r="F131" s="238"/>
      <c r="G131" s="95"/>
      <c r="H131" s="95"/>
    </row>
    <row r="132" spans="1:8">
      <c r="A132" s="94"/>
      <c r="B132" s="97"/>
      <c r="C132" s="95"/>
      <c r="D132" s="242"/>
      <c r="E132" s="235"/>
      <c r="F132" s="238"/>
      <c r="G132" s="95"/>
      <c r="H132" s="95"/>
    </row>
    <row r="133" spans="1:8">
      <c r="A133" s="96"/>
      <c r="B133" s="97"/>
      <c r="C133" s="95"/>
      <c r="D133" s="242"/>
      <c r="E133" s="235"/>
      <c r="F133" s="238"/>
      <c r="G133" s="95"/>
      <c r="H133" s="95"/>
    </row>
    <row r="134" spans="1:8">
      <c r="A134" s="96"/>
      <c r="B134" s="97"/>
      <c r="C134" s="95"/>
      <c r="D134" s="242"/>
      <c r="E134" s="235"/>
      <c r="F134" s="238"/>
      <c r="G134" s="95"/>
      <c r="H134" s="95"/>
    </row>
    <row r="135" spans="1:8">
      <c r="A135" s="96"/>
      <c r="B135" s="97"/>
      <c r="C135" s="95"/>
      <c r="D135" s="242"/>
      <c r="E135" s="235"/>
      <c r="F135" s="238"/>
      <c r="G135" s="95"/>
      <c r="H135" s="95"/>
    </row>
    <row r="136" spans="1:8">
      <c r="A136" s="96"/>
      <c r="B136" s="97"/>
      <c r="C136" s="95"/>
      <c r="D136" s="242"/>
      <c r="E136" s="235"/>
      <c r="F136" s="238"/>
      <c r="G136" s="95"/>
      <c r="H136" s="95"/>
    </row>
    <row r="137" spans="1:8">
      <c r="A137" s="96"/>
      <c r="B137" s="97"/>
      <c r="C137" s="95"/>
      <c r="D137" s="242"/>
      <c r="E137" s="235"/>
      <c r="F137" s="238"/>
      <c r="G137" s="95"/>
      <c r="H137" s="95"/>
    </row>
    <row r="138" spans="1:8">
      <c r="A138" s="96"/>
      <c r="B138" s="97"/>
      <c r="C138" s="95"/>
      <c r="D138" s="242"/>
      <c r="E138" s="235"/>
      <c r="F138" s="238"/>
      <c r="G138" s="95"/>
      <c r="H138" s="95"/>
    </row>
    <row r="139" spans="1:8">
      <c r="G139" s="91"/>
    </row>
    <row r="140" spans="1:8">
      <c r="G140" s="91"/>
    </row>
    <row r="141" spans="1:8">
      <c r="G141" s="91"/>
    </row>
    <row r="142" spans="1:8">
      <c r="G142" s="91"/>
    </row>
    <row r="143" spans="1:8">
      <c r="G143" s="91"/>
    </row>
    <row r="144" spans="1:8">
      <c r="G144" s="91"/>
    </row>
    <row r="145" spans="7:7">
      <c r="G145" s="91"/>
    </row>
    <row r="146" spans="7:7">
      <c r="G146" s="91"/>
    </row>
    <row r="147" spans="7:7">
      <c r="G147" s="91"/>
    </row>
    <row r="148" spans="7:7">
      <c r="G148" s="91"/>
    </row>
    <row r="149" spans="7:7">
      <c r="G149" s="91"/>
    </row>
    <row r="150" spans="7:7">
      <c r="G150" s="91"/>
    </row>
    <row r="151" spans="7:7">
      <c r="G151" s="91"/>
    </row>
    <row r="152" spans="7:7">
      <c r="G152" s="91"/>
    </row>
    <row r="153" spans="7:7">
      <c r="G153" s="91"/>
    </row>
    <row r="154" spans="7:7">
      <c r="G154" s="91"/>
    </row>
    <row r="155" spans="7:7">
      <c r="G155" s="91"/>
    </row>
    <row r="156" spans="7:7">
      <c r="G156" s="91"/>
    </row>
    <row r="157" spans="7:7">
      <c r="G157" s="91"/>
    </row>
    <row r="158" spans="7:7">
      <c r="G158" s="91"/>
    </row>
    <row r="159" spans="7:7">
      <c r="G159" s="91"/>
    </row>
    <row r="160" spans="7:7">
      <c r="G160" s="91"/>
    </row>
    <row r="161" spans="7:7">
      <c r="G161" s="91"/>
    </row>
    <row r="162" spans="7:7">
      <c r="G162" s="91"/>
    </row>
    <row r="163" spans="7:7">
      <c r="G163" s="91"/>
    </row>
    <row r="164" spans="7:7">
      <c r="G164" s="91"/>
    </row>
    <row r="165" spans="7:7">
      <c r="G165" s="91"/>
    </row>
    <row r="166" spans="7:7">
      <c r="G166" s="91"/>
    </row>
    <row r="167" spans="7:7">
      <c r="G167" s="91"/>
    </row>
    <row r="168" spans="7:7">
      <c r="G168" s="91"/>
    </row>
    <row r="169" spans="7:7">
      <c r="G169" s="91"/>
    </row>
    <row r="170" spans="7:7">
      <c r="G170" s="91"/>
    </row>
    <row r="171" spans="7:7">
      <c r="G171" s="91"/>
    </row>
    <row r="172" spans="7:7">
      <c r="G172" s="91"/>
    </row>
    <row r="173" spans="7:7">
      <c r="G173" s="91"/>
    </row>
    <row r="174" spans="7:7">
      <c r="G174" s="91"/>
    </row>
    <row r="175" spans="7:7">
      <c r="G175" s="91"/>
    </row>
    <row r="176" spans="7:7">
      <c r="G176" s="91"/>
    </row>
    <row r="177" spans="7:7">
      <c r="G177" s="91"/>
    </row>
    <row r="178" spans="7:7">
      <c r="G178" s="91"/>
    </row>
    <row r="179" spans="7:7">
      <c r="G179" s="91"/>
    </row>
    <row r="180" spans="7:7">
      <c r="G180" s="91"/>
    </row>
    <row r="181" spans="7:7">
      <c r="G181" s="91"/>
    </row>
    <row r="182" spans="7:7">
      <c r="G182" s="91"/>
    </row>
    <row r="183" spans="7:7">
      <c r="G183" s="91"/>
    </row>
    <row r="184" spans="7:7">
      <c r="G184" s="91"/>
    </row>
    <row r="185" spans="7:7">
      <c r="G185" s="91"/>
    </row>
    <row r="186" spans="7:7">
      <c r="G186" s="91"/>
    </row>
    <row r="187" spans="7:7">
      <c r="G187" s="91"/>
    </row>
    <row r="188" spans="7:7">
      <c r="G188" s="91"/>
    </row>
    <row r="189" spans="7:7">
      <c r="G189" s="91"/>
    </row>
    <row r="190" spans="7:7">
      <c r="G190" s="91"/>
    </row>
    <row r="191" spans="7:7">
      <c r="G191" s="91"/>
    </row>
    <row r="192" spans="7:7">
      <c r="G192" s="91"/>
    </row>
    <row r="193" spans="7:7">
      <c r="G193" s="91"/>
    </row>
    <row r="194" spans="7:7">
      <c r="G194" s="91"/>
    </row>
    <row r="195" spans="7:7">
      <c r="G195" s="91"/>
    </row>
    <row r="196" spans="7:7">
      <c r="G196" s="91"/>
    </row>
    <row r="197" spans="7:7">
      <c r="G197" s="91"/>
    </row>
    <row r="198" spans="7:7">
      <c r="G198" s="91"/>
    </row>
    <row r="199" spans="7:7">
      <c r="G199" s="91"/>
    </row>
    <row r="200" spans="7:7">
      <c r="G200" s="91"/>
    </row>
    <row r="201" spans="7:7">
      <c r="G201" s="91"/>
    </row>
    <row r="202" spans="7:7">
      <c r="G202" s="91"/>
    </row>
    <row r="203" spans="7:7">
      <c r="G203" s="91"/>
    </row>
    <row r="204" spans="7:7">
      <c r="G204" s="91"/>
    </row>
  </sheetData>
  <mergeCells count="3">
    <mergeCell ref="B4:E4"/>
    <mergeCell ref="A94:B94"/>
    <mergeCell ref="A34:E34"/>
  </mergeCells>
  <pageMargins left="0.7" right="0.7" top="0.75" bottom="0.75" header="0.3" footer="0.3"/>
  <pageSetup scale="33" pageOrder="overThenDown" orientation="landscape" r:id="rId1"/>
  <headerFooter>
    <oddHeader xml:space="preserve">&amp;C&amp;"-,Bold"&amp;12
</oddHeader>
    <oddFooter>&amp;L&amp;F - 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V146"/>
  <sheetViews>
    <sheetView showGridLines="0" view="pageBreakPreview" zoomScale="85" zoomScaleNormal="85" zoomScaleSheetLayoutView="85" workbookViewId="0">
      <selection activeCell="F63" sqref="F63"/>
    </sheetView>
  </sheetViews>
  <sheetFormatPr defaultRowHeight="14.25" outlineLevelRow="1" outlineLevelCol="1"/>
  <cols>
    <col min="1" max="1" width="24.140625" style="3" customWidth="1"/>
    <col min="2" max="2" width="23.85546875" style="3" customWidth="1"/>
    <col min="3" max="3" width="13.28515625" style="3" customWidth="1" outlineLevel="1"/>
    <col min="4" max="4" width="13.85546875" style="3" customWidth="1" outlineLevel="1"/>
    <col min="5" max="5" width="15.5703125" style="3" customWidth="1" outlineLevel="1"/>
    <col min="6" max="6" width="13.85546875" style="3" customWidth="1" outlineLevel="1"/>
    <col min="7" max="7" width="14.140625" style="3" customWidth="1" outlineLevel="1"/>
    <col min="8" max="8" width="1.140625" style="3" customWidth="1" outlineLevel="1"/>
    <col min="9" max="9" width="14.140625" style="3" bestFit="1" customWidth="1" outlineLevel="1"/>
    <col min="10" max="10" width="14.28515625" style="3" bestFit="1" customWidth="1" outlineLevel="1"/>
    <col min="11" max="11" width="13.85546875" style="3" customWidth="1" outlineLevel="1"/>
    <col min="12" max="12" width="1.140625" style="3" customWidth="1" outlineLevel="1"/>
    <col min="13" max="13" width="13.7109375" style="3" customWidth="1" outlineLevel="1"/>
    <col min="14" max="14" width="0.85546875" style="3" customWidth="1" outlineLevel="1"/>
    <col min="15" max="15" width="15.140625" style="3" customWidth="1" outlineLevel="1"/>
    <col min="16" max="16" width="1" style="3" customWidth="1" outlineLevel="1"/>
    <col min="17" max="17" width="11.42578125" style="3" customWidth="1" outlineLevel="1"/>
    <col min="18" max="18" width="13.140625" style="3" customWidth="1"/>
    <col min="19" max="19" width="1.140625" style="4" customWidth="1"/>
    <col min="20" max="20" width="9.140625" style="4"/>
    <col min="21" max="22" width="13.28515625" style="4" customWidth="1"/>
    <col min="23" max="16384" width="9.140625" style="4"/>
  </cols>
  <sheetData>
    <row r="1" spans="1:18" ht="12" customHeight="1" outlineLevel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ht="12" customHeight="1" outlineLevel="1">
      <c r="A2" s="1" t="s">
        <v>1</v>
      </c>
      <c r="B2" s="2"/>
      <c r="D2" s="2"/>
      <c r="F2" s="2"/>
      <c r="G2" s="2"/>
      <c r="H2" s="2"/>
      <c r="I2" s="2"/>
      <c r="J2" s="2"/>
    </row>
    <row r="3" spans="1:18" ht="12" customHeight="1" outlineLevel="1">
      <c r="A3" s="6" t="s">
        <v>2</v>
      </c>
      <c r="B3" s="2"/>
      <c r="C3" s="5" t="s">
        <v>425</v>
      </c>
      <c r="D3" s="2"/>
      <c r="E3" s="2"/>
      <c r="F3" s="2"/>
      <c r="G3" s="2"/>
      <c r="H3" s="2"/>
      <c r="I3" s="2"/>
      <c r="J3" s="2"/>
      <c r="Q3" s="7">
        <f>O136</f>
        <v>161.60751759874984</v>
      </c>
      <c r="R3" s="8" t="s">
        <v>3</v>
      </c>
    </row>
    <row r="4" spans="1:18" ht="12" customHeight="1" outlineLevel="1">
      <c r="B4" s="2"/>
      <c r="C4" s="2"/>
      <c r="D4" s="2"/>
      <c r="E4" s="2"/>
      <c r="F4" s="2"/>
      <c r="G4" s="2"/>
      <c r="H4" s="2"/>
      <c r="I4" s="2"/>
      <c r="J4" s="2"/>
    </row>
    <row r="5" spans="1:18" ht="14.25" customHeight="1" outlineLevel="1">
      <c r="A5" s="9"/>
      <c r="B5" s="10"/>
      <c r="C5" s="11" t="s">
        <v>4</v>
      </c>
      <c r="D5" s="11" t="s">
        <v>5</v>
      </c>
      <c r="E5" s="12" t="s">
        <v>4</v>
      </c>
      <c r="F5" s="12" t="s">
        <v>5</v>
      </c>
      <c r="G5" s="12" t="s">
        <v>6</v>
      </c>
      <c r="H5" s="2"/>
      <c r="I5" s="13" t="s">
        <v>4</v>
      </c>
      <c r="J5" s="13" t="s">
        <v>5</v>
      </c>
      <c r="K5" s="14" t="s">
        <v>7</v>
      </c>
      <c r="M5" s="15" t="s">
        <v>8</v>
      </c>
      <c r="N5" s="16"/>
      <c r="O5" s="396" t="s">
        <v>9</v>
      </c>
      <c r="P5" s="16"/>
      <c r="Q5" s="397" t="s">
        <v>10</v>
      </c>
      <c r="R5" s="397"/>
    </row>
    <row r="6" spans="1:18" ht="14.25" customHeight="1" outlineLevel="1">
      <c r="A6" s="17" t="s">
        <v>11</v>
      </c>
      <c r="B6" s="10" t="s">
        <v>12</v>
      </c>
      <c r="C6" s="11" t="s">
        <v>13</v>
      </c>
      <c r="D6" s="11" t="s">
        <v>13</v>
      </c>
      <c r="E6" s="12" t="s">
        <v>14</v>
      </c>
      <c r="F6" s="12" t="s">
        <v>14</v>
      </c>
      <c r="G6" s="12" t="s">
        <v>14</v>
      </c>
      <c r="H6" s="2"/>
      <c r="I6" s="13" t="s">
        <v>15</v>
      </c>
      <c r="J6" s="13" t="s">
        <v>15</v>
      </c>
      <c r="K6" s="14" t="s">
        <v>16</v>
      </c>
      <c r="M6" s="18">
        <v>0.15045444516958695</v>
      </c>
      <c r="N6" s="19"/>
      <c r="O6" s="396"/>
      <c r="P6" s="19"/>
      <c r="Q6" s="15" t="s">
        <v>13</v>
      </c>
      <c r="R6" s="15" t="s">
        <v>17</v>
      </c>
    </row>
    <row r="7" spans="1:18" ht="13.5" customHeight="1" outlineLevel="1">
      <c r="L7" s="20" t="s">
        <v>18</v>
      </c>
      <c r="M7" s="21">
        <v>2.35E-2</v>
      </c>
      <c r="N7" s="22"/>
      <c r="O7" s="23"/>
      <c r="P7" s="22"/>
      <c r="Q7" s="22"/>
      <c r="R7" s="22"/>
    </row>
    <row r="8" spans="1:18" s="26" customFormat="1" ht="6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4"/>
      <c r="N8" s="24"/>
      <c r="O8" s="25"/>
      <c r="P8" s="24"/>
      <c r="Q8" s="24"/>
      <c r="R8" s="24"/>
    </row>
    <row r="9" spans="1:18" s="26" customFormat="1" ht="12" customHeight="1">
      <c r="A9" s="27" t="s">
        <v>19</v>
      </c>
      <c r="B9" s="27" t="s">
        <v>19</v>
      </c>
      <c r="C9" s="27"/>
      <c r="D9" s="28"/>
      <c r="E9" s="28"/>
      <c r="F9" s="2"/>
      <c r="G9" s="2"/>
      <c r="H9" s="2"/>
      <c r="I9" s="2"/>
      <c r="J9" s="2"/>
      <c r="K9" s="3"/>
      <c r="L9" s="2"/>
      <c r="M9" s="24"/>
      <c r="N9" s="24"/>
      <c r="O9" s="25"/>
      <c r="P9" s="24"/>
      <c r="Q9" s="24"/>
      <c r="R9" s="24"/>
    </row>
    <row r="10" spans="1:18" s="26" customFormat="1" ht="6.75" customHeight="1">
      <c r="A10" s="27"/>
      <c r="B10" s="27"/>
      <c r="C10" s="27"/>
      <c r="D10" s="28"/>
      <c r="E10" s="28"/>
      <c r="F10" s="2"/>
      <c r="G10" s="2"/>
      <c r="H10" s="2"/>
      <c r="I10" s="2"/>
      <c r="J10" s="2"/>
      <c r="K10" s="3"/>
      <c r="L10" s="2"/>
      <c r="M10" s="24"/>
      <c r="N10" s="24"/>
      <c r="O10" s="25"/>
      <c r="P10" s="24"/>
      <c r="Q10" s="24"/>
      <c r="R10" s="24"/>
    </row>
    <row r="11" spans="1:18" s="26" customFormat="1" ht="12" customHeight="1">
      <c r="A11" s="29" t="s">
        <v>20</v>
      </c>
      <c r="B11" s="29" t="s">
        <v>20</v>
      </c>
      <c r="C11" s="29"/>
      <c r="D11" s="30"/>
      <c r="E11" s="31"/>
      <c r="F11" s="31"/>
      <c r="G11" s="32"/>
      <c r="H11" s="2"/>
      <c r="I11" s="31"/>
      <c r="J11" s="31"/>
      <c r="K11" s="3"/>
      <c r="L11" s="2"/>
      <c r="M11" s="24"/>
      <c r="N11" s="24"/>
      <c r="O11" s="25"/>
      <c r="P11" s="24"/>
      <c r="Q11" s="24"/>
      <c r="R11" s="24"/>
    </row>
    <row r="12" spans="1:18" s="26" customFormat="1" ht="12" customHeight="1">
      <c r="A12" s="33" t="s">
        <v>21</v>
      </c>
      <c r="B12" s="34" t="s">
        <v>22</v>
      </c>
      <c r="C12" s="35">
        <v>16.84</v>
      </c>
      <c r="D12" s="30">
        <v>16.88</v>
      </c>
      <c r="E12" s="31">
        <v>261.02</v>
      </c>
      <c r="F12" s="31">
        <v>443.1</v>
      </c>
      <c r="G12" s="31">
        <f>SUM(E12:F12)</f>
        <v>704.12</v>
      </c>
      <c r="H12" s="2"/>
      <c r="I12" s="31">
        <f>IFERROR(E12/($C12),0)/4</f>
        <v>3.8749999999999996</v>
      </c>
      <c r="J12" s="31">
        <f>IFERROR(F12/($D12),0)/8</f>
        <v>3.2812500000000004</v>
      </c>
      <c r="K12" s="226">
        <f t="shared" ref="K12:K33" si="0">IFERROR(AVERAGEIF(I12:J12,"&lt;&gt;0"),0)</f>
        <v>3.578125</v>
      </c>
      <c r="L12" s="2"/>
      <c r="M12" s="37">
        <f>$M$6*D12</f>
        <v>2.5396710344626277</v>
      </c>
      <c r="N12" s="24"/>
      <c r="O12" s="25">
        <f>K12*SUM(M12:M12)*12</f>
        <v>109.04712504223909</v>
      </c>
      <c r="P12" s="24"/>
      <c r="Q12" s="32">
        <f>ROUND((+D12+SUM(M12:M12)),2)</f>
        <v>19.420000000000002</v>
      </c>
      <c r="R12" s="38">
        <f>G12+O12</f>
        <v>813.16712504223915</v>
      </c>
    </row>
    <row r="13" spans="1:18" s="26" customFormat="1" ht="12" customHeight="1">
      <c r="A13" s="33" t="s">
        <v>23</v>
      </c>
      <c r="B13" s="34" t="s">
        <v>24</v>
      </c>
      <c r="C13" s="35">
        <v>19.47</v>
      </c>
      <c r="D13" s="30">
        <v>19.54</v>
      </c>
      <c r="E13" s="31">
        <v>75482.52</v>
      </c>
      <c r="F13" s="31">
        <v>160549.45000000001</v>
      </c>
      <c r="G13" s="31">
        <f t="shared" ref="G13:G32" si="1">SUM(E13:F13)</f>
        <v>236031.97000000003</v>
      </c>
      <c r="H13" s="2"/>
      <c r="I13" s="31">
        <f t="shared" ref="I13:I33" si="2">IFERROR(E13/($C13),0)/4</f>
        <v>969.21571648690303</v>
      </c>
      <c r="J13" s="31">
        <f t="shared" ref="J13:J33" si="3">IFERROR(F13/($D13),0)/8</f>
        <v>1027.0563587512795</v>
      </c>
      <c r="K13" s="226">
        <f t="shared" si="0"/>
        <v>998.13603761909121</v>
      </c>
      <c r="L13" s="2"/>
      <c r="M13" s="37">
        <f t="shared" ref="M13:M33" si="4">$M$6*D13</f>
        <v>2.9398798586137289</v>
      </c>
      <c r="N13" s="24"/>
      <c r="O13" s="25">
        <f t="shared" ref="O13:O33" si="5">K13*SUM(M13:M13)*12</f>
        <v>35212.800397834581</v>
      </c>
      <c r="P13" s="24"/>
      <c r="Q13" s="32">
        <f t="shared" ref="Q13:Q33" si="6">ROUND((+D13+SUM(M13:M13)),2)</f>
        <v>22.48</v>
      </c>
      <c r="R13" s="38">
        <f t="shared" ref="R13:R33" si="7">G13+O13</f>
        <v>271244.7703978346</v>
      </c>
    </row>
    <row r="14" spans="1:18" s="26" customFormat="1" ht="12" customHeight="1">
      <c r="A14" s="33" t="s">
        <v>25</v>
      </c>
      <c r="B14" s="34" t="s">
        <v>26</v>
      </c>
      <c r="C14" s="35">
        <v>26.67</v>
      </c>
      <c r="D14" s="30">
        <v>26.77</v>
      </c>
      <c r="E14" s="31">
        <v>35924.199999999997</v>
      </c>
      <c r="F14" s="31">
        <v>74098.399999999994</v>
      </c>
      <c r="G14" s="31">
        <f t="shared" si="1"/>
        <v>110022.59999999999</v>
      </c>
      <c r="H14" s="2"/>
      <c r="I14" s="31">
        <f t="shared" si="2"/>
        <v>336.74728158980122</v>
      </c>
      <c r="J14" s="31">
        <f t="shared" si="3"/>
        <v>345.9955173701905</v>
      </c>
      <c r="K14" s="226">
        <f t="shared" si="0"/>
        <v>341.37139947999583</v>
      </c>
      <c r="L14" s="2"/>
      <c r="M14" s="37">
        <f t="shared" si="4"/>
        <v>4.0276654971898429</v>
      </c>
      <c r="N14" s="24"/>
      <c r="O14" s="25">
        <f t="shared" si="5"/>
        <v>16499.157688955878</v>
      </c>
      <c r="P14" s="24"/>
      <c r="Q14" s="32">
        <f t="shared" si="6"/>
        <v>30.8</v>
      </c>
      <c r="R14" s="38">
        <f t="shared" si="7"/>
        <v>126521.75768895587</v>
      </c>
    </row>
    <row r="15" spans="1:18" s="26" customFormat="1" ht="12" customHeight="1">
      <c r="A15" s="33" t="s">
        <v>27</v>
      </c>
      <c r="B15" s="34" t="s">
        <v>28</v>
      </c>
      <c r="C15" s="35">
        <v>34.729999999999997</v>
      </c>
      <c r="D15" s="30">
        <v>34.880000000000003</v>
      </c>
      <c r="E15" s="31">
        <v>5322.09</v>
      </c>
      <c r="F15" s="31">
        <v>10714.890000000001</v>
      </c>
      <c r="G15" s="31">
        <f t="shared" si="1"/>
        <v>16036.980000000001</v>
      </c>
      <c r="H15" s="2"/>
      <c r="I15" s="31">
        <f t="shared" si="2"/>
        <v>38.310466455513968</v>
      </c>
      <c r="J15" s="31">
        <f t="shared" si="3"/>
        <v>38.399118405963307</v>
      </c>
      <c r="K15" s="226">
        <f t="shared" si="0"/>
        <v>38.354792430738641</v>
      </c>
      <c r="L15" s="2"/>
      <c r="M15" s="37">
        <f t="shared" si="4"/>
        <v>5.2478510475151934</v>
      </c>
      <c r="N15" s="24"/>
      <c r="O15" s="25">
        <f t="shared" si="5"/>
        <v>2415.3628516185554</v>
      </c>
      <c r="P15" s="24"/>
      <c r="Q15" s="32">
        <f t="shared" si="6"/>
        <v>40.130000000000003</v>
      </c>
      <c r="R15" s="38">
        <f t="shared" si="7"/>
        <v>18452.342851618556</v>
      </c>
    </row>
    <row r="16" spans="1:18" s="26" customFormat="1" ht="12" customHeight="1">
      <c r="A16" s="33" t="s">
        <v>29</v>
      </c>
      <c r="B16" s="34" t="s">
        <v>30</v>
      </c>
      <c r="C16" s="35">
        <v>42.27</v>
      </c>
      <c r="D16" s="30">
        <v>42.46</v>
      </c>
      <c r="E16" s="31">
        <v>1521.7200000000003</v>
      </c>
      <c r="F16" s="31">
        <v>3290.65</v>
      </c>
      <c r="G16" s="31">
        <f>SUM(E16:F16)</f>
        <v>4812.3700000000008</v>
      </c>
      <c r="H16" s="2"/>
      <c r="I16" s="31">
        <f t="shared" si="2"/>
        <v>9</v>
      </c>
      <c r="J16" s="31">
        <f t="shared" si="3"/>
        <v>9.6875</v>
      </c>
      <c r="K16" s="226">
        <f t="shared" si="0"/>
        <v>9.34375</v>
      </c>
      <c r="L16" s="2"/>
      <c r="M16" s="37">
        <f>$M$6*D16</f>
        <v>6.3882957419006621</v>
      </c>
      <c r="N16" s="24"/>
      <c r="O16" s="25">
        <f t="shared" si="5"/>
        <v>716.28766006061176</v>
      </c>
      <c r="P16" s="24"/>
      <c r="Q16" s="32">
        <f t="shared" si="6"/>
        <v>48.85</v>
      </c>
      <c r="R16" s="38">
        <f t="shared" si="7"/>
        <v>5528.6576600606122</v>
      </c>
    </row>
    <row r="17" spans="1:18" s="26" customFormat="1" ht="12" customHeight="1">
      <c r="A17" s="33" t="s">
        <v>31</v>
      </c>
      <c r="B17" s="34" t="s">
        <v>32</v>
      </c>
      <c r="C17" s="35">
        <v>60.8</v>
      </c>
      <c r="D17" s="30">
        <v>61.1</v>
      </c>
      <c r="E17" s="31">
        <v>243.2</v>
      </c>
      <c r="F17" s="31">
        <v>488.8</v>
      </c>
      <c r="G17" s="31">
        <f t="shared" si="1"/>
        <v>732</v>
      </c>
      <c r="H17" s="2"/>
      <c r="I17" s="31">
        <f t="shared" si="2"/>
        <v>1</v>
      </c>
      <c r="J17" s="31">
        <f t="shared" si="3"/>
        <v>1</v>
      </c>
      <c r="K17" s="226">
        <f t="shared" si="0"/>
        <v>1</v>
      </c>
      <c r="L17" s="2"/>
      <c r="M17" s="37">
        <f t="shared" si="4"/>
        <v>9.1927665998617627</v>
      </c>
      <c r="N17" s="24"/>
      <c r="O17" s="25">
        <f t="shared" si="5"/>
        <v>110.31319919834115</v>
      </c>
      <c r="P17" s="24"/>
      <c r="Q17" s="32">
        <f t="shared" si="6"/>
        <v>70.290000000000006</v>
      </c>
      <c r="R17" s="38">
        <f t="shared" si="7"/>
        <v>842.31319919834118</v>
      </c>
    </row>
    <row r="18" spans="1:18" s="26" customFormat="1" ht="12" customHeight="1">
      <c r="A18" s="33" t="s">
        <v>33</v>
      </c>
      <c r="B18" s="34" t="s">
        <v>34</v>
      </c>
      <c r="C18" s="35">
        <v>12.33</v>
      </c>
      <c r="D18" s="30">
        <v>12.36</v>
      </c>
      <c r="E18" s="31">
        <v>6247.24</v>
      </c>
      <c r="F18" s="31">
        <v>12638.07</v>
      </c>
      <c r="G18" s="31">
        <f t="shared" si="1"/>
        <v>18885.309999999998</v>
      </c>
      <c r="H18" s="2"/>
      <c r="I18" s="31">
        <f t="shared" si="2"/>
        <v>126.66747769667477</v>
      </c>
      <c r="J18" s="31">
        <f t="shared" si="3"/>
        <v>127.81219660194175</v>
      </c>
      <c r="K18" s="226">
        <f t="shared" si="0"/>
        <v>127.23983714930826</v>
      </c>
      <c r="L18" s="2"/>
      <c r="M18" s="37">
        <f t="shared" si="4"/>
        <v>1.8596169422960946</v>
      </c>
      <c r="N18" s="24"/>
      <c r="O18" s="25">
        <f t="shared" si="5"/>
        <v>2839.4082827741959</v>
      </c>
      <c r="P18" s="24"/>
      <c r="Q18" s="32">
        <f t="shared" si="6"/>
        <v>14.22</v>
      </c>
      <c r="R18" s="38">
        <f t="shared" si="7"/>
        <v>21724.718282774193</v>
      </c>
    </row>
    <row r="19" spans="1:18" s="26" customFormat="1" ht="12" customHeight="1">
      <c r="A19" s="33" t="s">
        <v>35</v>
      </c>
      <c r="B19" s="34" t="s">
        <v>36</v>
      </c>
      <c r="C19" s="35">
        <v>6.16</v>
      </c>
      <c r="D19" s="30">
        <v>6.18</v>
      </c>
      <c r="E19" s="31">
        <v>720.72</v>
      </c>
      <c r="F19" s="31">
        <v>1507.92</v>
      </c>
      <c r="G19" s="31">
        <f t="shared" si="1"/>
        <v>2228.6400000000003</v>
      </c>
      <c r="H19" s="2"/>
      <c r="I19" s="31">
        <f t="shared" si="2"/>
        <v>29.25</v>
      </c>
      <c r="J19" s="31">
        <f t="shared" si="3"/>
        <v>30.500000000000004</v>
      </c>
      <c r="K19" s="226">
        <f t="shared" si="0"/>
        <v>29.875</v>
      </c>
      <c r="L19" s="2"/>
      <c r="M19" s="37">
        <f t="shared" si="4"/>
        <v>0.92980847114804732</v>
      </c>
      <c r="N19" s="2"/>
      <c r="O19" s="25">
        <f t="shared" si="5"/>
        <v>333.33633690657496</v>
      </c>
      <c r="P19" s="2"/>
      <c r="Q19" s="32">
        <f t="shared" si="6"/>
        <v>7.11</v>
      </c>
      <c r="R19" s="38">
        <f t="shared" si="7"/>
        <v>2561.9763369065754</v>
      </c>
    </row>
    <row r="20" spans="1:18" s="26" customFormat="1" ht="12" customHeight="1">
      <c r="A20" s="33" t="s">
        <v>37</v>
      </c>
      <c r="B20" s="34" t="s">
        <v>38</v>
      </c>
      <c r="C20" s="35">
        <v>31.52</v>
      </c>
      <c r="D20" s="30">
        <v>31.61</v>
      </c>
      <c r="E20" s="31">
        <v>9544.26</v>
      </c>
      <c r="F20" s="31">
        <v>17863.7</v>
      </c>
      <c r="G20" s="31">
        <f>SUM(E20:F20)</f>
        <v>27407.96</v>
      </c>
      <c r="H20" s="2"/>
      <c r="I20" s="31">
        <f t="shared" si="2"/>
        <v>75.700031725888323</v>
      </c>
      <c r="J20" s="31">
        <f t="shared" si="3"/>
        <v>70.64101550142361</v>
      </c>
      <c r="K20" s="226">
        <f t="shared" si="0"/>
        <v>73.170523613655973</v>
      </c>
      <c r="L20" s="2"/>
      <c r="M20" s="37">
        <f t="shared" si="4"/>
        <v>4.7558650118106431</v>
      </c>
      <c r="N20" s="2"/>
      <c r="O20" s="25">
        <f t="shared" si="5"/>
        <v>4175.8695978006108</v>
      </c>
      <c r="P20" s="2"/>
      <c r="Q20" s="32">
        <f t="shared" si="6"/>
        <v>36.369999999999997</v>
      </c>
      <c r="R20" s="38">
        <f t="shared" si="7"/>
        <v>31583.82959780061</v>
      </c>
    </row>
    <row r="21" spans="1:18" s="26" customFormat="1" ht="12" customHeight="1">
      <c r="A21" s="33" t="s">
        <v>39</v>
      </c>
      <c r="B21" s="34" t="s">
        <v>40</v>
      </c>
      <c r="C21" s="35">
        <v>39.35</v>
      </c>
      <c r="D21" s="30">
        <v>39.44</v>
      </c>
      <c r="E21" s="31">
        <v>1197.1300000000001</v>
      </c>
      <c r="F21" s="31">
        <v>2273.64</v>
      </c>
      <c r="G21" s="31">
        <f t="shared" si="1"/>
        <v>3470.77</v>
      </c>
      <c r="H21" s="2"/>
      <c r="I21" s="31">
        <f t="shared" si="2"/>
        <v>7.6056543837357058</v>
      </c>
      <c r="J21" s="31">
        <f t="shared" si="3"/>
        <v>7.2060091277890468</v>
      </c>
      <c r="K21" s="226">
        <f t="shared" si="0"/>
        <v>7.4058317557623763</v>
      </c>
      <c r="L21" s="2"/>
      <c r="M21" s="37">
        <f t="shared" si="4"/>
        <v>5.9339233174885093</v>
      </c>
      <c r="N21" s="2"/>
      <c r="O21" s="25">
        <f t="shared" si="5"/>
        <v>527.34765289098277</v>
      </c>
      <c r="P21" s="2"/>
      <c r="Q21" s="32">
        <f t="shared" si="6"/>
        <v>45.37</v>
      </c>
      <c r="R21" s="38">
        <f t="shared" si="7"/>
        <v>3998.1176528909828</v>
      </c>
    </row>
    <row r="22" spans="1:18" s="26" customFormat="1" ht="12" customHeight="1">
      <c r="A22" s="33" t="s">
        <v>41</v>
      </c>
      <c r="B22" s="34" t="s">
        <v>42</v>
      </c>
      <c r="C22" s="35">
        <v>6.16</v>
      </c>
      <c r="D22" s="30">
        <v>6.18</v>
      </c>
      <c r="E22" s="31">
        <v>868.54000000000008</v>
      </c>
      <c r="F22" s="31">
        <v>2013.6</v>
      </c>
      <c r="G22" s="31">
        <f t="shared" si="1"/>
        <v>2882.14</v>
      </c>
      <c r="H22" s="2"/>
      <c r="I22" s="31">
        <f t="shared" si="2"/>
        <v>35.249188311688314</v>
      </c>
      <c r="J22" s="31">
        <f t="shared" si="3"/>
        <v>40.728155339805824</v>
      </c>
      <c r="K22" s="226">
        <f t="shared" si="0"/>
        <v>37.988671825747069</v>
      </c>
      <c r="L22" s="2"/>
      <c r="M22" s="37">
        <f t="shared" si="4"/>
        <v>0.92980847114804732</v>
      </c>
      <c r="N22" s="2"/>
      <c r="O22" s="25">
        <f t="shared" si="5"/>
        <v>423.86626645491333</v>
      </c>
      <c r="P22" s="2"/>
      <c r="Q22" s="32">
        <f t="shared" si="6"/>
        <v>7.11</v>
      </c>
      <c r="R22" s="38">
        <f t="shared" si="7"/>
        <v>3306.0062664549132</v>
      </c>
    </row>
    <row r="23" spans="1:18" s="26" customFormat="1" ht="12" customHeight="1">
      <c r="A23" s="33" t="s">
        <v>43</v>
      </c>
      <c r="B23" s="34" t="s">
        <v>44</v>
      </c>
      <c r="C23" s="35">
        <v>4.5199999999999996</v>
      </c>
      <c r="D23" s="30">
        <v>4.54</v>
      </c>
      <c r="E23" s="31">
        <v>4742.93</v>
      </c>
      <c r="F23" s="31">
        <v>20817.530000000002</v>
      </c>
      <c r="G23" s="31">
        <f t="shared" si="1"/>
        <v>25560.460000000003</v>
      </c>
      <c r="H23" s="2"/>
      <c r="I23" s="31">
        <f t="shared" si="2"/>
        <v>262.33019911504431</v>
      </c>
      <c r="J23" s="31">
        <f t="shared" si="3"/>
        <v>573.16987885462561</v>
      </c>
      <c r="K23" s="226">
        <f t="shared" si="0"/>
        <v>417.75003898483499</v>
      </c>
      <c r="L23" s="2"/>
      <c r="M23" s="37">
        <f t="shared" si="4"/>
        <v>0.6830631810699247</v>
      </c>
      <c r="N23" s="2"/>
      <c r="O23" s="25">
        <f t="shared" si="5"/>
        <v>3424.1960462527977</v>
      </c>
      <c r="P23" s="2"/>
      <c r="Q23" s="32">
        <f t="shared" si="6"/>
        <v>5.22</v>
      </c>
      <c r="R23" s="38">
        <f t="shared" si="7"/>
        <v>28984.6560462528</v>
      </c>
    </row>
    <row r="24" spans="1:18" s="26" customFormat="1" ht="12" customHeight="1">
      <c r="A24" s="33" t="s">
        <v>45</v>
      </c>
      <c r="B24" s="34" t="s">
        <v>46</v>
      </c>
      <c r="C24" s="35">
        <v>4.32</v>
      </c>
      <c r="D24" s="30">
        <v>4.34</v>
      </c>
      <c r="E24" s="31">
        <v>8.43</v>
      </c>
      <c r="F24" s="31">
        <v>0</v>
      </c>
      <c r="G24" s="31">
        <f>SUM(E24:F24)</f>
        <v>8.43</v>
      </c>
      <c r="H24" s="2"/>
      <c r="I24" s="31">
        <f t="shared" si="2"/>
        <v>0.48784722222222215</v>
      </c>
      <c r="J24" s="31">
        <f t="shared" si="3"/>
        <v>0</v>
      </c>
      <c r="K24" s="226">
        <f t="shared" si="0"/>
        <v>0.48784722222222215</v>
      </c>
      <c r="L24" s="2"/>
      <c r="M24" s="37">
        <f t="shared" si="4"/>
        <v>0.65297229203600737</v>
      </c>
      <c r="N24" s="2"/>
      <c r="O24" s="25">
        <f t="shared" si="5"/>
        <v>3.8226086262941257</v>
      </c>
      <c r="P24" s="2"/>
      <c r="Q24" s="32">
        <f t="shared" si="6"/>
        <v>4.99</v>
      </c>
      <c r="R24" s="38">
        <f t="shared" si="7"/>
        <v>12.252608626294126</v>
      </c>
    </row>
    <row r="25" spans="1:18" s="26" customFormat="1" ht="12" customHeight="1">
      <c r="A25" s="33" t="s">
        <v>47</v>
      </c>
      <c r="B25" s="39" t="s">
        <v>48</v>
      </c>
      <c r="C25" s="35">
        <v>4.32</v>
      </c>
      <c r="D25" s="30">
        <v>4.34</v>
      </c>
      <c r="E25" s="31">
        <v>59.01</v>
      </c>
      <c r="F25" s="31">
        <v>4.5199999999999996</v>
      </c>
      <c r="G25" s="31">
        <f>SUM(E25:F25)</f>
        <v>63.53</v>
      </c>
      <c r="H25" s="2"/>
      <c r="I25" s="31">
        <f t="shared" si="2"/>
        <v>3.4149305555555554</v>
      </c>
      <c r="J25" s="31">
        <f t="shared" si="3"/>
        <v>0.13018433179723501</v>
      </c>
      <c r="K25" s="226">
        <f t="shared" si="0"/>
        <v>1.7725574436763951</v>
      </c>
      <c r="L25" s="2"/>
      <c r="M25" s="37">
        <f t="shared" si="4"/>
        <v>0.65297229203600737</v>
      </c>
      <c r="N25" s="2"/>
      <c r="O25" s="25">
        <f t="shared" si="5"/>
        <v>13.88917076115434</v>
      </c>
      <c r="P25" s="2"/>
      <c r="Q25" s="32">
        <f t="shared" si="6"/>
        <v>4.99</v>
      </c>
      <c r="R25" s="38">
        <f t="shared" si="7"/>
        <v>77.419170761154334</v>
      </c>
    </row>
    <row r="26" spans="1:18" s="26" customFormat="1" ht="12" customHeight="1">
      <c r="A26" s="159" t="s">
        <v>49</v>
      </c>
      <c r="B26" s="135" t="s">
        <v>50</v>
      </c>
      <c r="C26" s="141">
        <v>88.82</v>
      </c>
      <c r="D26" s="117">
        <v>88.82</v>
      </c>
      <c r="E26" s="98">
        <v>0</v>
      </c>
      <c r="F26" s="98">
        <v>85.74</v>
      </c>
      <c r="G26" s="98">
        <f>SUM(E26:F26)</f>
        <v>85.74</v>
      </c>
      <c r="H26" s="9"/>
      <c r="I26" s="98">
        <f t="shared" si="2"/>
        <v>0</v>
      </c>
      <c r="J26" s="98">
        <f t="shared" si="3"/>
        <v>0.12066539067777528</v>
      </c>
      <c r="K26" s="227">
        <f t="shared" si="0"/>
        <v>0.12066539067777528</v>
      </c>
      <c r="L26" s="9"/>
      <c r="M26" s="118">
        <f t="shared" si="4"/>
        <v>13.363363819962712</v>
      </c>
      <c r="N26" s="9"/>
      <c r="O26" s="142">
        <f t="shared" si="5"/>
        <v>19.349946193260578</v>
      </c>
      <c r="P26" s="9"/>
      <c r="Q26" s="118">
        <f t="shared" si="6"/>
        <v>102.18</v>
      </c>
      <c r="R26" s="119">
        <f t="shared" si="7"/>
        <v>105.08994619326057</v>
      </c>
    </row>
    <row r="27" spans="1:18" s="26" customFormat="1" ht="12" customHeight="1">
      <c r="A27" s="33" t="s">
        <v>51</v>
      </c>
      <c r="B27" s="34" t="s">
        <v>52</v>
      </c>
      <c r="C27" s="35">
        <v>17.68</v>
      </c>
      <c r="D27" s="30">
        <v>17.739999999999998</v>
      </c>
      <c r="E27" s="31">
        <v>35.36</v>
      </c>
      <c r="F27" s="31">
        <v>88.699999999999989</v>
      </c>
      <c r="G27" s="31">
        <f t="shared" si="1"/>
        <v>124.05999999999999</v>
      </c>
      <c r="H27" s="2"/>
      <c r="I27" s="31">
        <f t="shared" si="2"/>
        <v>0.5</v>
      </c>
      <c r="J27" s="31">
        <f t="shared" si="3"/>
        <v>0.625</v>
      </c>
      <c r="K27" s="226">
        <f t="shared" si="0"/>
        <v>0.5625</v>
      </c>
      <c r="L27" s="2"/>
      <c r="M27" s="37">
        <f t="shared" si="4"/>
        <v>2.6690618573084723</v>
      </c>
      <c r="N27" s="2"/>
      <c r="O27" s="25">
        <f t="shared" si="5"/>
        <v>18.016167536832185</v>
      </c>
      <c r="P27" s="2"/>
      <c r="Q27" s="32">
        <f t="shared" si="6"/>
        <v>20.41</v>
      </c>
      <c r="R27" s="38">
        <f t="shared" si="7"/>
        <v>142.07616753683217</v>
      </c>
    </row>
    <row r="28" spans="1:18" s="26" customFormat="1" ht="12" customHeight="1">
      <c r="A28" s="159" t="s">
        <v>53</v>
      </c>
      <c r="B28" s="135" t="s">
        <v>54</v>
      </c>
      <c r="C28" s="141">
        <v>2.71</v>
      </c>
      <c r="D28" s="117">
        <v>2.71</v>
      </c>
      <c r="E28" s="98">
        <v>548.52</v>
      </c>
      <c r="F28" s="98">
        <v>1111.24</v>
      </c>
      <c r="G28" s="98">
        <f>SUM(E28:F28)</f>
        <v>1659.76</v>
      </c>
      <c r="H28" s="9"/>
      <c r="I28" s="98">
        <f t="shared" si="2"/>
        <v>50.601476014760145</v>
      </c>
      <c r="J28" s="98">
        <f t="shared" si="3"/>
        <v>51.256457564575648</v>
      </c>
      <c r="K28" s="227">
        <f t="shared" si="0"/>
        <v>50.928966789667896</v>
      </c>
      <c r="L28" s="9"/>
      <c r="M28" s="118">
        <f t="shared" si="4"/>
        <v>0.40773154640958065</v>
      </c>
      <c r="N28" s="9"/>
      <c r="O28" s="142">
        <f t="shared" si="5"/>
        <v>249.1841566343216</v>
      </c>
      <c r="P28" s="9"/>
      <c r="Q28" s="118">
        <f t="shared" si="6"/>
        <v>3.12</v>
      </c>
      <c r="R28" s="119">
        <f t="shared" si="7"/>
        <v>1908.9441566343216</v>
      </c>
    </row>
    <row r="29" spans="1:18" s="26" customFormat="1" ht="12" customHeight="1">
      <c r="A29" s="159" t="s">
        <v>55</v>
      </c>
      <c r="B29" s="135" t="s">
        <v>56</v>
      </c>
      <c r="C29" s="141">
        <v>2.71</v>
      </c>
      <c r="D29" s="117">
        <v>2.71</v>
      </c>
      <c r="E29" s="98">
        <v>18.399999999999999</v>
      </c>
      <c r="F29" s="98">
        <v>47.8</v>
      </c>
      <c r="G29" s="98">
        <f>SUM(E29:F29)</f>
        <v>66.199999999999989</v>
      </c>
      <c r="H29" s="9"/>
      <c r="I29" s="98">
        <f t="shared" si="2"/>
        <v>1.6974169741697416</v>
      </c>
      <c r="J29" s="98">
        <f t="shared" si="3"/>
        <v>2.2047970479704797</v>
      </c>
      <c r="K29" s="227">
        <f t="shared" si="0"/>
        <v>1.9511070110701105</v>
      </c>
      <c r="L29" s="9"/>
      <c r="M29" s="118">
        <f t="shared" si="4"/>
        <v>0.40773154640958065</v>
      </c>
      <c r="N29" s="9"/>
      <c r="O29" s="142">
        <f t="shared" si="5"/>
        <v>9.5463345460102911</v>
      </c>
      <c r="P29" s="9"/>
      <c r="Q29" s="118">
        <f t="shared" si="6"/>
        <v>3.12</v>
      </c>
      <c r="R29" s="119">
        <f t="shared" si="7"/>
        <v>75.746334546010274</v>
      </c>
    </row>
    <row r="30" spans="1:18" s="26" customFormat="1" ht="12" customHeight="1">
      <c r="A30" s="159" t="s">
        <v>57</v>
      </c>
      <c r="B30" s="135" t="s">
        <v>58</v>
      </c>
      <c r="C30" s="141">
        <v>5.41</v>
      </c>
      <c r="D30" s="117">
        <v>5.41</v>
      </c>
      <c r="E30" s="98">
        <v>21.64</v>
      </c>
      <c r="F30" s="98">
        <v>5.41</v>
      </c>
      <c r="G30" s="98">
        <f t="shared" si="1"/>
        <v>27.05</v>
      </c>
      <c r="H30" s="9"/>
      <c r="I30" s="98">
        <f t="shared" si="2"/>
        <v>1</v>
      </c>
      <c r="J30" s="98">
        <f t="shared" si="3"/>
        <v>0.125</v>
      </c>
      <c r="K30" s="227">
        <f t="shared" si="0"/>
        <v>0.5625</v>
      </c>
      <c r="L30" s="9"/>
      <c r="M30" s="118">
        <f t="shared" si="4"/>
        <v>0.8139585483674654</v>
      </c>
      <c r="N30" s="9"/>
      <c r="O30" s="142">
        <f t="shared" si="5"/>
        <v>5.4942202014803918</v>
      </c>
      <c r="P30" s="9"/>
      <c r="Q30" s="118">
        <f t="shared" si="6"/>
        <v>6.22</v>
      </c>
      <c r="R30" s="119">
        <f t="shared" si="7"/>
        <v>32.544220201480393</v>
      </c>
    </row>
    <row r="31" spans="1:18" s="26" customFormat="1" ht="12" customHeight="1">
      <c r="A31" s="159" t="s">
        <v>59</v>
      </c>
      <c r="B31" s="135" t="s">
        <v>60</v>
      </c>
      <c r="C31" s="141">
        <v>5.41</v>
      </c>
      <c r="D31" s="117">
        <v>5.41</v>
      </c>
      <c r="E31" s="98">
        <v>245.08999999999997</v>
      </c>
      <c r="F31" s="98">
        <v>344.09999999999991</v>
      </c>
      <c r="G31" s="98">
        <f t="shared" si="1"/>
        <v>589.18999999999983</v>
      </c>
      <c r="H31" s="9"/>
      <c r="I31" s="98">
        <f t="shared" si="2"/>
        <v>11.325785582255081</v>
      </c>
      <c r="J31" s="98">
        <f t="shared" si="3"/>
        <v>7.9505545286506445</v>
      </c>
      <c r="K31" s="227">
        <f t="shared" si="0"/>
        <v>9.6381700554528624</v>
      </c>
      <c r="L31" s="9"/>
      <c r="M31" s="118">
        <f t="shared" si="4"/>
        <v>0.8139585483674654</v>
      </c>
      <c r="N31" s="9"/>
      <c r="O31" s="142">
        <f t="shared" si="5"/>
        <v>94.140850887062228</v>
      </c>
      <c r="P31" s="9"/>
      <c r="Q31" s="118">
        <f t="shared" si="6"/>
        <v>6.22</v>
      </c>
      <c r="R31" s="119">
        <f t="shared" si="7"/>
        <v>683.33085088706207</v>
      </c>
    </row>
    <row r="32" spans="1:18" s="26" customFormat="1" ht="12" customHeight="1">
      <c r="A32" s="159" t="s">
        <v>61</v>
      </c>
      <c r="B32" s="135" t="s">
        <v>62</v>
      </c>
      <c r="C32" s="141">
        <v>2.71</v>
      </c>
      <c r="D32" s="117">
        <v>2.71</v>
      </c>
      <c r="E32" s="98">
        <v>324.24999999999994</v>
      </c>
      <c r="F32" s="98">
        <v>683.08</v>
      </c>
      <c r="G32" s="98">
        <f t="shared" si="1"/>
        <v>1007.3299999999999</v>
      </c>
      <c r="H32" s="9"/>
      <c r="I32" s="98">
        <f t="shared" si="2"/>
        <v>29.912361623616231</v>
      </c>
      <c r="J32" s="98">
        <f t="shared" si="3"/>
        <v>31.507380073800739</v>
      </c>
      <c r="K32" s="227">
        <f t="shared" si="0"/>
        <v>30.709870848708483</v>
      </c>
      <c r="L32" s="9"/>
      <c r="M32" s="118">
        <f t="shared" si="4"/>
        <v>0.40773154640958065</v>
      </c>
      <c r="N32" s="9"/>
      <c r="O32" s="142">
        <f t="shared" si="5"/>
        <v>150.25659757418893</v>
      </c>
      <c r="P32" s="9"/>
      <c r="Q32" s="118">
        <f t="shared" si="6"/>
        <v>3.12</v>
      </c>
      <c r="R32" s="119">
        <f t="shared" si="7"/>
        <v>1157.5865975741888</v>
      </c>
    </row>
    <row r="33" spans="1:22" s="26" customFormat="1" ht="12" customHeight="1">
      <c r="A33" s="159" t="s">
        <v>63</v>
      </c>
      <c r="B33" s="135" t="s">
        <v>64</v>
      </c>
      <c r="C33" s="141">
        <v>0</v>
      </c>
      <c r="D33" s="117"/>
      <c r="E33" s="98">
        <v>-1.9399999999999995</v>
      </c>
      <c r="F33" s="98">
        <v>80.759999999999991</v>
      </c>
      <c r="G33" s="98">
        <f>SUM(E33:F33)</f>
        <v>78.819999999999993</v>
      </c>
      <c r="H33" s="9"/>
      <c r="I33" s="98">
        <f t="shared" si="2"/>
        <v>0</v>
      </c>
      <c r="J33" s="98">
        <f t="shared" si="3"/>
        <v>0</v>
      </c>
      <c r="K33" s="227">
        <f t="shared" si="0"/>
        <v>0</v>
      </c>
      <c r="L33" s="9"/>
      <c r="M33" s="118">
        <f t="shared" si="4"/>
        <v>0</v>
      </c>
      <c r="N33" s="9"/>
      <c r="O33" s="142">
        <f t="shared" si="5"/>
        <v>0</v>
      </c>
      <c r="P33" s="9"/>
      <c r="Q33" s="118">
        <f t="shared" si="6"/>
        <v>0</v>
      </c>
      <c r="R33" s="119">
        <f t="shared" si="7"/>
        <v>78.819999999999993</v>
      </c>
    </row>
    <row r="34" spans="1:22" s="26" customFormat="1" ht="6" customHeight="1" thickBot="1">
      <c r="A34" s="40"/>
      <c r="B34" s="40"/>
      <c r="C34" s="40"/>
      <c r="D34" s="30"/>
      <c r="E34" s="31"/>
      <c r="F34" s="31"/>
      <c r="G34" s="31"/>
      <c r="H34" s="2"/>
      <c r="I34" s="31"/>
      <c r="J34" s="31"/>
      <c r="K34" s="36"/>
      <c r="L34" s="2"/>
      <c r="M34" s="2"/>
      <c r="N34" s="2"/>
      <c r="O34" s="2"/>
      <c r="P34" s="2"/>
      <c r="Q34" s="2"/>
      <c r="R34" s="41"/>
    </row>
    <row r="35" spans="1:22" s="51" customFormat="1" ht="13.5" customHeight="1" thickBot="1">
      <c r="A35" s="42"/>
      <c r="B35" s="43" t="s">
        <v>65</v>
      </c>
      <c r="C35" s="43"/>
      <c r="D35" s="44"/>
      <c r="E35" s="45">
        <f>SUM(E12:E34)</f>
        <v>143334.32999999999</v>
      </c>
      <c r="F35" s="45">
        <f>SUM(F12:F34)</f>
        <v>309151.09999999998</v>
      </c>
      <c r="G35" s="45">
        <f>SUM(G12:G34)</f>
        <v>452485.43000000011</v>
      </c>
      <c r="H35" s="42"/>
      <c r="I35" s="46"/>
      <c r="J35" s="46"/>
      <c r="K35" s="47">
        <f>+SUM(K12:K21)</f>
        <v>1629.475297048552</v>
      </c>
      <c r="L35" s="46"/>
      <c r="M35" s="46"/>
      <c r="N35" s="46"/>
      <c r="O35" s="48">
        <f>+SUM(O12:O33)</f>
        <v>67350.693158750888</v>
      </c>
      <c r="P35" s="46"/>
      <c r="Q35" s="46"/>
      <c r="R35" s="49">
        <f>+SUM(R12:R33)</f>
        <v>519836.12315875088</v>
      </c>
      <c r="S35" s="50"/>
    </row>
    <row r="36" spans="1:22" s="26" customFormat="1" ht="6.75" customHeight="1">
      <c r="A36" s="27"/>
      <c r="B36" s="52"/>
      <c r="C36" s="52"/>
      <c r="D36" s="53"/>
      <c r="E36" s="54"/>
      <c r="F36" s="54"/>
      <c r="G36" s="32"/>
      <c r="H36" s="2"/>
      <c r="I36" s="31"/>
      <c r="J36" s="31"/>
      <c r="K36" s="36"/>
      <c r="L36" s="2"/>
      <c r="M36" s="2"/>
      <c r="N36" s="2"/>
      <c r="O36" s="2"/>
      <c r="P36" s="2"/>
      <c r="Q36" s="2"/>
      <c r="R36" s="2"/>
    </row>
    <row r="37" spans="1:22" ht="12" customHeight="1">
      <c r="A37" s="27" t="s">
        <v>66</v>
      </c>
      <c r="B37" s="27" t="s">
        <v>66</v>
      </c>
      <c r="C37" s="27"/>
      <c r="I37" s="36"/>
      <c r="J37" s="36"/>
      <c r="K37" s="36"/>
    </row>
    <row r="38" spans="1:22" ht="3.75" customHeight="1">
      <c r="A38" s="27"/>
      <c r="B38" s="27"/>
      <c r="C38" s="27"/>
      <c r="I38" s="36"/>
      <c r="J38" s="36"/>
      <c r="K38" s="36"/>
    </row>
    <row r="39" spans="1:22" s="26" customFormat="1" ht="33.75" customHeight="1">
      <c r="A39" s="29" t="s">
        <v>67</v>
      </c>
      <c r="B39" s="29" t="s">
        <v>67</v>
      </c>
      <c r="C39" s="29"/>
      <c r="D39" s="30"/>
      <c r="E39" s="54"/>
      <c r="F39" s="31" t="str">
        <f>IF(D39="","",(#REF!/D39)+(#REF!/#REF!))</f>
        <v/>
      </c>
      <c r="G39" s="32"/>
      <c r="H39" s="2"/>
      <c r="I39" s="31"/>
      <c r="J39" s="31"/>
      <c r="K39" s="36"/>
      <c r="L39" s="2"/>
      <c r="M39" s="2"/>
      <c r="N39" s="2"/>
      <c r="O39" s="2"/>
      <c r="P39" s="2"/>
      <c r="Q39" s="2"/>
      <c r="R39" s="2"/>
      <c r="T39" s="121" t="s">
        <v>289</v>
      </c>
      <c r="U39" s="112" t="s">
        <v>418</v>
      </c>
      <c r="V39" s="112"/>
    </row>
    <row r="40" spans="1:22" s="26" customFormat="1" ht="12" customHeight="1">
      <c r="A40" s="247" t="s">
        <v>68</v>
      </c>
      <c r="B40" s="247" t="s">
        <v>69</v>
      </c>
      <c r="C40" s="248">
        <v>72.349999999999994</v>
      </c>
      <c r="D40" s="249">
        <v>72.700699999999998</v>
      </c>
      <c r="E40" s="250">
        <v>8634.98</v>
      </c>
      <c r="F40" s="250">
        <v>18865.649999999998</v>
      </c>
      <c r="G40" s="250">
        <f t="shared" ref="G40:G100" si="8">SUM(E40:F40)</f>
        <v>27500.629999999997</v>
      </c>
      <c r="H40" s="251"/>
      <c r="I40" s="250">
        <f t="shared" ref="I40:I101" si="9">IFERROR(E40/($C40),0)/4</f>
        <v>29.837525915687632</v>
      </c>
      <c r="J40" s="250">
        <f t="shared" ref="J40:J101" si="10">IFERROR(F40/($D40),0)/8</f>
        <v>32.437187674946728</v>
      </c>
      <c r="K40" s="252">
        <f>IFERROR(AVERAGEIF(I40:J40,"&lt;&gt;0"),0)</f>
        <v>31.137356795317181</v>
      </c>
      <c r="L40" s="251"/>
      <c r="M40" s="253">
        <f>$M$6*D40</f>
        <v>10.938143481940589</v>
      </c>
      <c r="N40" s="251"/>
      <c r="O40" s="254">
        <f>K40*SUM(M40:M40)*12</f>
        <v>4087.0185153066855</v>
      </c>
      <c r="P40" s="251"/>
      <c r="Q40" s="253">
        <f t="shared" ref="Q40:Q101" si="11">ROUND((+D40+SUM(M40:M40)),2)</f>
        <v>83.64</v>
      </c>
      <c r="R40" s="255">
        <f>G40+O40</f>
        <v>31587.648515306682</v>
      </c>
      <c r="S40" s="256"/>
      <c r="T40" s="257">
        <f>References!$C$10</f>
        <v>4.333333333333333</v>
      </c>
      <c r="U40" s="258">
        <f>SUM(K40*T40)*12</f>
        <v>1619.1425533564934</v>
      </c>
      <c r="V40" s="258">
        <f>K40*12</f>
        <v>373.64828154380621</v>
      </c>
    </row>
    <row r="41" spans="1:22" s="26" customFormat="1" ht="12" customHeight="1">
      <c r="A41" s="247" t="s">
        <v>70</v>
      </c>
      <c r="B41" s="247" t="s">
        <v>71</v>
      </c>
      <c r="C41" s="248">
        <v>144.71</v>
      </c>
      <c r="D41" s="249">
        <v>145.4014</v>
      </c>
      <c r="E41" s="250">
        <v>1157.68</v>
      </c>
      <c r="F41" s="250">
        <v>2326.4</v>
      </c>
      <c r="G41" s="250">
        <f t="shared" si="8"/>
        <v>3484.08</v>
      </c>
      <c r="H41" s="251"/>
      <c r="I41" s="250">
        <f t="shared" si="9"/>
        <v>2</v>
      </c>
      <c r="J41" s="250">
        <f t="shared" si="10"/>
        <v>1.9999807429639607</v>
      </c>
      <c r="K41" s="252">
        <f t="shared" ref="K41:K61" si="12">IFERROR(AVERAGEIF(I41:J41,"&lt;&gt;0"),0)</f>
        <v>1.9999903714819802</v>
      </c>
      <c r="L41" s="251"/>
      <c r="M41" s="253">
        <f t="shared" ref="M41:M101" si="13">$M$6*D41</f>
        <v>21.876286963881178</v>
      </c>
      <c r="N41" s="251"/>
      <c r="O41" s="254">
        <f t="shared" ref="O41:O101" si="14">K41*SUM(M41:M41)*12</f>
        <v>525.0283594984694</v>
      </c>
      <c r="P41" s="251"/>
      <c r="Q41" s="253">
        <f t="shared" si="11"/>
        <v>167.28</v>
      </c>
      <c r="R41" s="255">
        <f t="shared" ref="R41:R100" si="15">G41+O41</f>
        <v>4009.1083594984693</v>
      </c>
      <c r="S41" s="256"/>
      <c r="T41" s="257">
        <f>References!$C$9</f>
        <v>8.6666666666666661</v>
      </c>
      <c r="U41" s="258">
        <f>SUM(K41*T41)*12</f>
        <v>207.99899863412594</v>
      </c>
      <c r="V41" s="258">
        <f t="shared" ref="V41:V76" si="16">K41*12</f>
        <v>23.999884457783764</v>
      </c>
    </row>
    <row r="42" spans="1:22" s="26" customFormat="1" ht="12" customHeight="1">
      <c r="A42" s="247" t="s">
        <v>72</v>
      </c>
      <c r="B42" s="247" t="s">
        <v>73</v>
      </c>
      <c r="C42" s="248">
        <v>144.71</v>
      </c>
      <c r="D42" s="249">
        <v>145.4014</v>
      </c>
      <c r="E42" s="250">
        <v>1157.68</v>
      </c>
      <c r="F42" s="250">
        <v>2320.8000000000002</v>
      </c>
      <c r="G42" s="250">
        <f t="shared" si="8"/>
        <v>3478.4800000000005</v>
      </c>
      <c r="H42" s="251"/>
      <c r="I42" s="250">
        <f t="shared" si="9"/>
        <v>2</v>
      </c>
      <c r="J42" s="250">
        <f t="shared" si="10"/>
        <v>1.995166483954075</v>
      </c>
      <c r="K42" s="252">
        <f t="shared" si="12"/>
        <v>1.9975832419770376</v>
      </c>
      <c r="L42" s="251"/>
      <c r="M42" s="253">
        <f t="shared" si="13"/>
        <v>21.876286963881178</v>
      </c>
      <c r="N42" s="251"/>
      <c r="O42" s="254">
        <f t="shared" si="14"/>
        <v>524.39645082875722</v>
      </c>
      <c r="P42" s="251"/>
      <c r="Q42" s="253">
        <f t="shared" si="11"/>
        <v>167.28</v>
      </c>
      <c r="R42" s="255">
        <f t="shared" si="15"/>
        <v>4002.8764508287577</v>
      </c>
      <c r="S42" s="256"/>
      <c r="T42" s="257">
        <f>References!$D$10</f>
        <v>8.6666666666666661</v>
      </c>
      <c r="U42" s="258">
        <f>SUM(K42*T42)*12</f>
        <v>207.74865716561189</v>
      </c>
      <c r="V42" s="258">
        <f t="shared" si="16"/>
        <v>23.97099890372445</v>
      </c>
    </row>
    <row r="43" spans="1:22" s="26" customFormat="1" ht="12" customHeight="1">
      <c r="A43" s="247" t="s">
        <v>74</v>
      </c>
      <c r="B43" s="247" t="s">
        <v>75</v>
      </c>
      <c r="C43" s="248">
        <v>36.26</v>
      </c>
      <c r="D43" s="249">
        <v>36.4343</v>
      </c>
      <c r="E43" s="250">
        <v>3038.8399999999997</v>
      </c>
      <c r="F43" s="250">
        <v>4941.3599999999997</v>
      </c>
      <c r="G43" s="250">
        <f t="shared" si="8"/>
        <v>7980.1999999999989</v>
      </c>
      <c r="H43" s="251"/>
      <c r="I43" s="250">
        <f t="shared" si="9"/>
        <v>20.951737451737451</v>
      </c>
      <c r="J43" s="250">
        <f t="shared" si="10"/>
        <v>16.952981119439649</v>
      </c>
      <c r="K43" s="252">
        <f t="shared" si="12"/>
        <v>18.95235928558855</v>
      </c>
      <c r="L43" s="251"/>
      <c r="M43" s="253">
        <f t="shared" si="13"/>
        <v>5.4817023916422816</v>
      </c>
      <c r="N43" s="251"/>
      <c r="O43" s="254">
        <f t="shared" si="14"/>
        <v>1246.6943186768947</v>
      </c>
      <c r="P43" s="251"/>
      <c r="Q43" s="253">
        <f t="shared" si="11"/>
        <v>41.92</v>
      </c>
      <c r="R43" s="255">
        <f t="shared" si="15"/>
        <v>9226.8943186768938</v>
      </c>
      <c r="S43" s="256"/>
      <c r="T43" s="257">
        <f>References!$C$11</f>
        <v>2.1666666666666665</v>
      </c>
      <c r="U43" s="258">
        <f>SUM(K43*T43)*12</f>
        <v>492.76134142530225</v>
      </c>
      <c r="V43" s="258">
        <f t="shared" si="16"/>
        <v>227.4283114270626</v>
      </c>
    </row>
    <row r="44" spans="1:22" s="26" customFormat="1" ht="12" customHeight="1">
      <c r="A44" s="259" t="s">
        <v>76</v>
      </c>
      <c r="B44" s="259" t="s">
        <v>77</v>
      </c>
      <c r="C44" s="260">
        <v>106.69</v>
      </c>
      <c r="D44" s="261">
        <v>107.1675</v>
      </c>
      <c r="E44" s="262">
        <v>10162.16</v>
      </c>
      <c r="F44" s="262">
        <v>22617.879999999997</v>
      </c>
      <c r="G44" s="262">
        <f t="shared" si="8"/>
        <v>32780.039999999994</v>
      </c>
      <c r="H44" s="263"/>
      <c r="I44" s="262">
        <f t="shared" si="9"/>
        <v>23.812353547661449</v>
      </c>
      <c r="J44" s="262">
        <f t="shared" si="10"/>
        <v>26.381458931112508</v>
      </c>
      <c r="K44" s="264">
        <f t="shared" si="12"/>
        <v>25.096906239386978</v>
      </c>
      <c r="L44" s="263"/>
      <c r="M44" s="265">
        <f t="shared" si="13"/>
        <v>16.123826752711711</v>
      </c>
      <c r="N44" s="263"/>
      <c r="O44" s="266">
        <f t="shared" si="14"/>
        <v>4855.8980187951029</v>
      </c>
      <c r="P44" s="263"/>
      <c r="Q44" s="265">
        <f t="shared" si="11"/>
        <v>123.29</v>
      </c>
      <c r="R44" s="267">
        <f t="shared" si="15"/>
        <v>37635.938018795096</v>
      </c>
      <c r="S44" s="268"/>
      <c r="T44" s="269">
        <f>References!$C$10</f>
        <v>4.333333333333333</v>
      </c>
      <c r="U44" s="270">
        <f t="shared" ref="U44:U75" si="17">SUM(K44*T44)*12</f>
        <v>1305.0391244481227</v>
      </c>
      <c r="V44" s="270">
        <f t="shared" si="16"/>
        <v>301.16287487264373</v>
      </c>
    </row>
    <row r="45" spans="1:22" s="26" customFormat="1" ht="12" customHeight="1">
      <c r="A45" s="259" t="s">
        <v>78</v>
      </c>
      <c r="B45" s="259" t="s">
        <v>79</v>
      </c>
      <c r="C45" s="260">
        <v>213.38</v>
      </c>
      <c r="D45" s="261">
        <v>214.33500000000001</v>
      </c>
      <c r="E45" s="262">
        <v>1707.04</v>
      </c>
      <c r="F45" s="262">
        <v>4286.8</v>
      </c>
      <c r="G45" s="262">
        <f t="shared" si="8"/>
        <v>5993.84</v>
      </c>
      <c r="H45" s="263"/>
      <c r="I45" s="262">
        <f t="shared" si="9"/>
        <v>2</v>
      </c>
      <c r="J45" s="262">
        <f t="shared" si="10"/>
        <v>2.5000583199197517</v>
      </c>
      <c r="K45" s="264">
        <f t="shared" si="12"/>
        <v>2.2500291599598761</v>
      </c>
      <c r="L45" s="263"/>
      <c r="M45" s="265">
        <f t="shared" si="13"/>
        <v>32.247653505423422</v>
      </c>
      <c r="N45" s="263"/>
      <c r="O45" s="266">
        <f t="shared" si="14"/>
        <v>870.69792872982021</v>
      </c>
      <c r="P45" s="263"/>
      <c r="Q45" s="265">
        <f t="shared" si="11"/>
        <v>246.58</v>
      </c>
      <c r="R45" s="267">
        <f t="shared" si="15"/>
        <v>6864.5379287298201</v>
      </c>
      <c r="S45" s="268"/>
      <c r="T45" s="269">
        <f>References!$D$10</f>
        <v>8.6666666666666661</v>
      </c>
      <c r="U45" s="270">
        <f t="shared" si="17"/>
        <v>234.00303263582711</v>
      </c>
      <c r="V45" s="270">
        <f t="shared" si="16"/>
        <v>27.000349919518513</v>
      </c>
    </row>
    <row r="46" spans="1:22" s="26" customFormat="1" ht="12" customHeight="1">
      <c r="A46" s="259" t="s">
        <v>80</v>
      </c>
      <c r="B46" s="259" t="s">
        <v>81</v>
      </c>
      <c r="C46" s="260">
        <v>213.38</v>
      </c>
      <c r="D46" s="261">
        <v>214.33500000000001</v>
      </c>
      <c r="E46" s="262">
        <v>2560.56</v>
      </c>
      <c r="F46" s="262">
        <v>5494.25</v>
      </c>
      <c r="G46" s="262">
        <f t="shared" si="8"/>
        <v>8054.8099999999995</v>
      </c>
      <c r="H46" s="263"/>
      <c r="I46" s="262">
        <f t="shared" si="9"/>
        <v>3</v>
      </c>
      <c r="J46" s="262">
        <f t="shared" si="10"/>
        <v>3.204242190962745</v>
      </c>
      <c r="K46" s="264">
        <f t="shared" si="12"/>
        <v>3.1021210954813725</v>
      </c>
      <c r="L46" s="263"/>
      <c r="M46" s="265">
        <f t="shared" si="13"/>
        <v>32.247653505423422</v>
      </c>
      <c r="N46" s="263"/>
      <c r="O46" s="266">
        <f t="shared" si="14"/>
        <v>1200.4335146273738</v>
      </c>
      <c r="P46" s="263"/>
      <c r="Q46" s="265">
        <f t="shared" si="11"/>
        <v>246.58</v>
      </c>
      <c r="R46" s="267">
        <f t="shared" si="15"/>
        <v>9255.2435146273729</v>
      </c>
      <c r="S46" s="268"/>
      <c r="T46" s="269">
        <f>References!$C$9</f>
        <v>8.6666666666666661</v>
      </c>
      <c r="U46" s="270">
        <f t="shared" si="17"/>
        <v>322.62059393006268</v>
      </c>
      <c r="V46" s="270">
        <f t="shared" si="16"/>
        <v>37.22545314577647</v>
      </c>
    </row>
    <row r="47" spans="1:22" s="26" customFormat="1" ht="12" customHeight="1">
      <c r="A47" s="259" t="s">
        <v>82</v>
      </c>
      <c r="B47" s="259" t="s">
        <v>83</v>
      </c>
      <c r="C47" s="260">
        <v>320.07</v>
      </c>
      <c r="D47" s="261">
        <v>321.5025</v>
      </c>
      <c r="E47" s="262">
        <v>0</v>
      </c>
      <c r="F47" s="262">
        <v>1419.96</v>
      </c>
      <c r="G47" s="262">
        <f t="shared" si="8"/>
        <v>1419.96</v>
      </c>
      <c r="H47" s="263"/>
      <c r="I47" s="262">
        <f t="shared" si="9"/>
        <v>0</v>
      </c>
      <c r="J47" s="262">
        <f t="shared" si="10"/>
        <v>0.55207968833834886</v>
      </c>
      <c r="K47" s="264">
        <f t="shared" si="12"/>
        <v>0.55207968833834886</v>
      </c>
      <c r="L47" s="263"/>
      <c r="M47" s="265">
        <f t="shared" si="13"/>
        <v>48.371480258135129</v>
      </c>
      <c r="N47" s="263"/>
      <c r="O47" s="266">
        <f t="shared" si="14"/>
        <v>320.45894094451006</v>
      </c>
      <c r="P47" s="263"/>
      <c r="Q47" s="265">
        <f t="shared" si="11"/>
        <v>369.87</v>
      </c>
      <c r="R47" s="267">
        <f t="shared" si="15"/>
        <v>1740.41894094451</v>
      </c>
      <c r="S47" s="268"/>
      <c r="T47" s="269">
        <f>References!$C$8</f>
        <v>13</v>
      </c>
      <c r="U47" s="270">
        <f t="shared" si="17"/>
        <v>86.124431380782426</v>
      </c>
      <c r="V47" s="270">
        <f t="shared" si="16"/>
        <v>6.6249562600601859</v>
      </c>
    </row>
    <row r="48" spans="1:22" s="26" customFormat="1" ht="12" customHeight="1">
      <c r="A48" s="259" t="s">
        <v>84</v>
      </c>
      <c r="B48" s="259" t="s">
        <v>85</v>
      </c>
      <c r="C48" s="260">
        <v>53.47</v>
      </c>
      <c r="D48" s="261">
        <v>53.707499999999996</v>
      </c>
      <c r="E48" s="262">
        <v>3446.4100000000003</v>
      </c>
      <c r="F48" s="262">
        <v>9448.4600000000009</v>
      </c>
      <c r="G48" s="262">
        <f t="shared" si="8"/>
        <v>12894.87</v>
      </c>
      <c r="H48" s="263"/>
      <c r="I48" s="262">
        <f t="shared" si="9"/>
        <v>16.113755376846832</v>
      </c>
      <c r="J48" s="262">
        <f t="shared" si="10"/>
        <v>21.990550667970027</v>
      </c>
      <c r="K48" s="264">
        <f t="shared" si="12"/>
        <v>19.052153022408429</v>
      </c>
      <c r="L48" s="263"/>
      <c r="M48" s="265">
        <f t="shared" si="13"/>
        <v>8.0805321139455906</v>
      </c>
      <c r="N48" s="263"/>
      <c r="O48" s="266">
        <f t="shared" si="14"/>
        <v>1847.4184120485224</v>
      </c>
      <c r="P48" s="263"/>
      <c r="Q48" s="265">
        <f t="shared" si="11"/>
        <v>61.79</v>
      </c>
      <c r="R48" s="267">
        <f t="shared" si="15"/>
        <v>14742.288412048523</v>
      </c>
      <c r="S48" s="268"/>
      <c r="T48" s="269">
        <f>References!$C$11</f>
        <v>2.1666666666666665</v>
      </c>
      <c r="U48" s="270">
        <f t="shared" si="17"/>
        <v>495.35597858261912</v>
      </c>
      <c r="V48" s="270">
        <f t="shared" si="16"/>
        <v>228.62583626890114</v>
      </c>
    </row>
    <row r="49" spans="1:22" s="26" customFormat="1" ht="12" customHeight="1">
      <c r="A49" s="271" t="s">
        <v>86</v>
      </c>
      <c r="B49" s="271" t="s">
        <v>87</v>
      </c>
      <c r="C49" s="272">
        <v>139.38</v>
      </c>
      <c r="D49" s="273">
        <v>139.9889</v>
      </c>
      <c r="E49" s="274">
        <v>21627.810000000005</v>
      </c>
      <c r="F49" s="274">
        <v>48175.14</v>
      </c>
      <c r="G49" s="274">
        <f t="shared" si="8"/>
        <v>69802.950000000012</v>
      </c>
      <c r="H49" s="275"/>
      <c r="I49" s="274">
        <f t="shared" si="9"/>
        <v>38.792886353852786</v>
      </c>
      <c r="J49" s="274">
        <f t="shared" si="10"/>
        <v>43.016928485044168</v>
      </c>
      <c r="K49" s="276">
        <f t="shared" si="12"/>
        <v>40.904907419448477</v>
      </c>
      <c r="L49" s="275"/>
      <c r="M49" s="277">
        <f t="shared" si="13"/>
        <v>21.061952279400792</v>
      </c>
      <c r="N49" s="275"/>
      <c r="O49" s="278">
        <f t="shared" si="14"/>
        <v>10338.446496740775</v>
      </c>
      <c r="P49" s="275"/>
      <c r="Q49" s="277">
        <f t="shared" si="11"/>
        <v>161.05000000000001</v>
      </c>
      <c r="R49" s="279">
        <f t="shared" si="15"/>
        <v>80141.396496740781</v>
      </c>
      <c r="S49" s="280"/>
      <c r="T49" s="281">
        <f>References!$C$10</f>
        <v>4.333333333333333</v>
      </c>
      <c r="U49" s="282">
        <f t="shared" si="17"/>
        <v>2127.0551858113208</v>
      </c>
      <c r="V49" s="282">
        <f t="shared" si="16"/>
        <v>490.85888903338173</v>
      </c>
    </row>
    <row r="50" spans="1:22" s="26" customFormat="1" ht="12" customHeight="1">
      <c r="A50" s="271" t="s">
        <v>88</v>
      </c>
      <c r="B50" s="271" t="s">
        <v>89</v>
      </c>
      <c r="C50" s="272">
        <v>278.77</v>
      </c>
      <c r="D50" s="273">
        <v>279.9778</v>
      </c>
      <c r="E50" s="274">
        <v>3002.0899999999997</v>
      </c>
      <c r="F50" s="274">
        <v>11127.11</v>
      </c>
      <c r="G50" s="274">
        <f t="shared" si="8"/>
        <v>14129.2</v>
      </c>
      <c r="H50" s="275"/>
      <c r="I50" s="274">
        <f t="shared" si="9"/>
        <v>2.6922642321627146</v>
      </c>
      <c r="J50" s="274">
        <f t="shared" si="10"/>
        <v>4.9678537012577424</v>
      </c>
      <c r="K50" s="276">
        <f t="shared" si="12"/>
        <v>3.8300589667102285</v>
      </c>
      <c r="L50" s="275"/>
      <c r="M50" s="277">
        <f t="shared" si="13"/>
        <v>42.123904558801584</v>
      </c>
      <c r="N50" s="275"/>
      <c r="O50" s="278">
        <f t="shared" si="14"/>
        <v>1936.0444604194067</v>
      </c>
      <c r="P50" s="275"/>
      <c r="Q50" s="277">
        <f t="shared" si="11"/>
        <v>322.10000000000002</v>
      </c>
      <c r="R50" s="279">
        <f t="shared" si="15"/>
        <v>16065.244460419408</v>
      </c>
      <c r="S50" s="280"/>
      <c r="T50" s="281">
        <f>References!$D$10</f>
        <v>8.6666666666666661</v>
      </c>
      <c r="U50" s="282">
        <f t="shared" si="17"/>
        <v>398.32613253786371</v>
      </c>
      <c r="V50" s="282">
        <f t="shared" si="16"/>
        <v>45.960707600522738</v>
      </c>
    </row>
    <row r="51" spans="1:22" s="26" customFormat="1" ht="12" customHeight="1">
      <c r="A51" s="271" t="s">
        <v>90</v>
      </c>
      <c r="B51" s="271" t="s">
        <v>91</v>
      </c>
      <c r="C51" s="272">
        <v>418.15</v>
      </c>
      <c r="D51" s="273">
        <v>419.9667</v>
      </c>
      <c r="E51" s="274">
        <v>1672.6</v>
      </c>
      <c r="F51" s="274">
        <v>7453.5700000000006</v>
      </c>
      <c r="G51" s="274">
        <f t="shared" si="8"/>
        <v>9126.17</v>
      </c>
      <c r="H51" s="275"/>
      <c r="I51" s="274">
        <f t="shared" si="9"/>
        <v>1</v>
      </c>
      <c r="J51" s="274">
        <f t="shared" si="10"/>
        <v>2.2185003001428449</v>
      </c>
      <c r="K51" s="276">
        <f t="shared" si="12"/>
        <v>1.6092501500714225</v>
      </c>
      <c r="L51" s="275"/>
      <c r="M51" s="277">
        <f t="shared" si="13"/>
        <v>63.185856838202369</v>
      </c>
      <c r="N51" s="275"/>
      <c r="O51" s="278">
        <f t="shared" si="14"/>
        <v>1220.1821951912229</v>
      </c>
      <c r="P51" s="275"/>
      <c r="Q51" s="277">
        <f t="shared" si="11"/>
        <v>483.15</v>
      </c>
      <c r="R51" s="279">
        <f t="shared" si="15"/>
        <v>10346.352195191223</v>
      </c>
      <c r="S51" s="280"/>
      <c r="T51" s="281">
        <f>References!E10</f>
        <v>13</v>
      </c>
      <c r="U51" s="282">
        <f t="shared" si="17"/>
        <v>251.04302341114192</v>
      </c>
      <c r="V51" s="282">
        <f t="shared" si="16"/>
        <v>19.311001800857071</v>
      </c>
    </row>
    <row r="52" spans="1:22" s="26" customFormat="1" ht="12" customHeight="1">
      <c r="A52" s="271" t="s">
        <v>92</v>
      </c>
      <c r="B52" s="271" t="s">
        <v>93</v>
      </c>
      <c r="C52" s="272">
        <v>557.53</v>
      </c>
      <c r="D52" s="273">
        <v>559.9556</v>
      </c>
      <c r="E52" s="274">
        <v>2230.12</v>
      </c>
      <c r="F52" s="274">
        <v>8959.36</v>
      </c>
      <c r="G52" s="274">
        <f t="shared" si="8"/>
        <v>11189.48</v>
      </c>
      <c r="H52" s="275"/>
      <c r="I52" s="274">
        <f t="shared" si="9"/>
        <v>1</v>
      </c>
      <c r="J52" s="274">
        <f t="shared" si="10"/>
        <v>2.0000157155317315</v>
      </c>
      <c r="K52" s="276">
        <f t="shared" si="12"/>
        <v>1.5000078577658658</v>
      </c>
      <c r="L52" s="275"/>
      <c r="M52" s="277">
        <f t="shared" si="13"/>
        <v>84.247809117603168</v>
      </c>
      <c r="N52" s="275"/>
      <c r="O52" s="278">
        <f t="shared" si="14"/>
        <v>1516.468508111562</v>
      </c>
      <c r="P52" s="275"/>
      <c r="Q52" s="277">
        <f t="shared" si="11"/>
        <v>644.20000000000005</v>
      </c>
      <c r="R52" s="279">
        <f t="shared" si="15"/>
        <v>12705.948508111562</v>
      </c>
      <c r="S52" s="280"/>
      <c r="T52" s="281">
        <f>References!F10</f>
        <v>17.333333333333332</v>
      </c>
      <c r="U52" s="282">
        <f t="shared" si="17"/>
        <v>312.00163441530003</v>
      </c>
      <c r="V52" s="282">
        <f t="shared" si="16"/>
        <v>18.00009429319039</v>
      </c>
    </row>
    <row r="53" spans="1:22" s="26" customFormat="1" ht="12" customHeight="1">
      <c r="A53" s="271" t="s">
        <v>94</v>
      </c>
      <c r="B53" s="271" t="s">
        <v>95</v>
      </c>
      <c r="C53" s="272">
        <v>975.68</v>
      </c>
      <c r="D53" s="273">
        <v>979.92230000000006</v>
      </c>
      <c r="E53" s="274">
        <v>3902.72</v>
      </c>
      <c r="F53" s="274">
        <v>7839.36</v>
      </c>
      <c r="G53" s="274">
        <f t="shared" si="8"/>
        <v>11742.08</v>
      </c>
      <c r="H53" s="275"/>
      <c r="I53" s="274">
        <f t="shared" si="9"/>
        <v>1</v>
      </c>
      <c r="J53" s="274">
        <f t="shared" si="10"/>
        <v>0.99999765287513087</v>
      </c>
      <c r="K53" s="276">
        <f t="shared" si="12"/>
        <v>0.99999882643756544</v>
      </c>
      <c r="L53" s="275"/>
      <c r="M53" s="277">
        <f t="shared" si="13"/>
        <v>147.43366595580554</v>
      </c>
      <c r="N53" s="275"/>
      <c r="O53" s="278">
        <f t="shared" si="14"/>
        <v>1769.2019151983229</v>
      </c>
      <c r="P53" s="275"/>
      <c r="Q53" s="277">
        <f t="shared" si="11"/>
        <v>1127.3599999999999</v>
      </c>
      <c r="R53" s="279">
        <f t="shared" si="15"/>
        <v>13511.281915198322</v>
      </c>
      <c r="S53" s="280"/>
      <c r="T53" s="281">
        <f>References!I10</f>
        <v>30.333333333333332</v>
      </c>
      <c r="U53" s="282">
        <f t="shared" si="17"/>
        <v>363.99957282327381</v>
      </c>
      <c r="V53" s="282">
        <f t="shared" si="16"/>
        <v>11.999985917250786</v>
      </c>
    </row>
    <row r="54" spans="1:22" s="26" customFormat="1" ht="12" customHeight="1">
      <c r="A54" s="271" t="s">
        <v>96</v>
      </c>
      <c r="B54" s="271" t="s">
        <v>97</v>
      </c>
      <c r="C54" s="272">
        <v>278.77</v>
      </c>
      <c r="D54" s="273">
        <v>279.9778</v>
      </c>
      <c r="E54" s="274">
        <v>7805.5599999999995</v>
      </c>
      <c r="F54" s="274">
        <v>18148.150000000001</v>
      </c>
      <c r="G54" s="274">
        <f t="shared" si="8"/>
        <v>25953.71</v>
      </c>
      <c r="H54" s="275"/>
      <c r="I54" s="274">
        <f t="shared" si="9"/>
        <v>7</v>
      </c>
      <c r="J54" s="274">
        <f t="shared" si="10"/>
        <v>8.10249509068219</v>
      </c>
      <c r="K54" s="276">
        <f t="shared" si="12"/>
        <v>7.551247545341095</v>
      </c>
      <c r="L54" s="275"/>
      <c r="M54" s="277">
        <f t="shared" si="13"/>
        <v>42.123904558801584</v>
      </c>
      <c r="N54" s="275"/>
      <c r="O54" s="278">
        <f t="shared" si="14"/>
        <v>3817.0563707979964</v>
      </c>
      <c r="P54" s="275"/>
      <c r="Q54" s="277">
        <f t="shared" si="11"/>
        <v>322.10000000000002</v>
      </c>
      <c r="R54" s="279">
        <f t="shared" si="15"/>
        <v>29770.766370797995</v>
      </c>
      <c r="S54" s="280"/>
      <c r="T54" s="281">
        <f>References!$C$9</f>
        <v>8.6666666666666661</v>
      </c>
      <c r="U54" s="282">
        <f t="shared" si="17"/>
        <v>785.32974471547391</v>
      </c>
      <c r="V54" s="282">
        <f t="shared" si="16"/>
        <v>90.61497054409314</v>
      </c>
    </row>
    <row r="55" spans="1:22" s="26" customFormat="1" ht="12" customHeight="1">
      <c r="A55" s="271" t="s">
        <v>98</v>
      </c>
      <c r="B55" s="271" t="s">
        <v>99</v>
      </c>
      <c r="C55" s="272">
        <v>557.53</v>
      </c>
      <c r="D55" s="273">
        <v>559.9556</v>
      </c>
      <c r="E55" s="274">
        <v>2230.12</v>
      </c>
      <c r="F55" s="274">
        <v>4479.68</v>
      </c>
      <c r="G55" s="274">
        <f t="shared" si="8"/>
        <v>6709.8</v>
      </c>
      <c r="H55" s="275"/>
      <c r="I55" s="274">
        <f t="shared" si="9"/>
        <v>1</v>
      </c>
      <c r="J55" s="274">
        <f t="shared" si="10"/>
        <v>1.0000078577658658</v>
      </c>
      <c r="K55" s="276">
        <f t="shared" si="12"/>
        <v>1.0000039288829328</v>
      </c>
      <c r="L55" s="275"/>
      <c r="M55" s="277">
        <f t="shared" si="13"/>
        <v>84.247809117603168</v>
      </c>
      <c r="N55" s="275"/>
      <c r="O55" s="278">
        <f t="shared" si="14"/>
        <v>1010.9776814085903</v>
      </c>
      <c r="P55" s="275"/>
      <c r="Q55" s="277">
        <f t="shared" si="11"/>
        <v>644.20000000000005</v>
      </c>
      <c r="R55" s="279">
        <f t="shared" si="15"/>
        <v>7720.7776814085901</v>
      </c>
      <c r="S55" s="280"/>
      <c r="T55" s="281">
        <f>References!D9</f>
        <v>17.333333333333332</v>
      </c>
      <c r="U55" s="282">
        <f t="shared" si="17"/>
        <v>208.00081720765002</v>
      </c>
      <c r="V55" s="282">
        <f t="shared" si="16"/>
        <v>12.000047146595193</v>
      </c>
    </row>
    <row r="56" spans="1:22" s="26" customFormat="1" ht="12" customHeight="1">
      <c r="A56" s="271" t="s">
        <v>100</v>
      </c>
      <c r="B56" s="271" t="s">
        <v>101</v>
      </c>
      <c r="C56" s="272">
        <v>1951.36</v>
      </c>
      <c r="D56" s="273">
        <v>1959.8446000000001</v>
      </c>
      <c r="E56" s="274">
        <v>7805.44</v>
      </c>
      <c r="F56" s="274">
        <v>15678.72</v>
      </c>
      <c r="G56" s="274">
        <f t="shared" si="8"/>
        <v>23484.16</v>
      </c>
      <c r="H56" s="275"/>
      <c r="I56" s="274">
        <f t="shared" si="9"/>
        <v>1</v>
      </c>
      <c r="J56" s="274">
        <f t="shared" si="10"/>
        <v>0.99999765287513087</v>
      </c>
      <c r="K56" s="276">
        <f t="shared" si="12"/>
        <v>0.99999882643756544</v>
      </c>
      <c r="L56" s="275"/>
      <c r="M56" s="277">
        <f t="shared" si="13"/>
        <v>294.86733191161107</v>
      </c>
      <c r="N56" s="275"/>
      <c r="O56" s="278">
        <f t="shared" si="14"/>
        <v>3538.4038303966458</v>
      </c>
      <c r="P56" s="275"/>
      <c r="Q56" s="277">
        <f t="shared" si="11"/>
        <v>2254.71</v>
      </c>
      <c r="R56" s="279">
        <f t="shared" si="15"/>
        <v>27022.563830396644</v>
      </c>
      <c r="S56" s="280"/>
      <c r="T56" s="281">
        <f>References!I9</f>
        <v>60.666666666666664</v>
      </c>
      <c r="U56" s="282">
        <f t="shared" si="17"/>
        <v>727.99914564654762</v>
      </c>
      <c r="V56" s="282">
        <f t="shared" si="16"/>
        <v>11.999985917250786</v>
      </c>
    </row>
    <row r="57" spans="1:22" s="26" customFormat="1" ht="12" customHeight="1">
      <c r="A57" s="271" t="s">
        <v>102</v>
      </c>
      <c r="B57" s="271" t="s">
        <v>103</v>
      </c>
      <c r="C57" s="272">
        <v>418.15</v>
      </c>
      <c r="D57" s="273">
        <v>419.9667</v>
      </c>
      <c r="E57" s="274">
        <v>8363</v>
      </c>
      <c r="F57" s="274">
        <v>14082.990000000002</v>
      </c>
      <c r="G57" s="274">
        <f t="shared" si="8"/>
        <v>22445.99</v>
      </c>
      <c r="H57" s="275"/>
      <c r="I57" s="274">
        <f t="shared" si="9"/>
        <v>5</v>
      </c>
      <c r="J57" s="274">
        <f t="shared" si="10"/>
        <v>4.1916984132313351</v>
      </c>
      <c r="K57" s="276">
        <f t="shared" si="12"/>
        <v>4.595849206615668</v>
      </c>
      <c r="L57" s="275"/>
      <c r="M57" s="277">
        <f t="shared" si="13"/>
        <v>63.185856838202369</v>
      </c>
      <c r="N57" s="275"/>
      <c r="O57" s="278">
        <f t="shared" si="14"/>
        <v>3484.7120402302025</v>
      </c>
      <c r="P57" s="275"/>
      <c r="Q57" s="277">
        <f t="shared" si="11"/>
        <v>483.15</v>
      </c>
      <c r="R57" s="279">
        <f t="shared" si="15"/>
        <v>25930.702040230204</v>
      </c>
      <c r="S57" s="280"/>
      <c r="T57" s="281">
        <f>References!$C$8</f>
        <v>13</v>
      </c>
      <c r="U57" s="282">
        <f t="shared" si="17"/>
        <v>716.95247623204421</v>
      </c>
      <c r="V57" s="282">
        <f t="shared" si="16"/>
        <v>55.150190479388016</v>
      </c>
    </row>
    <row r="58" spans="1:22" s="26" customFormat="1" ht="12" customHeight="1">
      <c r="A58" s="271" t="s">
        <v>104</v>
      </c>
      <c r="B58" s="271" t="s">
        <v>105</v>
      </c>
      <c r="C58" s="272">
        <v>836.3</v>
      </c>
      <c r="D58" s="273">
        <v>839.93340000000001</v>
      </c>
      <c r="E58" s="274">
        <v>6690.4</v>
      </c>
      <c r="F58" s="274">
        <v>13438.88</v>
      </c>
      <c r="G58" s="274">
        <f t="shared" si="8"/>
        <v>20129.28</v>
      </c>
      <c r="H58" s="275"/>
      <c r="I58" s="274">
        <f t="shared" si="9"/>
        <v>2</v>
      </c>
      <c r="J58" s="274">
        <f t="shared" si="10"/>
        <v>1.9999919041200169</v>
      </c>
      <c r="K58" s="276">
        <f t="shared" si="12"/>
        <v>1.9999959520600084</v>
      </c>
      <c r="L58" s="275"/>
      <c r="M58" s="277">
        <f t="shared" si="13"/>
        <v>126.37171367640474</v>
      </c>
      <c r="N58" s="275"/>
      <c r="O58" s="278">
        <f t="shared" si="14"/>
        <v>3032.9149896923504</v>
      </c>
      <c r="P58" s="275"/>
      <c r="Q58" s="277">
        <f t="shared" si="11"/>
        <v>966.31</v>
      </c>
      <c r="R58" s="279">
        <f t="shared" si="15"/>
        <v>23162.194989692351</v>
      </c>
      <c r="S58" s="280"/>
      <c r="T58" s="281">
        <f>References!D8</f>
        <v>26</v>
      </c>
      <c r="U58" s="282">
        <f t="shared" si="17"/>
        <v>623.99873704272261</v>
      </c>
      <c r="V58" s="282">
        <f t="shared" si="16"/>
        <v>23.999951424720102</v>
      </c>
    </row>
    <row r="59" spans="1:22" s="26" customFormat="1" ht="12" customHeight="1">
      <c r="A59" s="271" t="s">
        <v>106</v>
      </c>
      <c r="B59" s="271" t="s">
        <v>107</v>
      </c>
      <c r="C59" s="272">
        <v>557.53</v>
      </c>
      <c r="D59" s="273">
        <v>559.9556</v>
      </c>
      <c r="E59" s="274">
        <v>2230.12</v>
      </c>
      <c r="F59" s="274">
        <v>4479.68</v>
      </c>
      <c r="G59" s="274">
        <f t="shared" si="8"/>
        <v>6709.8</v>
      </c>
      <c r="H59" s="275"/>
      <c r="I59" s="274">
        <f t="shared" si="9"/>
        <v>1</v>
      </c>
      <c r="J59" s="274">
        <f t="shared" si="10"/>
        <v>1.0000078577658658</v>
      </c>
      <c r="K59" s="276">
        <f t="shared" si="12"/>
        <v>1.0000039288829328</v>
      </c>
      <c r="L59" s="275"/>
      <c r="M59" s="277">
        <f t="shared" si="13"/>
        <v>84.247809117603168</v>
      </c>
      <c r="N59" s="275"/>
      <c r="O59" s="278">
        <f t="shared" si="14"/>
        <v>1010.9776814085903</v>
      </c>
      <c r="P59" s="275"/>
      <c r="Q59" s="277">
        <f t="shared" si="11"/>
        <v>644.20000000000005</v>
      </c>
      <c r="R59" s="279">
        <f t="shared" si="15"/>
        <v>7720.7776814085901</v>
      </c>
      <c r="S59" s="280"/>
      <c r="T59" s="281">
        <f>References!C7</f>
        <v>17.333333333333332</v>
      </c>
      <c r="U59" s="282">
        <f t="shared" si="17"/>
        <v>208.00081720765002</v>
      </c>
      <c r="V59" s="282">
        <f t="shared" si="16"/>
        <v>12.000047146595193</v>
      </c>
    </row>
    <row r="60" spans="1:22" s="26" customFormat="1" ht="12" customHeight="1">
      <c r="A60" s="271" t="s">
        <v>108</v>
      </c>
      <c r="B60" s="271" t="s">
        <v>109</v>
      </c>
      <c r="C60" s="272">
        <v>69.849999999999994</v>
      </c>
      <c r="D60" s="273">
        <v>70.156099999999995</v>
      </c>
      <c r="E60" s="274">
        <v>3565.0999999999995</v>
      </c>
      <c r="F60" s="274">
        <v>7887.07</v>
      </c>
      <c r="G60" s="274">
        <f t="shared" si="8"/>
        <v>11452.169999999998</v>
      </c>
      <c r="H60" s="275"/>
      <c r="I60" s="274">
        <f t="shared" si="9"/>
        <v>12.759842519685039</v>
      </c>
      <c r="J60" s="274">
        <f t="shared" si="10"/>
        <v>14.052716014715756</v>
      </c>
      <c r="K60" s="276">
        <f t="shared" si="12"/>
        <v>13.406279267200397</v>
      </c>
      <c r="L60" s="275"/>
      <c r="M60" s="277">
        <f t="shared" si="13"/>
        <v>10.555297100762058</v>
      </c>
      <c r="N60" s="275"/>
      <c r="O60" s="278">
        <f t="shared" si="14"/>
        <v>1698.0871281730419</v>
      </c>
      <c r="P60" s="275"/>
      <c r="Q60" s="277">
        <f t="shared" si="11"/>
        <v>80.709999999999994</v>
      </c>
      <c r="R60" s="279">
        <f t="shared" si="15"/>
        <v>13150.25712817304</v>
      </c>
      <c r="S60" s="280"/>
      <c r="T60" s="281">
        <f>References!$C$11</f>
        <v>2.1666666666666665</v>
      </c>
      <c r="U60" s="282">
        <f t="shared" si="17"/>
        <v>348.56326094721027</v>
      </c>
      <c r="V60" s="282">
        <f t="shared" si="16"/>
        <v>160.87535120640476</v>
      </c>
    </row>
    <row r="61" spans="1:22" s="26" customFormat="1" ht="12" customHeight="1">
      <c r="A61" s="22" t="s">
        <v>110</v>
      </c>
      <c r="B61" s="22" t="s">
        <v>111</v>
      </c>
      <c r="C61" s="35">
        <v>234.51</v>
      </c>
      <c r="D61" s="30">
        <v>235.68190000000001</v>
      </c>
      <c r="E61" s="31">
        <v>1876.08</v>
      </c>
      <c r="F61" s="31">
        <v>3762.69</v>
      </c>
      <c r="G61" s="31">
        <f t="shared" si="8"/>
        <v>5638.77</v>
      </c>
      <c r="H61" s="2"/>
      <c r="I61" s="31">
        <f t="shared" si="9"/>
        <v>2</v>
      </c>
      <c r="J61" s="31">
        <f t="shared" si="10"/>
        <v>1.9956400979455782</v>
      </c>
      <c r="K61" s="36">
        <f t="shared" si="12"/>
        <v>1.9978200489727891</v>
      </c>
      <c r="L61" s="2"/>
      <c r="M61" s="37">
        <f t="shared" si="13"/>
        <v>35.459389501014073</v>
      </c>
      <c r="N61" s="24"/>
      <c r="O61" s="25">
        <f t="shared" si="14"/>
        <v>850.09775123353359</v>
      </c>
      <c r="P61" s="24"/>
      <c r="Q61" s="32">
        <f t="shared" si="11"/>
        <v>271.14</v>
      </c>
      <c r="R61" s="38">
        <f t="shared" si="15"/>
        <v>6488.8677512335344</v>
      </c>
      <c r="T61" s="162">
        <f>References!$C$10</f>
        <v>4.333333333333333</v>
      </c>
      <c r="U61" s="120">
        <f t="shared" si="17"/>
        <v>103.88664254658502</v>
      </c>
      <c r="V61" s="120">
        <f t="shared" si="16"/>
        <v>23.973840587673468</v>
      </c>
    </row>
    <row r="62" spans="1:22" s="26" customFormat="1" ht="12" customHeight="1">
      <c r="A62" s="22" t="s">
        <v>112</v>
      </c>
      <c r="B62" s="22" t="s">
        <v>113</v>
      </c>
      <c r="C62" s="35">
        <v>117.53</v>
      </c>
      <c r="D62" s="30">
        <v>118.11309999999999</v>
      </c>
      <c r="E62" s="31">
        <v>397.04</v>
      </c>
      <c r="F62" s="31">
        <v>794.08</v>
      </c>
      <c r="G62" s="31">
        <f t="shared" si="8"/>
        <v>1191.1200000000001</v>
      </c>
      <c r="H62" s="2"/>
      <c r="I62" s="31">
        <f t="shared" si="9"/>
        <v>0.84455032757593806</v>
      </c>
      <c r="J62" s="31">
        <f t="shared" si="10"/>
        <v>0.84038095689639858</v>
      </c>
      <c r="K62" s="36"/>
      <c r="L62" s="2"/>
      <c r="M62" s="37">
        <f t="shared" si="13"/>
        <v>17.770640927759938</v>
      </c>
      <c r="N62" s="24"/>
      <c r="O62" s="25">
        <f t="shared" si="14"/>
        <v>0</v>
      </c>
      <c r="P62" s="24"/>
      <c r="Q62" s="32">
        <f t="shared" si="11"/>
        <v>135.88</v>
      </c>
      <c r="R62" s="38">
        <f t="shared" si="15"/>
        <v>1191.1200000000001</v>
      </c>
      <c r="T62" s="162">
        <f>References!$C$11</f>
        <v>2.1666666666666665</v>
      </c>
      <c r="U62" s="120">
        <f t="shared" si="17"/>
        <v>0</v>
      </c>
      <c r="V62" s="120">
        <f t="shared" si="16"/>
        <v>0</v>
      </c>
    </row>
    <row r="63" spans="1:22" s="26" customFormat="1" ht="12" customHeight="1">
      <c r="A63" s="259" t="s">
        <v>114</v>
      </c>
      <c r="B63" s="259" t="s">
        <v>115</v>
      </c>
      <c r="C63" s="260">
        <v>34.130000000000003</v>
      </c>
      <c r="D63" s="261">
        <v>34.24</v>
      </c>
      <c r="E63" s="262">
        <v>0</v>
      </c>
      <c r="F63" s="262">
        <v>34.24</v>
      </c>
      <c r="G63" s="262">
        <f>SUM(E63:F63)</f>
        <v>34.24</v>
      </c>
      <c r="H63" s="263"/>
      <c r="I63" s="262">
        <f>IFERROR(E63/($C63),0)/4</f>
        <v>0</v>
      </c>
      <c r="J63" s="262">
        <f>IFERROR(F63/($D63),0)/8</f>
        <v>0.125</v>
      </c>
      <c r="K63" s="264">
        <f>IFERROR(AVERAGEIF(I63:J63,"&lt;&gt;0"),0)</f>
        <v>0.125</v>
      </c>
      <c r="L63" s="263"/>
      <c r="M63" s="265">
        <f t="shared" si="13"/>
        <v>5.1515602026066576</v>
      </c>
      <c r="N63" s="263"/>
      <c r="O63" s="266">
        <f t="shared" si="14"/>
        <v>7.7273403039099868</v>
      </c>
      <c r="P63" s="263"/>
      <c r="Q63" s="265">
        <f t="shared" si="11"/>
        <v>39.39</v>
      </c>
      <c r="R63" s="267">
        <f t="shared" si="15"/>
        <v>41.967340303909992</v>
      </c>
      <c r="S63" s="268"/>
      <c r="T63" s="269">
        <f>References!$C$12</f>
        <v>1</v>
      </c>
      <c r="U63" s="270">
        <f t="shared" si="17"/>
        <v>1.5</v>
      </c>
      <c r="V63" s="270">
        <f t="shared" si="16"/>
        <v>1.5</v>
      </c>
    </row>
    <row r="64" spans="1:22" s="26" customFormat="1" ht="12" customHeight="1">
      <c r="A64" s="247" t="s">
        <v>116</v>
      </c>
      <c r="B64" s="247" t="s">
        <v>117</v>
      </c>
      <c r="C64" s="248">
        <v>23.2</v>
      </c>
      <c r="D64" s="249">
        <v>23.28</v>
      </c>
      <c r="E64" s="250">
        <v>92.8</v>
      </c>
      <c r="F64" s="250">
        <v>186.24</v>
      </c>
      <c r="G64" s="250">
        <f>SUM(E64:F64)</f>
        <v>279.04000000000002</v>
      </c>
      <c r="H64" s="251"/>
      <c r="I64" s="250">
        <f>IFERROR(E64/($C64),0)/4</f>
        <v>1</v>
      </c>
      <c r="J64" s="250">
        <f>IFERROR(F64/($D64),0)/8</f>
        <v>1</v>
      </c>
      <c r="K64" s="252">
        <f>IFERROR(AVERAGEIF(I64:J64,"&lt;&gt;0"),0)</f>
        <v>1</v>
      </c>
      <c r="L64" s="251"/>
      <c r="M64" s="253">
        <f t="shared" si="13"/>
        <v>3.5025794835479842</v>
      </c>
      <c r="N64" s="251"/>
      <c r="O64" s="254">
        <f t="shared" si="14"/>
        <v>42.030953802575809</v>
      </c>
      <c r="P64" s="251"/>
      <c r="Q64" s="253">
        <f t="shared" si="11"/>
        <v>26.78</v>
      </c>
      <c r="R64" s="255">
        <f t="shared" si="15"/>
        <v>321.07095380257584</v>
      </c>
      <c r="S64" s="256"/>
      <c r="T64" s="257">
        <f>References!$C$12</f>
        <v>1</v>
      </c>
      <c r="U64" s="258">
        <f t="shared" si="17"/>
        <v>12</v>
      </c>
      <c r="V64" s="258">
        <f t="shared" si="16"/>
        <v>12</v>
      </c>
    </row>
    <row r="65" spans="1:22" s="292" customFormat="1" ht="12" customHeight="1">
      <c r="A65" s="283" t="s">
        <v>118</v>
      </c>
      <c r="B65" s="283" t="s">
        <v>119</v>
      </c>
      <c r="C65" s="284">
        <v>19.100000000000001</v>
      </c>
      <c r="D65" s="285">
        <v>19.16</v>
      </c>
      <c r="E65" s="286">
        <v>2984.38</v>
      </c>
      <c r="F65" s="286">
        <v>6339.6100000000006</v>
      </c>
      <c r="G65" s="286">
        <f t="shared" si="8"/>
        <v>9323.9900000000016</v>
      </c>
      <c r="H65" s="287"/>
      <c r="I65" s="286">
        <f t="shared" si="9"/>
        <v>39.062565445026173</v>
      </c>
      <c r="J65" s="286">
        <f t="shared" si="10"/>
        <v>41.359668580375789</v>
      </c>
      <c r="K65" s="288">
        <f t="shared" ref="K65:K101" si="18">IFERROR(AVERAGEIF(I65:J65,"&lt;&gt;0"),0)</f>
        <v>40.211117012700981</v>
      </c>
      <c r="L65" s="287"/>
      <c r="M65" s="289">
        <f t="shared" si="13"/>
        <v>2.8827071694492861</v>
      </c>
      <c r="N65" s="287"/>
      <c r="O65" s="290">
        <f t="shared" si="14"/>
        <v>1391.0025036489274</v>
      </c>
      <c r="P65" s="287"/>
      <c r="Q65" s="289">
        <f t="shared" si="11"/>
        <v>22.04</v>
      </c>
      <c r="R65" s="291">
        <f t="shared" si="15"/>
        <v>10714.992503648929</v>
      </c>
      <c r="T65" s="293">
        <f>References!$C$10</f>
        <v>4.333333333333333</v>
      </c>
      <c r="U65" s="294">
        <f t="shared" si="17"/>
        <v>2090.9780846604508</v>
      </c>
      <c r="V65" s="294">
        <f t="shared" si="16"/>
        <v>482.53340415241178</v>
      </c>
    </row>
    <row r="66" spans="1:22" s="292" customFormat="1" ht="12" customHeight="1">
      <c r="A66" s="283" t="s">
        <v>120</v>
      </c>
      <c r="B66" s="283" t="s">
        <v>26</v>
      </c>
      <c r="C66" s="284">
        <v>38.19</v>
      </c>
      <c r="D66" s="285">
        <v>38.277200000000001</v>
      </c>
      <c r="E66" s="286">
        <v>1069.32</v>
      </c>
      <c r="F66" s="286">
        <v>2308.2600000000002</v>
      </c>
      <c r="G66" s="286">
        <f t="shared" si="8"/>
        <v>3377.58</v>
      </c>
      <c r="H66" s="287"/>
      <c r="I66" s="286">
        <f t="shared" si="9"/>
        <v>7</v>
      </c>
      <c r="J66" s="286">
        <f t="shared" si="10"/>
        <v>7.5379729969799261</v>
      </c>
      <c r="K66" s="288">
        <f t="shared" si="18"/>
        <v>7.268986498489963</v>
      </c>
      <c r="L66" s="287"/>
      <c r="M66" s="289">
        <f t="shared" si="13"/>
        <v>5.758974888645314</v>
      </c>
      <c r="N66" s="287"/>
      <c r="O66" s="290">
        <f t="shared" si="14"/>
        <v>502.34292852846625</v>
      </c>
      <c r="P66" s="287"/>
      <c r="Q66" s="289">
        <f t="shared" si="11"/>
        <v>44.04</v>
      </c>
      <c r="R66" s="291">
        <f t="shared" si="15"/>
        <v>3879.9229285284664</v>
      </c>
      <c r="T66" s="293">
        <f>References!$D$10</f>
        <v>8.6666666666666661</v>
      </c>
      <c r="U66" s="294">
        <f t="shared" si="17"/>
        <v>755.97459584295609</v>
      </c>
      <c r="V66" s="294">
        <f t="shared" si="16"/>
        <v>87.22783798187956</v>
      </c>
    </row>
    <row r="67" spans="1:22" s="292" customFormat="1" ht="12" customHeight="1">
      <c r="A67" s="283" t="s">
        <v>121</v>
      </c>
      <c r="B67" s="283" t="s">
        <v>28</v>
      </c>
      <c r="C67" s="284">
        <v>57.29</v>
      </c>
      <c r="D67" s="285">
        <v>57.415799999999997</v>
      </c>
      <c r="E67" s="286">
        <v>0</v>
      </c>
      <c r="F67" s="286">
        <v>195.66</v>
      </c>
      <c r="G67" s="286">
        <f t="shared" si="8"/>
        <v>195.66</v>
      </c>
      <c r="H67" s="287"/>
      <c r="I67" s="286">
        <f t="shared" si="9"/>
        <v>0</v>
      </c>
      <c r="J67" s="286">
        <f t="shared" si="10"/>
        <v>0.42597159666851286</v>
      </c>
      <c r="K67" s="288">
        <f t="shared" si="18"/>
        <v>0.42597159666851286</v>
      </c>
      <c r="L67" s="287"/>
      <c r="M67" s="289">
        <f t="shared" si="13"/>
        <v>8.6384623329679702</v>
      </c>
      <c r="N67" s="287"/>
      <c r="O67" s="290">
        <f t="shared" si="14"/>
        <v>44.156875112822078</v>
      </c>
      <c r="P67" s="287"/>
      <c r="Q67" s="289">
        <f t="shared" si="11"/>
        <v>66.05</v>
      </c>
      <c r="R67" s="291">
        <f t="shared" si="15"/>
        <v>239.81687511282206</v>
      </c>
      <c r="T67" s="293">
        <f>References!E10</f>
        <v>13</v>
      </c>
      <c r="U67" s="294">
        <f t="shared" si="17"/>
        <v>66.45156908028801</v>
      </c>
      <c r="V67" s="294">
        <f t="shared" si="16"/>
        <v>5.1116591600221541</v>
      </c>
    </row>
    <row r="68" spans="1:22" s="292" customFormat="1" ht="12" customHeight="1">
      <c r="A68" s="283" t="s">
        <v>122</v>
      </c>
      <c r="B68" s="283" t="s">
        <v>123</v>
      </c>
      <c r="C68" s="284">
        <v>76.38</v>
      </c>
      <c r="D68" s="285">
        <v>76.554400000000001</v>
      </c>
      <c r="E68" s="286">
        <v>286.43</v>
      </c>
      <c r="F68" s="286">
        <v>765.5</v>
      </c>
      <c r="G68" s="286">
        <f t="shared" si="8"/>
        <v>1051.93</v>
      </c>
      <c r="H68" s="287"/>
      <c r="I68" s="286">
        <f t="shared" si="9"/>
        <v>0.93751636554071749</v>
      </c>
      <c r="J68" s="286">
        <f t="shared" si="10"/>
        <v>1.2499281556644686</v>
      </c>
      <c r="K68" s="288">
        <f t="shared" si="18"/>
        <v>1.0937222606025929</v>
      </c>
      <c r="L68" s="287"/>
      <c r="M68" s="289">
        <f t="shared" si="13"/>
        <v>11.517949777290628</v>
      </c>
      <c r="N68" s="287"/>
      <c r="O68" s="290">
        <f t="shared" si="14"/>
        <v>151.16925681510526</v>
      </c>
      <c r="P68" s="287"/>
      <c r="Q68" s="289">
        <f t="shared" si="11"/>
        <v>88.07</v>
      </c>
      <c r="R68" s="291">
        <f t="shared" si="15"/>
        <v>1203.0992568151053</v>
      </c>
      <c r="T68" s="293">
        <f>References!F10</f>
        <v>17.333333333333332</v>
      </c>
      <c r="U68" s="294">
        <f t="shared" si="17"/>
        <v>227.49423020533931</v>
      </c>
      <c r="V68" s="294">
        <f t="shared" si="16"/>
        <v>13.124667127231115</v>
      </c>
    </row>
    <row r="69" spans="1:22" s="292" customFormat="1" ht="12" customHeight="1">
      <c r="A69" s="283" t="s">
        <v>124</v>
      </c>
      <c r="B69" s="283" t="s">
        <v>34</v>
      </c>
      <c r="C69" s="284">
        <v>19.100000000000001</v>
      </c>
      <c r="D69" s="285">
        <v>19.16</v>
      </c>
      <c r="E69" s="286">
        <v>0</v>
      </c>
      <c r="F69" s="286">
        <v>320.90000000000003</v>
      </c>
      <c r="G69" s="286">
        <f t="shared" si="8"/>
        <v>320.90000000000003</v>
      </c>
      <c r="H69" s="287"/>
      <c r="I69" s="286">
        <f t="shared" si="9"/>
        <v>0</v>
      </c>
      <c r="J69" s="286">
        <f t="shared" si="10"/>
        <v>2.0935542797494784</v>
      </c>
      <c r="K69" s="288">
        <f t="shared" si="18"/>
        <v>2.0935542797494784</v>
      </c>
      <c r="L69" s="287"/>
      <c r="M69" s="289">
        <f t="shared" si="13"/>
        <v>2.8827071694492861</v>
      </c>
      <c r="N69" s="287"/>
      <c r="O69" s="290">
        <f t="shared" si="14"/>
        <v>72.421247182380682</v>
      </c>
      <c r="P69" s="287"/>
      <c r="Q69" s="289">
        <f t="shared" si="11"/>
        <v>22.04</v>
      </c>
      <c r="R69" s="291">
        <f t="shared" si="15"/>
        <v>393.32124718238072</v>
      </c>
      <c r="T69" s="293">
        <f>References!$C$11</f>
        <v>2.1666666666666665</v>
      </c>
      <c r="U69" s="294">
        <f t="shared" si="17"/>
        <v>54.43241127348643</v>
      </c>
      <c r="V69" s="294">
        <f t="shared" si="16"/>
        <v>25.122651356993742</v>
      </c>
    </row>
    <row r="70" spans="1:22" s="304" customFormat="1" ht="12" customHeight="1">
      <c r="A70" s="295" t="s">
        <v>125</v>
      </c>
      <c r="B70" s="295" t="s">
        <v>126</v>
      </c>
      <c r="C70" s="296">
        <v>31.48</v>
      </c>
      <c r="D70" s="297">
        <v>31.59</v>
      </c>
      <c r="E70" s="298">
        <v>251.84</v>
      </c>
      <c r="F70" s="298">
        <v>505.44</v>
      </c>
      <c r="G70" s="298">
        <f t="shared" si="8"/>
        <v>757.28</v>
      </c>
      <c r="H70" s="299"/>
      <c r="I70" s="298">
        <f t="shared" si="9"/>
        <v>2</v>
      </c>
      <c r="J70" s="298">
        <f t="shared" si="10"/>
        <v>2</v>
      </c>
      <c r="K70" s="300">
        <f t="shared" si="18"/>
        <v>2</v>
      </c>
      <c r="L70" s="299"/>
      <c r="M70" s="301">
        <f t="shared" si="13"/>
        <v>4.7528559229072513</v>
      </c>
      <c r="N70" s="299"/>
      <c r="O70" s="302">
        <f t="shared" si="14"/>
        <v>114.06854214977403</v>
      </c>
      <c r="P70" s="299"/>
      <c r="Q70" s="301">
        <f t="shared" si="11"/>
        <v>36.340000000000003</v>
      </c>
      <c r="R70" s="303">
        <f t="shared" si="15"/>
        <v>871.34854214977395</v>
      </c>
      <c r="T70" s="305">
        <f>References!C10</f>
        <v>4.333333333333333</v>
      </c>
      <c r="U70" s="306">
        <f t="shared" si="17"/>
        <v>104</v>
      </c>
      <c r="V70" s="306">
        <f t="shared" si="16"/>
        <v>24</v>
      </c>
    </row>
    <row r="71" spans="1:22" s="26" customFormat="1" ht="12" customHeight="1">
      <c r="A71" s="22" t="s">
        <v>127</v>
      </c>
      <c r="B71" s="22" t="s">
        <v>128</v>
      </c>
      <c r="C71" s="35">
        <v>4.41</v>
      </c>
      <c r="D71" s="30">
        <v>4.42</v>
      </c>
      <c r="E71" s="31">
        <v>420.10999999999996</v>
      </c>
      <c r="F71" s="31">
        <v>999.3</v>
      </c>
      <c r="G71" s="31">
        <f t="shared" si="8"/>
        <v>1419.4099999999999</v>
      </c>
      <c r="H71" s="2"/>
      <c r="I71" s="31">
        <f t="shared" si="9"/>
        <v>23.815759637188204</v>
      </c>
      <c r="J71" s="31">
        <f t="shared" si="10"/>
        <v>28.260746606334841</v>
      </c>
      <c r="K71" s="36">
        <f t="shared" si="18"/>
        <v>26.038253121761521</v>
      </c>
      <c r="L71" s="2"/>
      <c r="M71" s="37">
        <f t="shared" si="13"/>
        <v>0.66500864764957435</v>
      </c>
      <c r="N71" s="24"/>
      <c r="O71" s="25">
        <f t="shared" si="14"/>
        <v>207.78796194791926</v>
      </c>
      <c r="P71" s="24"/>
      <c r="Q71" s="32">
        <f t="shared" si="11"/>
        <v>5.09</v>
      </c>
      <c r="R71" s="38">
        <f t="shared" si="15"/>
        <v>1627.1979619479191</v>
      </c>
      <c r="T71" s="162">
        <f>References!$C$12</f>
        <v>1</v>
      </c>
      <c r="U71" s="120">
        <f t="shared" si="17"/>
        <v>312.45903746113822</v>
      </c>
      <c r="V71" s="120">
        <f t="shared" si="16"/>
        <v>312.45903746113822</v>
      </c>
    </row>
    <row r="72" spans="1:22" s="292" customFormat="1" ht="11.25" customHeight="1">
      <c r="A72" s="283" t="s">
        <v>129</v>
      </c>
      <c r="B72" s="283" t="s">
        <v>42</v>
      </c>
      <c r="C72" s="284">
        <v>5.34</v>
      </c>
      <c r="D72" s="285">
        <v>5.35</v>
      </c>
      <c r="E72" s="286">
        <v>11</v>
      </c>
      <c r="F72" s="286">
        <v>46.81</v>
      </c>
      <c r="G72" s="286">
        <f t="shared" si="8"/>
        <v>57.81</v>
      </c>
      <c r="H72" s="287"/>
      <c r="I72" s="286">
        <f t="shared" si="9"/>
        <v>0.51498127340823974</v>
      </c>
      <c r="J72" s="286">
        <f t="shared" si="10"/>
        <v>1.0936915887850469</v>
      </c>
      <c r="K72" s="288">
        <f t="shared" si="18"/>
        <v>0.80433643109664332</v>
      </c>
      <c r="L72" s="287"/>
      <c r="M72" s="289">
        <f t="shared" si="13"/>
        <v>0.80493128165729011</v>
      </c>
      <c r="N72" s="287"/>
      <c r="O72" s="290">
        <f t="shared" si="14"/>
        <v>7.7692266523952611</v>
      </c>
      <c r="P72" s="287"/>
      <c r="Q72" s="289">
        <f t="shared" si="11"/>
        <v>6.15</v>
      </c>
      <c r="R72" s="291">
        <f t="shared" si="15"/>
        <v>65.579226652395263</v>
      </c>
      <c r="T72" s="293">
        <f>References!$C$12</f>
        <v>1</v>
      </c>
      <c r="U72" s="294">
        <f t="shared" si="17"/>
        <v>9.6520371731597194</v>
      </c>
      <c r="V72" s="294">
        <f t="shared" si="16"/>
        <v>9.6520371731597194</v>
      </c>
    </row>
    <row r="73" spans="1:22" s="26" customFormat="1" ht="12" customHeight="1">
      <c r="A73" s="247" t="s">
        <v>130</v>
      </c>
      <c r="B73" s="247" t="s">
        <v>131</v>
      </c>
      <c r="C73" s="248">
        <v>23.19</v>
      </c>
      <c r="D73" s="249">
        <v>23.28</v>
      </c>
      <c r="E73" s="250">
        <v>162.32999999999998</v>
      </c>
      <c r="F73" s="250">
        <v>535.05000000000007</v>
      </c>
      <c r="G73" s="250">
        <f t="shared" si="8"/>
        <v>697.38000000000011</v>
      </c>
      <c r="H73" s="251"/>
      <c r="I73" s="250">
        <f t="shared" si="9"/>
        <v>1.7499999999999998</v>
      </c>
      <c r="J73" s="250">
        <f t="shared" si="10"/>
        <v>2.8729059278350517</v>
      </c>
      <c r="K73" s="252">
        <f t="shared" si="18"/>
        <v>2.3114529639175259</v>
      </c>
      <c r="L73" s="251"/>
      <c r="M73" s="253">
        <f t="shared" si="13"/>
        <v>3.5025794835479842</v>
      </c>
      <c r="N73" s="251"/>
      <c r="O73" s="254">
        <f t="shared" si="14"/>
        <v>97.152572743244463</v>
      </c>
      <c r="P73" s="251"/>
      <c r="Q73" s="253">
        <f t="shared" si="11"/>
        <v>26.78</v>
      </c>
      <c r="R73" s="255">
        <f t="shared" si="15"/>
        <v>794.5325727432446</v>
      </c>
      <c r="S73" s="256"/>
      <c r="T73" s="257">
        <f>References!$C$12</f>
        <v>1</v>
      </c>
      <c r="U73" s="258">
        <f t="shared" si="17"/>
        <v>27.737435567010309</v>
      </c>
      <c r="V73" s="258">
        <f t="shared" si="16"/>
        <v>27.737435567010309</v>
      </c>
    </row>
    <row r="74" spans="1:22" s="26" customFormat="1" ht="12" customHeight="1">
      <c r="A74" s="259" t="s">
        <v>132</v>
      </c>
      <c r="B74" s="259" t="s">
        <v>133</v>
      </c>
      <c r="C74" s="260">
        <v>34.119999999999997</v>
      </c>
      <c r="D74" s="261">
        <v>34.24</v>
      </c>
      <c r="E74" s="262">
        <v>887.12</v>
      </c>
      <c r="F74" s="262">
        <v>3295.0199999999995</v>
      </c>
      <c r="G74" s="262">
        <f t="shared" si="8"/>
        <v>4182.1399999999994</v>
      </c>
      <c r="H74" s="263"/>
      <c r="I74" s="262">
        <f t="shared" si="9"/>
        <v>6.5000000000000009</v>
      </c>
      <c r="J74" s="262">
        <f t="shared" si="10"/>
        <v>12.029132593457941</v>
      </c>
      <c r="K74" s="264">
        <f t="shared" si="18"/>
        <v>9.2645662967289706</v>
      </c>
      <c r="L74" s="263"/>
      <c r="M74" s="265">
        <f t="shared" si="13"/>
        <v>5.1515602026066576</v>
      </c>
      <c r="N74" s="263"/>
      <c r="O74" s="266">
        <f t="shared" si="14"/>
        <v>572.72365234367885</v>
      </c>
      <c r="P74" s="263"/>
      <c r="Q74" s="265">
        <f t="shared" si="11"/>
        <v>39.39</v>
      </c>
      <c r="R74" s="267">
        <f t="shared" si="15"/>
        <v>4754.863652343678</v>
      </c>
      <c r="S74" s="268"/>
      <c r="T74" s="269">
        <f>References!$C$12</f>
        <v>1</v>
      </c>
      <c r="U74" s="270">
        <f t="shared" si="17"/>
        <v>111.17479556074764</v>
      </c>
      <c r="V74" s="270">
        <f t="shared" si="16"/>
        <v>111.17479556074764</v>
      </c>
    </row>
    <row r="75" spans="1:22" s="26" customFormat="1" ht="12" customHeight="1">
      <c r="A75" s="271" t="s">
        <v>134</v>
      </c>
      <c r="B75" s="271" t="s">
        <v>135</v>
      </c>
      <c r="C75" s="272">
        <v>44.92</v>
      </c>
      <c r="D75" s="273">
        <v>45.07</v>
      </c>
      <c r="E75" s="274">
        <v>1796.8000000000002</v>
      </c>
      <c r="F75" s="274">
        <v>3647.0600000000004</v>
      </c>
      <c r="G75" s="274">
        <f t="shared" si="8"/>
        <v>5443.8600000000006</v>
      </c>
      <c r="H75" s="275"/>
      <c r="I75" s="274">
        <f t="shared" si="9"/>
        <v>10</v>
      </c>
      <c r="J75" s="274">
        <f t="shared" si="10"/>
        <v>10.114987796760596</v>
      </c>
      <c r="K75" s="276">
        <f t="shared" si="18"/>
        <v>10.057493898380297</v>
      </c>
      <c r="L75" s="275"/>
      <c r="M75" s="277">
        <f t="shared" si="13"/>
        <v>6.7809818437932838</v>
      </c>
      <c r="N75" s="275"/>
      <c r="O75" s="278">
        <f t="shared" si="14"/>
        <v>818.39620222774238</v>
      </c>
      <c r="P75" s="275"/>
      <c r="Q75" s="277">
        <f t="shared" si="11"/>
        <v>51.85</v>
      </c>
      <c r="R75" s="279">
        <f t="shared" si="15"/>
        <v>6262.2562022277434</v>
      </c>
      <c r="S75" s="280"/>
      <c r="T75" s="281">
        <f>References!$C$12</f>
        <v>1</v>
      </c>
      <c r="U75" s="282">
        <f t="shared" si="17"/>
        <v>120.68992678056357</v>
      </c>
      <c r="V75" s="282">
        <f t="shared" si="16"/>
        <v>120.68992678056357</v>
      </c>
    </row>
    <row r="76" spans="1:22" s="26" customFormat="1" ht="12" customHeight="1">
      <c r="A76" s="22" t="s">
        <v>136</v>
      </c>
      <c r="B76" s="22" t="s">
        <v>137</v>
      </c>
      <c r="C76" s="35">
        <v>17.68</v>
      </c>
      <c r="D76" s="30">
        <v>17.739999999999998</v>
      </c>
      <c r="E76" s="31">
        <v>128.22</v>
      </c>
      <c r="F76" s="31">
        <v>224.77</v>
      </c>
      <c r="G76" s="31">
        <f t="shared" si="8"/>
        <v>352.99</v>
      </c>
      <c r="H76" s="2"/>
      <c r="I76" s="31">
        <f t="shared" si="9"/>
        <v>1.8130656108597285</v>
      </c>
      <c r="J76" s="31">
        <f t="shared" si="10"/>
        <v>1.5837795941375425</v>
      </c>
      <c r="K76" s="36">
        <f t="shared" si="18"/>
        <v>1.6984226024986355</v>
      </c>
      <c r="L76" s="2"/>
      <c r="M76" s="37">
        <f t="shared" si="13"/>
        <v>2.6690618573084723</v>
      </c>
      <c r="N76" s="24"/>
      <c r="O76" s="25">
        <f t="shared" si="14"/>
        <v>54.398339831036367</v>
      </c>
      <c r="P76" s="24"/>
      <c r="Q76" s="32">
        <f t="shared" si="11"/>
        <v>20.41</v>
      </c>
      <c r="R76" s="38">
        <f t="shared" si="15"/>
        <v>407.38833983103638</v>
      </c>
      <c r="T76" s="162">
        <f>References!$C$12</f>
        <v>1</v>
      </c>
      <c r="U76" s="120">
        <f>SUM(K76*T76)*12</f>
        <v>20.381071229983625</v>
      </c>
      <c r="V76" s="120">
        <f t="shared" si="16"/>
        <v>20.381071229983625</v>
      </c>
    </row>
    <row r="77" spans="1:22" s="26" customFormat="1" ht="12" customHeight="1">
      <c r="A77" s="160" t="s">
        <v>138</v>
      </c>
      <c r="B77" s="160" t="s">
        <v>139</v>
      </c>
      <c r="C77" s="141">
        <v>16.059999999999999</v>
      </c>
      <c r="D77" s="117">
        <v>16.059999999999999</v>
      </c>
      <c r="E77" s="98">
        <v>3832.12</v>
      </c>
      <c r="F77" s="98">
        <v>7436.99</v>
      </c>
      <c r="G77" s="98">
        <f t="shared" si="8"/>
        <v>11269.11</v>
      </c>
      <c r="H77" s="9"/>
      <c r="I77" s="98">
        <f t="shared" si="9"/>
        <v>59.653175591531756</v>
      </c>
      <c r="J77" s="98">
        <f t="shared" si="10"/>
        <v>57.884417808219183</v>
      </c>
      <c r="K77" s="136">
        <f t="shared" si="18"/>
        <v>58.768796699875466</v>
      </c>
      <c r="L77" s="9"/>
      <c r="M77" s="118">
        <f t="shared" si="13"/>
        <v>2.4162983894235661</v>
      </c>
      <c r="N77" s="9"/>
      <c r="O77" s="142">
        <f t="shared" si="14"/>
        <v>1704.0353857712407</v>
      </c>
      <c r="P77" s="9"/>
      <c r="Q77" s="118">
        <f t="shared" si="11"/>
        <v>18.48</v>
      </c>
      <c r="R77" s="119">
        <f t="shared" si="15"/>
        <v>12973.14538577124</v>
      </c>
    </row>
    <row r="78" spans="1:22" s="26" customFormat="1" ht="12" customHeight="1">
      <c r="A78" s="160" t="s">
        <v>140</v>
      </c>
      <c r="B78" s="160" t="s">
        <v>141</v>
      </c>
      <c r="C78" s="141">
        <v>25</v>
      </c>
      <c r="D78" s="117">
        <v>25</v>
      </c>
      <c r="E78" s="98">
        <v>100</v>
      </c>
      <c r="F78" s="98">
        <v>200</v>
      </c>
      <c r="G78" s="98">
        <f t="shared" si="8"/>
        <v>300</v>
      </c>
      <c r="H78" s="9"/>
      <c r="I78" s="98">
        <f t="shared" si="9"/>
        <v>1</v>
      </c>
      <c r="J78" s="98">
        <f t="shared" si="10"/>
        <v>1</v>
      </c>
      <c r="K78" s="136">
        <f t="shared" si="18"/>
        <v>1</v>
      </c>
      <c r="L78" s="9"/>
      <c r="M78" s="118">
        <f t="shared" si="13"/>
        <v>3.7613611292396736</v>
      </c>
      <c r="N78" s="9"/>
      <c r="O78" s="142">
        <f t="shared" si="14"/>
        <v>45.136333550876081</v>
      </c>
      <c r="P78" s="9"/>
      <c r="Q78" s="118">
        <f t="shared" si="11"/>
        <v>28.76</v>
      </c>
      <c r="R78" s="119">
        <f t="shared" si="15"/>
        <v>345.13633355087609</v>
      </c>
    </row>
    <row r="79" spans="1:22" s="26" customFormat="1" ht="12" customHeight="1">
      <c r="A79" s="160" t="s">
        <v>142</v>
      </c>
      <c r="B79" s="160" t="s">
        <v>143</v>
      </c>
      <c r="C79" s="141">
        <f>D79</f>
        <v>19.59</v>
      </c>
      <c r="D79" s="117">
        <v>19.59</v>
      </c>
      <c r="E79" s="98">
        <v>4770.91</v>
      </c>
      <c r="F79" s="98">
        <v>10771.06</v>
      </c>
      <c r="G79" s="98">
        <f t="shared" si="8"/>
        <v>15541.97</v>
      </c>
      <c r="H79" s="9"/>
      <c r="I79" s="98">
        <f t="shared" si="9"/>
        <v>60.884507401735576</v>
      </c>
      <c r="J79" s="98">
        <f t="shared" si="10"/>
        <v>68.728050025523217</v>
      </c>
      <c r="K79" s="136">
        <f t="shared" si="18"/>
        <v>64.806278713629396</v>
      </c>
      <c r="L79" s="9"/>
      <c r="M79" s="118">
        <f t="shared" si="13"/>
        <v>2.9474025808722084</v>
      </c>
      <c r="N79" s="9"/>
      <c r="O79" s="142">
        <f t="shared" si="14"/>
        <v>2292.1223176472995</v>
      </c>
      <c r="P79" s="9"/>
      <c r="Q79" s="118">
        <f t="shared" si="11"/>
        <v>22.54</v>
      </c>
      <c r="R79" s="119">
        <f t="shared" si="15"/>
        <v>17834.092317647301</v>
      </c>
    </row>
    <row r="80" spans="1:22" s="26" customFormat="1" ht="12" customHeight="1">
      <c r="A80" s="160" t="s">
        <v>144</v>
      </c>
      <c r="B80" s="160" t="s">
        <v>145</v>
      </c>
      <c r="C80" s="141">
        <f t="shared" ref="C80:C101" si="19">D80</f>
        <v>28.76</v>
      </c>
      <c r="D80" s="117">
        <v>28.76</v>
      </c>
      <c r="E80" s="98">
        <v>15.68</v>
      </c>
      <c r="F80" s="98">
        <v>300.16000000000003</v>
      </c>
      <c r="G80" s="98">
        <f t="shared" si="8"/>
        <v>315.84000000000003</v>
      </c>
      <c r="H80" s="9"/>
      <c r="I80" s="98">
        <f t="shared" si="9"/>
        <v>0.13630041724617523</v>
      </c>
      <c r="J80" s="98">
        <f t="shared" si="10"/>
        <v>1.3045897079276774</v>
      </c>
      <c r="K80" s="136">
        <f t="shared" si="18"/>
        <v>0.72044506258692631</v>
      </c>
      <c r="L80" s="9"/>
      <c r="M80" s="118">
        <f t="shared" si="13"/>
        <v>4.3270698430773207</v>
      </c>
      <c r="N80" s="9"/>
      <c r="O80" s="142">
        <f t="shared" si="14"/>
        <v>37.408993246966098</v>
      </c>
      <c r="P80" s="9"/>
      <c r="Q80" s="118">
        <f t="shared" si="11"/>
        <v>33.090000000000003</v>
      </c>
      <c r="R80" s="119">
        <f t="shared" si="15"/>
        <v>353.24899324696611</v>
      </c>
    </row>
    <row r="81" spans="1:18" s="26" customFormat="1" ht="12" customHeight="1">
      <c r="A81" s="160" t="s">
        <v>146</v>
      </c>
      <c r="B81" s="160" t="s">
        <v>147</v>
      </c>
      <c r="C81" s="141">
        <f t="shared" si="19"/>
        <v>23.17</v>
      </c>
      <c r="D81" s="117">
        <v>23.17</v>
      </c>
      <c r="E81" s="98">
        <v>9816.880000000001</v>
      </c>
      <c r="F81" s="98">
        <v>21216.009999999995</v>
      </c>
      <c r="G81" s="98">
        <f t="shared" si="8"/>
        <v>31032.889999999996</v>
      </c>
      <c r="H81" s="9"/>
      <c r="I81" s="98">
        <f t="shared" si="9"/>
        <v>105.92231333621062</v>
      </c>
      <c r="J81" s="98">
        <f t="shared" si="10"/>
        <v>114.45840526542939</v>
      </c>
      <c r="K81" s="136">
        <f t="shared" si="18"/>
        <v>110.19035930082001</v>
      </c>
      <c r="L81" s="9"/>
      <c r="M81" s="118">
        <f t="shared" si="13"/>
        <v>3.4860294945793298</v>
      </c>
      <c r="N81" s="9"/>
      <c r="O81" s="142">
        <f t="shared" si="14"/>
        <v>4609.5221104914281</v>
      </c>
      <c r="P81" s="9"/>
      <c r="Q81" s="118">
        <f t="shared" si="11"/>
        <v>26.66</v>
      </c>
      <c r="R81" s="119">
        <f t="shared" si="15"/>
        <v>35642.412110491423</v>
      </c>
    </row>
    <row r="82" spans="1:18" s="26" customFormat="1" ht="12" customHeight="1">
      <c r="A82" s="160" t="s">
        <v>148</v>
      </c>
      <c r="B82" s="160" t="s">
        <v>149</v>
      </c>
      <c r="C82" s="141">
        <f t="shared" si="19"/>
        <v>33.64</v>
      </c>
      <c r="D82" s="117">
        <v>33.64</v>
      </c>
      <c r="E82" s="98">
        <v>134.56</v>
      </c>
      <c r="F82" s="98">
        <v>353.12</v>
      </c>
      <c r="G82" s="98">
        <f t="shared" si="8"/>
        <v>487.68</v>
      </c>
      <c r="H82" s="9"/>
      <c r="I82" s="98">
        <f t="shared" si="9"/>
        <v>1</v>
      </c>
      <c r="J82" s="98">
        <f t="shared" si="10"/>
        <v>1.312128418549346</v>
      </c>
      <c r="K82" s="136">
        <f t="shared" si="18"/>
        <v>1.1560642092746729</v>
      </c>
      <c r="L82" s="9"/>
      <c r="M82" s="118">
        <f t="shared" si="13"/>
        <v>5.0612875355049054</v>
      </c>
      <c r="N82" s="9"/>
      <c r="O82" s="142">
        <f t="shared" si="14"/>
        <v>70.214080471742847</v>
      </c>
      <c r="P82" s="9"/>
      <c r="Q82" s="118">
        <f t="shared" si="11"/>
        <v>38.700000000000003</v>
      </c>
      <c r="R82" s="119">
        <f t="shared" si="15"/>
        <v>557.89408047174288</v>
      </c>
    </row>
    <row r="83" spans="1:18" s="26" customFormat="1" ht="12" customHeight="1">
      <c r="A83" s="160" t="s">
        <v>150</v>
      </c>
      <c r="B83" s="160" t="s">
        <v>151</v>
      </c>
      <c r="C83" s="141">
        <f t="shared" si="19"/>
        <v>36.76</v>
      </c>
      <c r="D83" s="117">
        <v>36.76</v>
      </c>
      <c r="E83" s="98">
        <v>441.12</v>
      </c>
      <c r="F83" s="98">
        <v>882.24</v>
      </c>
      <c r="G83" s="98">
        <f t="shared" si="8"/>
        <v>1323.3600000000001</v>
      </c>
      <c r="H83" s="9"/>
      <c r="I83" s="98">
        <f t="shared" si="9"/>
        <v>3</v>
      </c>
      <c r="J83" s="98">
        <f t="shared" si="10"/>
        <v>3</v>
      </c>
      <c r="K83" s="136">
        <f t="shared" si="18"/>
        <v>3</v>
      </c>
      <c r="L83" s="9"/>
      <c r="M83" s="118">
        <f t="shared" si="13"/>
        <v>5.5307054044340163</v>
      </c>
      <c r="N83" s="9"/>
      <c r="O83" s="142">
        <f t="shared" si="14"/>
        <v>199.10539455962459</v>
      </c>
      <c r="P83" s="9"/>
      <c r="Q83" s="118">
        <f t="shared" si="11"/>
        <v>42.29</v>
      </c>
      <c r="R83" s="119">
        <f t="shared" si="15"/>
        <v>1522.4653945596247</v>
      </c>
    </row>
    <row r="84" spans="1:18" s="26" customFormat="1" ht="12" customHeight="1">
      <c r="A84" s="160" t="s">
        <v>152</v>
      </c>
      <c r="B84" s="160" t="s">
        <v>153</v>
      </c>
      <c r="C84" s="141">
        <f t="shared" si="19"/>
        <v>14.94</v>
      </c>
      <c r="D84" s="117">
        <v>14.94</v>
      </c>
      <c r="E84" s="98">
        <v>29.88</v>
      </c>
      <c r="F84" s="98">
        <v>0</v>
      </c>
      <c r="G84" s="98">
        <f t="shared" si="8"/>
        <v>29.88</v>
      </c>
      <c r="H84" s="9"/>
      <c r="I84" s="98">
        <f t="shared" si="9"/>
        <v>0.5</v>
      </c>
      <c r="J84" s="98">
        <f t="shared" si="10"/>
        <v>0</v>
      </c>
      <c r="K84" s="136">
        <f t="shared" si="18"/>
        <v>0.5</v>
      </c>
      <c r="L84" s="9"/>
      <c r="M84" s="118">
        <f t="shared" si="13"/>
        <v>2.2477894108336289</v>
      </c>
      <c r="N84" s="9"/>
      <c r="O84" s="142">
        <f t="shared" si="14"/>
        <v>13.486736465001773</v>
      </c>
      <c r="P84" s="9"/>
      <c r="Q84" s="118">
        <f t="shared" si="11"/>
        <v>17.190000000000001</v>
      </c>
      <c r="R84" s="119">
        <f t="shared" si="15"/>
        <v>43.366736465001772</v>
      </c>
    </row>
    <row r="85" spans="1:18" s="26" customFormat="1" ht="12" customHeight="1">
      <c r="A85" s="160" t="s">
        <v>154</v>
      </c>
      <c r="B85" s="160" t="s">
        <v>155</v>
      </c>
      <c r="C85" s="141">
        <f t="shared" si="19"/>
        <v>15.82</v>
      </c>
      <c r="D85" s="117">
        <v>15.82</v>
      </c>
      <c r="E85" s="98">
        <v>158.19999999999999</v>
      </c>
      <c r="F85" s="98">
        <v>537.88</v>
      </c>
      <c r="G85" s="98">
        <f t="shared" si="8"/>
        <v>696.07999999999993</v>
      </c>
      <c r="H85" s="9"/>
      <c r="I85" s="98">
        <f t="shared" si="9"/>
        <v>2.4999999999999996</v>
      </c>
      <c r="J85" s="98">
        <f t="shared" si="10"/>
        <v>4.25</v>
      </c>
      <c r="K85" s="136">
        <f t="shared" si="18"/>
        <v>3.375</v>
      </c>
      <c r="L85" s="9"/>
      <c r="M85" s="118">
        <f t="shared" si="13"/>
        <v>2.3801893225828654</v>
      </c>
      <c r="N85" s="9"/>
      <c r="O85" s="142">
        <f t="shared" si="14"/>
        <v>96.397667564606053</v>
      </c>
      <c r="P85" s="9"/>
      <c r="Q85" s="118">
        <f t="shared" si="11"/>
        <v>18.2</v>
      </c>
      <c r="R85" s="119">
        <f t="shared" si="15"/>
        <v>792.47766756460601</v>
      </c>
    </row>
    <row r="86" spans="1:18" s="26" customFormat="1" ht="12" customHeight="1">
      <c r="A86" s="160" t="s">
        <v>156</v>
      </c>
      <c r="B86" s="160" t="s">
        <v>157</v>
      </c>
      <c r="C86" s="141">
        <f t="shared" si="19"/>
        <v>16.760000000000002</v>
      </c>
      <c r="D86" s="117">
        <v>16.760000000000002</v>
      </c>
      <c r="E86" s="98">
        <v>100.56000000000002</v>
      </c>
      <c r="F86" s="98">
        <v>318.43999999999994</v>
      </c>
      <c r="G86" s="98">
        <f t="shared" si="8"/>
        <v>418.99999999999994</v>
      </c>
      <c r="H86" s="9"/>
      <c r="I86" s="98">
        <f t="shared" si="9"/>
        <v>1.5</v>
      </c>
      <c r="J86" s="98">
        <f t="shared" si="10"/>
        <v>2.3749999999999996</v>
      </c>
      <c r="K86" s="136">
        <f t="shared" si="18"/>
        <v>1.9374999999999998</v>
      </c>
      <c r="L86" s="9"/>
      <c r="M86" s="118">
        <f t="shared" si="13"/>
        <v>2.5216165010422773</v>
      </c>
      <c r="N86" s="9"/>
      <c r="O86" s="142">
        <f t="shared" si="14"/>
        <v>58.627583649232939</v>
      </c>
      <c r="P86" s="9"/>
      <c r="Q86" s="118">
        <f t="shared" si="11"/>
        <v>19.28</v>
      </c>
      <c r="R86" s="119">
        <f t="shared" si="15"/>
        <v>477.62758364923286</v>
      </c>
    </row>
    <row r="87" spans="1:18" s="26" customFormat="1" ht="12" customHeight="1">
      <c r="A87" s="160" t="s">
        <v>158</v>
      </c>
      <c r="B87" s="160" t="s">
        <v>159</v>
      </c>
      <c r="C87" s="141">
        <v>4.71</v>
      </c>
      <c r="D87" s="117">
        <v>4.71</v>
      </c>
      <c r="E87" s="98">
        <v>113.04</v>
      </c>
      <c r="F87" s="98">
        <v>226.08</v>
      </c>
      <c r="G87" s="98">
        <f t="shared" si="8"/>
        <v>339.12</v>
      </c>
      <c r="H87" s="9"/>
      <c r="I87" s="98">
        <f t="shared" si="9"/>
        <v>6</v>
      </c>
      <c r="J87" s="98">
        <f t="shared" si="10"/>
        <v>6</v>
      </c>
      <c r="K87" s="136">
        <f t="shared" si="18"/>
        <v>6</v>
      </c>
      <c r="L87" s="9"/>
      <c r="M87" s="118">
        <f t="shared" si="13"/>
        <v>0.70864043674875454</v>
      </c>
      <c r="N87" s="9"/>
      <c r="O87" s="142">
        <f t="shared" si="14"/>
        <v>51.022111445910326</v>
      </c>
      <c r="P87" s="9"/>
      <c r="Q87" s="118">
        <f t="shared" si="11"/>
        <v>5.42</v>
      </c>
      <c r="R87" s="119">
        <f t="shared" si="15"/>
        <v>390.14211144591036</v>
      </c>
    </row>
    <row r="88" spans="1:18" s="26" customFormat="1" ht="12" customHeight="1">
      <c r="A88" s="160" t="s">
        <v>160</v>
      </c>
      <c r="B88" s="160" t="s">
        <v>161</v>
      </c>
      <c r="C88" s="141">
        <v>9.42</v>
      </c>
      <c r="D88" s="117">
        <v>9.42</v>
      </c>
      <c r="E88" s="98">
        <v>37.68</v>
      </c>
      <c r="F88" s="98">
        <v>75.36</v>
      </c>
      <c r="G88" s="98">
        <f t="shared" si="8"/>
        <v>113.03999999999999</v>
      </c>
      <c r="H88" s="9"/>
      <c r="I88" s="98">
        <f t="shared" si="9"/>
        <v>1</v>
      </c>
      <c r="J88" s="98">
        <f t="shared" si="10"/>
        <v>1</v>
      </c>
      <c r="K88" s="136">
        <f t="shared" si="18"/>
        <v>1</v>
      </c>
      <c r="L88" s="9"/>
      <c r="M88" s="118">
        <f t="shared" si="13"/>
        <v>1.4172808734975091</v>
      </c>
      <c r="N88" s="9"/>
      <c r="O88" s="142">
        <f t="shared" si="14"/>
        <v>17.00737048197011</v>
      </c>
      <c r="P88" s="9"/>
      <c r="Q88" s="118">
        <f t="shared" si="11"/>
        <v>10.84</v>
      </c>
      <c r="R88" s="119">
        <f t="shared" si="15"/>
        <v>130.04737048197009</v>
      </c>
    </row>
    <row r="89" spans="1:18" s="26" customFormat="1" ht="12" customHeight="1">
      <c r="A89" s="160" t="s">
        <v>162</v>
      </c>
      <c r="B89" s="160" t="s">
        <v>163</v>
      </c>
      <c r="C89" s="141">
        <v>2.36</v>
      </c>
      <c r="D89" s="117">
        <v>2.36</v>
      </c>
      <c r="E89" s="98">
        <v>18.84</v>
      </c>
      <c r="F89" s="98">
        <v>32.97</v>
      </c>
      <c r="G89" s="98">
        <f t="shared" si="8"/>
        <v>51.81</v>
      </c>
      <c r="H89" s="9"/>
      <c r="I89" s="98">
        <f t="shared" si="9"/>
        <v>1.9957627118644068</v>
      </c>
      <c r="J89" s="98">
        <f t="shared" si="10"/>
        <v>1.746292372881356</v>
      </c>
      <c r="K89" s="136">
        <f t="shared" si="18"/>
        <v>1.8710275423728815</v>
      </c>
      <c r="L89" s="9"/>
      <c r="M89" s="118">
        <f t="shared" si="13"/>
        <v>0.35507249060022517</v>
      </c>
      <c r="N89" s="9"/>
      <c r="O89" s="142">
        <f t="shared" si="14"/>
        <v>7.9722049134234876</v>
      </c>
      <c r="P89" s="9"/>
      <c r="Q89" s="118">
        <f t="shared" si="11"/>
        <v>2.72</v>
      </c>
      <c r="R89" s="119">
        <f t="shared" si="15"/>
        <v>59.782204913423492</v>
      </c>
    </row>
    <row r="90" spans="1:18" s="26" customFormat="1" ht="12" customHeight="1">
      <c r="A90" s="160" t="s">
        <v>164</v>
      </c>
      <c r="B90" s="160" t="s">
        <v>165</v>
      </c>
      <c r="C90" s="141">
        <v>2.94</v>
      </c>
      <c r="D90" s="117">
        <v>2.94</v>
      </c>
      <c r="E90" s="98">
        <v>70.56</v>
      </c>
      <c r="F90" s="98">
        <v>164.64</v>
      </c>
      <c r="G90" s="98">
        <f t="shared" si="8"/>
        <v>235.2</v>
      </c>
      <c r="H90" s="9"/>
      <c r="I90" s="98">
        <f t="shared" si="9"/>
        <v>6</v>
      </c>
      <c r="J90" s="98">
        <f t="shared" si="10"/>
        <v>6.9999999999999991</v>
      </c>
      <c r="K90" s="136">
        <f t="shared" si="18"/>
        <v>6.5</v>
      </c>
      <c r="L90" s="9"/>
      <c r="M90" s="118">
        <f t="shared" si="13"/>
        <v>0.44233606879858561</v>
      </c>
      <c r="N90" s="9"/>
      <c r="O90" s="142">
        <f t="shared" si="14"/>
        <v>34.502213366289681</v>
      </c>
      <c r="P90" s="9"/>
      <c r="Q90" s="118">
        <f t="shared" si="11"/>
        <v>3.38</v>
      </c>
      <c r="R90" s="119">
        <f t="shared" si="15"/>
        <v>269.7022133662897</v>
      </c>
    </row>
    <row r="91" spans="1:18" s="26" customFormat="1" ht="12" customHeight="1">
      <c r="A91" s="160" t="s">
        <v>166</v>
      </c>
      <c r="B91" s="160" t="s">
        <v>167</v>
      </c>
      <c r="C91" s="141">
        <v>5.88</v>
      </c>
      <c r="D91" s="117">
        <v>5.88</v>
      </c>
      <c r="E91" s="98">
        <v>23.52</v>
      </c>
      <c r="F91" s="98">
        <v>47.04</v>
      </c>
      <c r="G91" s="98">
        <f t="shared" si="8"/>
        <v>70.56</v>
      </c>
      <c r="H91" s="9"/>
      <c r="I91" s="98">
        <f t="shared" si="9"/>
        <v>1</v>
      </c>
      <c r="J91" s="98">
        <f t="shared" si="10"/>
        <v>1</v>
      </c>
      <c r="K91" s="136">
        <f t="shared" si="18"/>
        <v>1</v>
      </c>
      <c r="L91" s="9"/>
      <c r="M91" s="118">
        <f t="shared" si="13"/>
        <v>0.88467213759717123</v>
      </c>
      <c r="N91" s="9"/>
      <c r="O91" s="142">
        <f t="shared" si="14"/>
        <v>10.616065651166055</v>
      </c>
      <c r="P91" s="9"/>
      <c r="Q91" s="118">
        <f t="shared" si="11"/>
        <v>6.76</v>
      </c>
      <c r="R91" s="119">
        <f t="shared" si="15"/>
        <v>81.176065651166056</v>
      </c>
    </row>
    <row r="92" spans="1:18" s="26" customFormat="1" ht="12" customHeight="1">
      <c r="A92" s="160" t="s">
        <v>168</v>
      </c>
      <c r="B92" s="160" t="s">
        <v>169</v>
      </c>
      <c r="C92" s="141">
        <f t="shared" si="19"/>
        <v>1.9096</v>
      </c>
      <c r="D92" s="117">
        <v>1.9096</v>
      </c>
      <c r="E92" s="98">
        <v>7.64</v>
      </c>
      <c r="F92" s="98">
        <v>11.46</v>
      </c>
      <c r="G92" s="98">
        <f t="shared" si="8"/>
        <v>19.100000000000001</v>
      </c>
      <c r="H92" s="9"/>
      <c r="I92" s="98">
        <f t="shared" si="9"/>
        <v>1.0002094679514033</v>
      </c>
      <c r="J92" s="98">
        <f t="shared" si="10"/>
        <v>0.75015710096355259</v>
      </c>
      <c r="K92" s="136">
        <f t="shared" si="18"/>
        <v>0.87518328445747795</v>
      </c>
      <c r="L92" s="9"/>
      <c r="M92" s="118">
        <f t="shared" si="13"/>
        <v>0.28730780849584325</v>
      </c>
      <c r="N92" s="9"/>
      <c r="O92" s="142">
        <f t="shared" si="14"/>
        <v>3.0173638978760664</v>
      </c>
      <c r="P92" s="9"/>
      <c r="Q92" s="118">
        <f t="shared" si="11"/>
        <v>2.2000000000000002</v>
      </c>
      <c r="R92" s="119">
        <f t="shared" si="15"/>
        <v>22.117363897876068</v>
      </c>
    </row>
    <row r="93" spans="1:18" s="26" customFormat="1" ht="12" customHeight="1">
      <c r="A93" s="161" t="s">
        <v>170</v>
      </c>
      <c r="B93" s="161" t="s">
        <v>171</v>
      </c>
      <c r="C93" s="141">
        <f t="shared" si="19"/>
        <v>0</v>
      </c>
      <c r="D93" s="117">
        <v>0</v>
      </c>
      <c r="E93" s="98">
        <v>3066.4</v>
      </c>
      <c r="F93" s="98">
        <v>6132.8</v>
      </c>
      <c r="G93" s="98">
        <f t="shared" si="8"/>
        <v>9199.2000000000007</v>
      </c>
      <c r="H93" s="9"/>
      <c r="I93" s="98">
        <f t="shared" si="9"/>
        <v>0</v>
      </c>
      <c r="J93" s="98">
        <f t="shared" si="10"/>
        <v>0</v>
      </c>
      <c r="K93" s="136">
        <f t="shared" si="18"/>
        <v>0</v>
      </c>
      <c r="L93" s="9"/>
      <c r="M93" s="118">
        <f t="shared" si="13"/>
        <v>0</v>
      </c>
      <c r="N93" s="9"/>
      <c r="O93" s="142">
        <f t="shared" si="14"/>
        <v>0</v>
      </c>
      <c r="P93" s="9"/>
      <c r="Q93" s="118">
        <f t="shared" si="11"/>
        <v>0</v>
      </c>
      <c r="R93" s="119">
        <f t="shared" si="15"/>
        <v>9199.2000000000007</v>
      </c>
    </row>
    <row r="94" spans="1:18" s="26" customFormat="1" ht="12" customHeight="1">
      <c r="A94" s="160" t="s">
        <v>172</v>
      </c>
      <c r="B94" s="160" t="s">
        <v>173</v>
      </c>
      <c r="C94" s="141">
        <f t="shared" si="19"/>
        <v>4.0701999999999998</v>
      </c>
      <c r="D94" s="117">
        <v>4.0701999999999998</v>
      </c>
      <c r="E94" s="98">
        <v>32.56</v>
      </c>
      <c r="F94" s="98">
        <v>89.539999999999992</v>
      </c>
      <c r="G94" s="98">
        <f t="shared" si="8"/>
        <v>122.1</v>
      </c>
      <c r="H94" s="9"/>
      <c r="I94" s="98">
        <f t="shared" si="9"/>
        <v>1.9999017247309716</v>
      </c>
      <c r="J94" s="98">
        <f t="shared" si="10"/>
        <v>2.7498648715050855</v>
      </c>
      <c r="K94" s="136">
        <f t="shared" si="18"/>
        <v>2.3748832981180286</v>
      </c>
      <c r="L94" s="9"/>
      <c r="M94" s="118">
        <f t="shared" si="13"/>
        <v>0.61237968272925281</v>
      </c>
      <c r="N94" s="9"/>
      <c r="O94" s="142">
        <f t="shared" si="14"/>
        <v>17.45196336744624</v>
      </c>
      <c r="P94" s="9"/>
      <c r="Q94" s="118">
        <f t="shared" si="11"/>
        <v>4.68</v>
      </c>
      <c r="R94" s="119">
        <f t="shared" si="15"/>
        <v>139.55196336744623</v>
      </c>
    </row>
    <row r="95" spans="1:18" s="26" customFormat="1" ht="12" customHeight="1">
      <c r="A95" s="160" t="s">
        <v>174</v>
      </c>
      <c r="B95" s="160" t="s">
        <v>175</v>
      </c>
      <c r="C95" s="141">
        <f t="shared" si="19"/>
        <v>0.94</v>
      </c>
      <c r="D95" s="117">
        <v>0.94</v>
      </c>
      <c r="E95" s="98">
        <v>36.799999999999997</v>
      </c>
      <c r="F95" s="98">
        <v>58.019999999999996</v>
      </c>
      <c r="G95" s="98">
        <f t="shared" si="8"/>
        <v>94.82</v>
      </c>
      <c r="H95" s="9"/>
      <c r="I95" s="98">
        <f t="shared" si="9"/>
        <v>9.787234042553191</v>
      </c>
      <c r="J95" s="98">
        <f t="shared" si="10"/>
        <v>7.7154255319148932</v>
      </c>
      <c r="K95" s="136">
        <f t="shared" si="18"/>
        <v>8.7513297872340416</v>
      </c>
      <c r="L95" s="9"/>
      <c r="M95" s="118">
        <f t="shared" si="13"/>
        <v>0.14142717845941172</v>
      </c>
      <c r="N95" s="9"/>
      <c r="O95" s="142">
        <f t="shared" si="14"/>
        <v>14.852110554915772</v>
      </c>
      <c r="P95" s="9"/>
      <c r="Q95" s="118">
        <f t="shared" si="11"/>
        <v>1.08</v>
      </c>
      <c r="R95" s="119">
        <f t="shared" si="15"/>
        <v>109.67211055491576</v>
      </c>
    </row>
    <row r="96" spans="1:18" s="26" customFormat="1" ht="12" customHeight="1">
      <c r="A96" s="160" t="s">
        <v>176</v>
      </c>
      <c r="B96" s="160" t="s">
        <v>60</v>
      </c>
      <c r="C96" s="141">
        <f>D96</f>
        <v>8.66</v>
      </c>
      <c r="D96" s="117">
        <v>8.66</v>
      </c>
      <c r="E96" s="98">
        <v>34.64</v>
      </c>
      <c r="F96" s="98">
        <v>251.14</v>
      </c>
      <c r="G96" s="98">
        <f t="shared" si="8"/>
        <v>285.77999999999997</v>
      </c>
      <c r="H96" s="9"/>
      <c r="I96" s="98">
        <f t="shared" si="9"/>
        <v>1</v>
      </c>
      <c r="J96" s="98">
        <f t="shared" si="10"/>
        <v>3.6249999999999996</v>
      </c>
      <c r="K96" s="136">
        <f t="shared" si="18"/>
        <v>2.3125</v>
      </c>
      <c r="L96" s="9"/>
      <c r="M96" s="118">
        <f t="shared" si="13"/>
        <v>1.3029354951686229</v>
      </c>
      <c r="N96" s="9"/>
      <c r="O96" s="142">
        <f t="shared" si="14"/>
        <v>36.156459990929285</v>
      </c>
      <c r="P96" s="9"/>
      <c r="Q96" s="118">
        <f t="shared" si="11"/>
        <v>9.9600000000000009</v>
      </c>
      <c r="R96" s="119">
        <f t="shared" si="15"/>
        <v>321.93645999092928</v>
      </c>
    </row>
    <row r="97" spans="1:18" s="26" customFormat="1" ht="12" customHeight="1">
      <c r="A97" s="160" t="s">
        <v>177</v>
      </c>
      <c r="B97" s="160" t="s">
        <v>178</v>
      </c>
      <c r="C97" s="141">
        <f t="shared" si="19"/>
        <v>16.280799999999999</v>
      </c>
      <c r="D97" s="117">
        <v>16.280799999999999</v>
      </c>
      <c r="E97" s="98">
        <v>881.65000000000009</v>
      </c>
      <c r="F97" s="98">
        <v>1828.4200000000003</v>
      </c>
      <c r="G97" s="98">
        <f t="shared" si="8"/>
        <v>2710.0700000000006</v>
      </c>
      <c r="H97" s="9"/>
      <c r="I97" s="98">
        <f t="shared" si="9"/>
        <v>13.538186084221907</v>
      </c>
      <c r="J97" s="98">
        <f t="shared" si="10"/>
        <v>14.038161515404651</v>
      </c>
      <c r="K97" s="136">
        <f t="shared" si="18"/>
        <v>13.788173799813279</v>
      </c>
      <c r="L97" s="9"/>
      <c r="M97" s="118">
        <f t="shared" si="13"/>
        <v>2.4495187309170112</v>
      </c>
      <c r="N97" s="9"/>
      <c r="O97" s="142">
        <f t="shared" si="14"/>
        <v>405.29267985338174</v>
      </c>
      <c r="P97" s="9"/>
      <c r="Q97" s="118">
        <f t="shared" si="11"/>
        <v>18.73</v>
      </c>
      <c r="R97" s="119">
        <f t="shared" si="15"/>
        <v>3115.3626798533824</v>
      </c>
    </row>
    <row r="98" spans="1:18" s="26" customFormat="1" ht="12" customHeight="1">
      <c r="A98" s="160" t="s">
        <v>179</v>
      </c>
      <c r="B98" s="160" t="s">
        <v>180</v>
      </c>
      <c r="C98" s="141">
        <f t="shared" si="19"/>
        <v>3.76</v>
      </c>
      <c r="D98" s="117">
        <v>3.76</v>
      </c>
      <c r="E98" s="98">
        <v>110.88</v>
      </c>
      <c r="F98" s="98">
        <v>221.76</v>
      </c>
      <c r="G98" s="98">
        <f t="shared" si="8"/>
        <v>332.64</v>
      </c>
      <c r="H98" s="9"/>
      <c r="I98" s="98">
        <f t="shared" si="9"/>
        <v>7.3723404255319149</v>
      </c>
      <c r="J98" s="98">
        <f t="shared" si="10"/>
        <v>7.3723404255319149</v>
      </c>
      <c r="K98" s="136">
        <f t="shared" si="18"/>
        <v>7.3723404255319149</v>
      </c>
      <c r="L98" s="9"/>
      <c r="M98" s="118">
        <f t="shared" si="13"/>
        <v>0.56570871383764687</v>
      </c>
      <c r="N98" s="9"/>
      <c r="O98" s="142">
        <f t="shared" si="14"/>
        <v>50.047166641211398</v>
      </c>
      <c r="P98" s="9"/>
      <c r="Q98" s="118">
        <f t="shared" si="11"/>
        <v>4.33</v>
      </c>
      <c r="R98" s="119">
        <f t="shared" si="15"/>
        <v>382.68716664121138</v>
      </c>
    </row>
    <row r="99" spans="1:18" s="26" customFormat="1" ht="12" customHeight="1">
      <c r="A99" s="160" t="s">
        <v>181</v>
      </c>
      <c r="B99" s="160" t="s">
        <v>182</v>
      </c>
      <c r="C99" s="141">
        <f t="shared" si="19"/>
        <v>8.1591999999999985</v>
      </c>
      <c r="D99" s="117">
        <v>8.1591999999999985</v>
      </c>
      <c r="E99" s="98">
        <v>89.76</v>
      </c>
      <c r="F99" s="98">
        <v>134.63999999999999</v>
      </c>
      <c r="G99" s="98">
        <f t="shared" si="8"/>
        <v>224.39999999999998</v>
      </c>
      <c r="H99" s="9"/>
      <c r="I99" s="98">
        <f t="shared" si="9"/>
        <v>2.750269634277871</v>
      </c>
      <c r="J99" s="98">
        <f t="shared" si="10"/>
        <v>2.0627022257084029</v>
      </c>
      <c r="K99" s="136">
        <f t="shared" si="18"/>
        <v>2.4064859299931367</v>
      </c>
      <c r="L99" s="9"/>
      <c r="M99" s="118">
        <f t="shared" si="13"/>
        <v>1.2275879090276935</v>
      </c>
      <c r="N99" s="9"/>
      <c r="O99" s="142">
        <f t="shared" si="14"/>
        <v>35.450076370858071</v>
      </c>
      <c r="P99" s="9"/>
      <c r="Q99" s="118">
        <f t="shared" si="11"/>
        <v>9.39</v>
      </c>
      <c r="R99" s="119">
        <f t="shared" si="15"/>
        <v>259.85007637085806</v>
      </c>
    </row>
    <row r="100" spans="1:18" s="26" customFormat="1" ht="12" customHeight="1">
      <c r="A100" s="160" t="s">
        <v>183</v>
      </c>
      <c r="B100" s="160" t="s">
        <v>184</v>
      </c>
      <c r="C100" s="141">
        <f t="shared" si="19"/>
        <v>13.94</v>
      </c>
      <c r="D100" s="117">
        <v>13.94</v>
      </c>
      <c r="E100" s="98">
        <v>432.14</v>
      </c>
      <c r="F100" s="98">
        <v>892.16000000000008</v>
      </c>
      <c r="G100" s="98">
        <f t="shared" si="8"/>
        <v>1324.3000000000002</v>
      </c>
      <c r="H100" s="9"/>
      <c r="I100" s="98">
        <f t="shared" si="9"/>
        <v>7.75</v>
      </c>
      <c r="J100" s="98">
        <f t="shared" si="10"/>
        <v>8.0000000000000018</v>
      </c>
      <c r="K100" s="136">
        <f t="shared" si="18"/>
        <v>7.8750000000000009</v>
      </c>
      <c r="L100" s="9"/>
      <c r="M100" s="118">
        <f t="shared" si="13"/>
        <v>2.0973349656640421</v>
      </c>
      <c r="N100" s="9"/>
      <c r="O100" s="142">
        <f t="shared" si="14"/>
        <v>198.19815425525201</v>
      </c>
      <c r="P100" s="9"/>
      <c r="Q100" s="118">
        <f t="shared" si="11"/>
        <v>16.04</v>
      </c>
      <c r="R100" s="119">
        <f t="shared" si="15"/>
        <v>1522.4981542552523</v>
      </c>
    </row>
    <row r="101" spans="1:18" s="26" customFormat="1" ht="12" customHeight="1">
      <c r="A101" s="160" t="s">
        <v>185</v>
      </c>
      <c r="B101" s="160" t="s">
        <v>186</v>
      </c>
      <c r="C101" s="141">
        <f t="shared" si="19"/>
        <v>0</v>
      </c>
      <c r="D101" s="117"/>
      <c r="E101" s="98">
        <v>-4.84</v>
      </c>
      <c r="F101" s="98">
        <v>-1337.38</v>
      </c>
      <c r="G101" s="98">
        <f>SUM(E101:F101)</f>
        <v>-1342.22</v>
      </c>
      <c r="H101" s="9"/>
      <c r="I101" s="98">
        <f t="shared" si="9"/>
        <v>0</v>
      </c>
      <c r="J101" s="98">
        <f t="shared" si="10"/>
        <v>0</v>
      </c>
      <c r="K101" s="136">
        <f t="shared" si="18"/>
        <v>0</v>
      </c>
      <c r="L101" s="9"/>
      <c r="M101" s="118">
        <f t="shared" si="13"/>
        <v>0</v>
      </c>
      <c r="N101" s="9"/>
      <c r="O101" s="142">
        <f t="shared" si="14"/>
        <v>0</v>
      </c>
      <c r="P101" s="9"/>
      <c r="Q101" s="118">
        <f t="shared" si="11"/>
        <v>0</v>
      </c>
      <c r="R101" s="119"/>
    </row>
    <row r="102" spans="1:18" s="26" customFormat="1" ht="7.5" customHeight="1" thickBot="1">
      <c r="A102" s="40"/>
      <c r="B102" s="40"/>
      <c r="C102" s="40"/>
      <c r="D102" s="30"/>
      <c r="E102" s="31"/>
      <c r="F102" s="31"/>
      <c r="G102" s="32"/>
      <c r="H102" s="2"/>
      <c r="I102" s="31"/>
      <c r="J102" s="31"/>
      <c r="K102" s="36"/>
      <c r="L102" s="2"/>
      <c r="M102" s="2"/>
      <c r="N102" s="2"/>
      <c r="O102" s="2"/>
      <c r="P102" s="2"/>
      <c r="Q102" s="2"/>
      <c r="R102" s="2"/>
    </row>
    <row r="103" spans="1:18" s="58" customFormat="1" ht="13.5" customHeight="1" thickBot="1">
      <c r="A103" s="55"/>
      <c r="B103" s="43" t="s">
        <v>187</v>
      </c>
      <c r="C103" s="43"/>
      <c r="D103" s="56"/>
      <c r="E103" s="45">
        <f>SUM(E40:E102)</f>
        <v>137705.08000000002</v>
      </c>
      <c r="F103" s="45">
        <f>SUM(F40:F102)</f>
        <v>308276.44999999984</v>
      </c>
      <c r="G103" s="45">
        <f>SUM(G40:G102)</f>
        <v>445981.52999999997</v>
      </c>
      <c r="H103" s="57"/>
      <c r="I103" s="46"/>
      <c r="J103" s="46"/>
      <c r="K103" s="47">
        <f>+SUM(K40:K70)</f>
        <v>239.75435247297827</v>
      </c>
      <c r="L103" s="46"/>
      <c r="M103" s="46"/>
      <c r="N103" s="46"/>
      <c r="O103" s="48">
        <f>SUM(O40:O101)</f>
        <v>64792.405655957002</v>
      </c>
      <c r="P103" s="46"/>
      <c r="Q103" s="46"/>
      <c r="R103" s="49">
        <f>SUM(R40:R101)</f>
        <v>512116.15565595689</v>
      </c>
    </row>
    <row r="104" spans="1:18" s="26" customFormat="1" ht="7.5" customHeight="1">
      <c r="A104" s="59"/>
      <c r="B104" s="59"/>
      <c r="C104" s="59"/>
      <c r="D104" s="53"/>
      <c r="E104" s="60"/>
      <c r="F104" s="60"/>
      <c r="G104" s="32"/>
      <c r="H104" s="2"/>
      <c r="I104" s="31"/>
      <c r="J104" s="31"/>
      <c r="K104" s="36"/>
      <c r="L104" s="2"/>
      <c r="M104" s="2"/>
      <c r="N104" s="2"/>
      <c r="O104" s="2"/>
      <c r="P104" s="2"/>
      <c r="Q104" s="2"/>
      <c r="R104" s="2"/>
    </row>
    <row r="105" spans="1:18" ht="12" customHeight="1">
      <c r="A105" s="27" t="s">
        <v>188</v>
      </c>
      <c r="B105" s="27" t="s">
        <v>188</v>
      </c>
      <c r="C105" s="27"/>
      <c r="I105" s="36"/>
      <c r="J105" s="36"/>
      <c r="K105" s="36"/>
    </row>
    <row r="106" spans="1:18" ht="7.5" customHeight="1">
      <c r="A106" s="52"/>
      <c r="B106" s="52"/>
      <c r="C106" s="52"/>
      <c r="I106" s="36"/>
      <c r="J106" s="36"/>
      <c r="K106" s="36"/>
    </row>
    <row r="107" spans="1:18" ht="12" customHeight="1">
      <c r="A107" s="61" t="s">
        <v>189</v>
      </c>
      <c r="B107" s="61" t="s">
        <v>189</v>
      </c>
      <c r="C107" s="35"/>
      <c r="I107" s="36"/>
      <c r="J107" s="36"/>
      <c r="K107" s="36"/>
    </row>
    <row r="108" spans="1:18" ht="12" customHeight="1">
      <c r="A108" s="22" t="s">
        <v>190</v>
      </c>
      <c r="B108" s="22" t="s">
        <v>191</v>
      </c>
      <c r="C108" s="35">
        <v>97.05</v>
      </c>
      <c r="D108" s="30">
        <v>97.05</v>
      </c>
      <c r="E108" s="31">
        <v>97.05</v>
      </c>
      <c r="F108" s="31">
        <v>792.30000000000007</v>
      </c>
      <c r="G108" s="31">
        <f t="shared" ref="G108:G114" si="20">SUM(E108:F108)</f>
        <v>889.35</v>
      </c>
      <c r="I108" s="31">
        <f t="shared" ref="I108:I128" si="21">IFERROR(E108/($C108),0)/4</f>
        <v>0.25</v>
      </c>
      <c r="J108" s="31">
        <f t="shared" ref="J108:J128" si="22">IFERROR(F108/($D108),0)/8</f>
        <v>1.0204791344667699</v>
      </c>
      <c r="K108" s="36">
        <f t="shared" ref="K108:K128" si="23">IFERROR(AVERAGEIF(I108:J108,"&lt;&gt;0"),0)</f>
        <v>0.63523956723338493</v>
      </c>
      <c r="M108" s="37">
        <f>$M$6*D108</f>
        <v>14.601603903708412</v>
      </c>
      <c r="N108" s="24"/>
      <c r="O108" s="25">
        <f>K108*SUM(M108:M108)*12</f>
        <v>111.30619853646044</v>
      </c>
      <c r="P108" s="24"/>
      <c r="Q108" s="32">
        <f t="shared" ref="Q108:Q128" si="24">ROUND((+D108+SUM(M108:M108)),2)</f>
        <v>111.65</v>
      </c>
      <c r="R108" s="38">
        <f>G108+O108</f>
        <v>1000.6561985364605</v>
      </c>
    </row>
    <row r="109" spans="1:18" ht="12" customHeight="1">
      <c r="A109" s="22" t="s">
        <v>192</v>
      </c>
      <c r="B109" s="22" t="s">
        <v>191</v>
      </c>
      <c r="C109" s="35">
        <v>155.28</v>
      </c>
      <c r="D109" s="30">
        <v>155.28</v>
      </c>
      <c r="E109" s="31">
        <v>1552.8</v>
      </c>
      <c r="F109" s="31">
        <v>2527.54</v>
      </c>
      <c r="G109" s="31">
        <f t="shared" si="20"/>
        <v>4080.34</v>
      </c>
      <c r="I109" s="31">
        <f t="shared" si="21"/>
        <v>2.5</v>
      </c>
      <c r="J109" s="31">
        <f t="shared" si="22"/>
        <v>2.0346631890777949</v>
      </c>
      <c r="K109" s="36">
        <f t="shared" si="23"/>
        <v>2.2673315945388977</v>
      </c>
      <c r="M109" s="37">
        <f t="shared" ref="M109:M128" si="25">$M$6*D109</f>
        <v>23.362566245933461</v>
      </c>
      <c r="N109" s="24"/>
      <c r="O109" s="25">
        <f>K109*SUM(M109:M109)*12</f>
        <v>635.64821494695536</v>
      </c>
      <c r="P109" s="24"/>
      <c r="Q109" s="32">
        <f t="shared" si="24"/>
        <v>178.64</v>
      </c>
      <c r="R109" s="38">
        <f t="shared" ref="R109:R128" si="26">G109+O109</f>
        <v>4715.9882149469558</v>
      </c>
    </row>
    <row r="110" spans="1:18" ht="12" customHeight="1">
      <c r="A110" s="22" t="s">
        <v>193</v>
      </c>
      <c r="B110" s="22" t="s">
        <v>194</v>
      </c>
      <c r="C110" s="35">
        <v>121.75</v>
      </c>
      <c r="D110" s="30">
        <v>121.75</v>
      </c>
      <c r="E110" s="31">
        <v>2191.5</v>
      </c>
      <c r="F110" s="31">
        <v>1339.25</v>
      </c>
      <c r="G110" s="31">
        <f t="shared" si="20"/>
        <v>3530.75</v>
      </c>
      <c r="I110" s="31">
        <f t="shared" si="21"/>
        <v>4.5</v>
      </c>
      <c r="J110" s="31">
        <f t="shared" si="22"/>
        <v>1.375</v>
      </c>
      <c r="K110" s="36">
        <f t="shared" si="23"/>
        <v>2.9375</v>
      </c>
      <c r="M110" s="37">
        <f t="shared" si="25"/>
        <v>18.317828699397211</v>
      </c>
      <c r="N110" s="24"/>
      <c r="O110" s="25">
        <f t="shared" ref="O110:O128" si="27">K110*SUM(M110:M110)*12</f>
        <v>645.70346165375167</v>
      </c>
      <c r="P110" s="24"/>
      <c r="Q110" s="32">
        <f t="shared" si="24"/>
        <v>140.07</v>
      </c>
      <c r="R110" s="38">
        <f t="shared" si="26"/>
        <v>4176.4534616537512</v>
      </c>
    </row>
    <row r="111" spans="1:18" ht="12" customHeight="1">
      <c r="A111" s="22" t="s">
        <v>195</v>
      </c>
      <c r="B111" s="22" t="s">
        <v>194</v>
      </c>
      <c r="C111" s="35">
        <v>280.56</v>
      </c>
      <c r="D111" s="30">
        <v>280.56</v>
      </c>
      <c r="E111" s="31">
        <v>4208.3999999999996</v>
      </c>
      <c r="F111" s="31">
        <v>9302.02</v>
      </c>
      <c r="G111" s="31">
        <f t="shared" si="20"/>
        <v>13510.42</v>
      </c>
      <c r="I111" s="31">
        <f t="shared" si="21"/>
        <v>3.7499999999999996</v>
      </c>
      <c r="J111" s="31">
        <f t="shared" si="22"/>
        <v>4.1443987025948106</v>
      </c>
      <c r="K111" s="36">
        <f t="shared" si="23"/>
        <v>3.9471993512974048</v>
      </c>
      <c r="M111" s="37">
        <f t="shared" si="25"/>
        <v>42.211499136779317</v>
      </c>
      <c r="N111" s="24"/>
      <c r="O111" s="25">
        <f t="shared" si="27"/>
        <v>1999.4064241198353</v>
      </c>
      <c r="P111" s="24"/>
      <c r="Q111" s="32">
        <f t="shared" si="24"/>
        <v>322.77</v>
      </c>
      <c r="R111" s="38">
        <f t="shared" si="26"/>
        <v>15509.826424119836</v>
      </c>
    </row>
    <row r="112" spans="1:18" ht="12" customHeight="1">
      <c r="A112" s="22" t="s">
        <v>196</v>
      </c>
      <c r="B112" s="22" t="s">
        <v>197</v>
      </c>
      <c r="C112" s="35">
        <v>97.05</v>
      </c>
      <c r="D112" s="30">
        <v>97.05</v>
      </c>
      <c r="E112" s="31">
        <v>-97.05</v>
      </c>
      <c r="F112" s="31">
        <v>97.05</v>
      </c>
      <c r="G112" s="31">
        <f t="shared" si="20"/>
        <v>0</v>
      </c>
      <c r="I112" s="31">
        <f t="shared" si="21"/>
        <v>-0.25</v>
      </c>
      <c r="J112" s="31">
        <f t="shared" si="22"/>
        <v>0.125</v>
      </c>
      <c r="K112" s="36">
        <f t="shared" si="23"/>
        <v>-6.25E-2</v>
      </c>
      <c r="M112" s="37">
        <f t="shared" si="25"/>
        <v>14.601603903708412</v>
      </c>
      <c r="N112" s="24"/>
      <c r="O112" s="25">
        <f t="shared" si="27"/>
        <v>-10.95120292778131</v>
      </c>
      <c r="P112" s="24"/>
      <c r="Q112" s="32">
        <f t="shared" si="24"/>
        <v>111.65</v>
      </c>
      <c r="R112" s="38">
        <f t="shared" si="26"/>
        <v>-10.95120292778131</v>
      </c>
    </row>
    <row r="113" spans="1:18" ht="12" customHeight="1">
      <c r="A113" s="22" t="s">
        <v>198</v>
      </c>
      <c r="B113" s="22" t="s">
        <v>199</v>
      </c>
      <c r="C113" s="35">
        <v>121.75</v>
      </c>
      <c r="D113" s="30">
        <v>121.75</v>
      </c>
      <c r="E113" s="31">
        <v>4261.25</v>
      </c>
      <c r="F113" s="31">
        <v>4261.25</v>
      </c>
      <c r="G113" s="31">
        <f t="shared" si="20"/>
        <v>8522.5</v>
      </c>
      <c r="I113" s="31">
        <f t="shared" si="21"/>
        <v>8.75</v>
      </c>
      <c r="J113" s="31">
        <f t="shared" si="22"/>
        <v>4.375</v>
      </c>
      <c r="K113" s="36">
        <f t="shared" si="23"/>
        <v>6.5625</v>
      </c>
      <c r="M113" s="37">
        <f t="shared" si="25"/>
        <v>18.317828699397211</v>
      </c>
      <c r="N113" s="24"/>
      <c r="O113" s="25">
        <f t="shared" si="27"/>
        <v>1442.5290100775305</v>
      </c>
      <c r="P113" s="24"/>
      <c r="Q113" s="32">
        <f t="shared" si="24"/>
        <v>140.07</v>
      </c>
      <c r="R113" s="38">
        <f t="shared" si="26"/>
        <v>9965.029010077531</v>
      </c>
    </row>
    <row r="114" spans="1:18" ht="12" customHeight="1">
      <c r="A114" s="62" t="s">
        <v>200</v>
      </c>
      <c r="B114" s="22" t="s">
        <v>201</v>
      </c>
      <c r="C114" s="35">
        <v>112.22</v>
      </c>
      <c r="D114" s="30">
        <v>112.22</v>
      </c>
      <c r="E114" s="31">
        <v>224.44</v>
      </c>
      <c r="F114" s="31">
        <v>336.66</v>
      </c>
      <c r="G114" s="31">
        <f t="shared" si="20"/>
        <v>561.1</v>
      </c>
      <c r="I114" s="31">
        <f t="shared" si="21"/>
        <v>0.5</v>
      </c>
      <c r="J114" s="31">
        <f t="shared" si="22"/>
        <v>0.37500000000000006</v>
      </c>
      <c r="K114" s="36">
        <f t="shared" si="23"/>
        <v>0.4375</v>
      </c>
      <c r="M114" s="37">
        <f t="shared" si="25"/>
        <v>16.883997836931048</v>
      </c>
      <c r="N114" s="24"/>
      <c r="O114" s="25">
        <f>K114*SUM(M114:M114)*12</f>
        <v>88.640988643888008</v>
      </c>
      <c r="P114" s="24"/>
      <c r="Q114" s="32">
        <f t="shared" si="24"/>
        <v>129.1</v>
      </c>
      <c r="R114" s="38">
        <f t="shared" si="26"/>
        <v>649.74098864388804</v>
      </c>
    </row>
    <row r="115" spans="1:18" ht="12" customHeight="1">
      <c r="A115" s="22" t="s">
        <v>202</v>
      </c>
      <c r="B115" s="22" t="s">
        <v>203</v>
      </c>
      <c r="C115" s="35">
        <v>112.22</v>
      </c>
      <c r="D115" s="30">
        <v>112.22</v>
      </c>
      <c r="E115" s="31">
        <v>2581.0600000000004</v>
      </c>
      <c r="F115" s="31">
        <v>11846.599999999999</v>
      </c>
      <c r="G115" s="31">
        <f>SUM(E115:F115)</f>
        <v>14427.66</v>
      </c>
      <c r="I115" s="31">
        <f t="shared" si="21"/>
        <v>5.7500000000000009</v>
      </c>
      <c r="J115" s="31">
        <f t="shared" si="22"/>
        <v>13.195731598645516</v>
      </c>
      <c r="K115" s="36">
        <f t="shared" si="23"/>
        <v>9.4728657993227579</v>
      </c>
      <c r="M115" s="37">
        <f t="shared" si="25"/>
        <v>16.883997836931048</v>
      </c>
      <c r="N115" s="24"/>
      <c r="O115" s="25">
        <f t="shared" si="27"/>
        <v>1919.2781479836426</v>
      </c>
      <c r="P115" s="24"/>
      <c r="Q115" s="32">
        <f t="shared" si="24"/>
        <v>129.1</v>
      </c>
      <c r="R115" s="38">
        <f t="shared" si="26"/>
        <v>16346.938147983643</v>
      </c>
    </row>
    <row r="116" spans="1:18" ht="12" customHeight="1">
      <c r="A116" s="22" t="s">
        <v>204</v>
      </c>
      <c r="B116" s="22" t="s">
        <v>205</v>
      </c>
      <c r="C116" s="35">
        <v>162.1</v>
      </c>
      <c r="D116" s="30">
        <v>162.1</v>
      </c>
      <c r="E116" s="31">
        <v>14684.64</v>
      </c>
      <c r="F116" s="31">
        <v>26958.400000000001</v>
      </c>
      <c r="G116" s="31">
        <f>SUM(E116:F116)</f>
        <v>41643.040000000001</v>
      </c>
      <c r="I116" s="31">
        <f t="shared" si="21"/>
        <v>22.647501542257867</v>
      </c>
      <c r="J116" s="31">
        <f t="shared" si="22"/>
        <v>20.788402220851328</v>
      </c>
      <c r="K116" s="36">
        <f t="shared" si="23"/>
        <v>21.717951881554598</v>
      </c>
      <c r="M116" s="37">
        <f t="shared" si="25"/>
        <v>24.388665561990042</v>
      </c>
      <c r="N116" s="24"/>
      <c r="O116" s="25">
        <f t="shared" si="27"/>
        <v>6356.0623815675299</v>
      </c>
      <c r="P116" s="24"/>
      <c r="Q116" s="32">
        <f t="shared" si="24"/>
        <v>186.49</v>
      </c>
      <c r="R116" s="38">
        <f t="shared" si="26"/>
        <v>47999.102381567529</v>
      </c>
    </row>
    <row r="117" spans="1:18" ht="12" customHeight="1">
      <c r="A117" s="22" t="s">
        <v>206</v>
      </c>
      <c r="B117" s="22" t="s">
        <v>207</v>
      </c>
      <c r="C117" s="35">
        <v>294.08999999999997</v>
      </c>
      <c r="D117" s="30">
        <v>294.08999999999997</v>
      </c>
      <c r="E117" s="31">
        <v>2632.27</v>
      </c>
      <c r="F117" s="31">
        <v>8690.43</v>
      </c>
      <c r="G117" s="31">
        <f>SUM(E117:F117)</f>
        <v>11322.7</v>
      </c>
      <c r="I117" s="31">
        <f t="shared" si="21"/>
        <v>2.2376398381447857</v>
      </c>
      <c r="J117" s="31">
        <f t="shared" si="22"/>
        <v>3.69377996531674</v>
      </c>
      <c r="K117" s="36">
        <f t="shared" si="23"/>
        <v>2.9657099017307629</v>
      </c>
      <c r="M117" s="37">
        <f t="shared" si="25"/>
        <v>44.247147779923822</v>
      </c>
      <c r="N117" s="24"/>
      <c r="O117" s="25">
        <f t="shared" si="27"/>
        <v>1574.690451531173</v>
      </c>
      <c r="P117" s="24"/>
      <c r="Q117" s="32">
        <f t="shared" si="24"/>
        <v>338.34</v>
      </c>
      <c r="R117" s="38">
        <f t="shared" si="26"/>
        <v>12897.390451531173</v>
      </c>
    </row>
    <row r="118" spans="1:18" ht="12" customHeight="1">
      <c r="A118" s="22" t="s">
        <v>208</v>
      </c>
      <c r="B118" s="22" t="s">
        <v>209</v>
      </c>
      <c r="C118" s="35">
        <v>582.29999999999995</v>
      </c>
      <c r="D118" s="30">
        <v>582.29999999999995</v>
      </c>
      <c r="E118" s="31">
        <v>0</v>
      </c>
      <c r="F118" s="31">
        <v>582.29999999999995</v>
      </c>
      <c r="G118" s="31">
        <f t="shared" ref="G118:G128" si="28">SUM(E118:F118)</f>
        <v>582.29999999999995</v>
      </c>
      <c r="I118" s="31">
        <f t="shared" si="21"/>
        <v>0</v>
      </c>
      <c r="J118" s="31">
        <f t="shared" si="22"/>
        <v>0.125</v>
      </c>
      <c r="K118" s="36">
        <f t="shared" si="23"/>
        <v>0.125</v>
      </c>
      <c r="M118" s="37">
        <f t="shared" si="25"/>
        <v>87.609623422250479</v>
      </c>
      <c r="N118" s="24"/>
      <c r="O118" s="25">
        <f t="shared" si="27"/>
        <v>131.41443513337572</v>
      </c>
      <c r="P118" s="24"/>
      <c r="Q118" s="32">
        <f t="shared" si="24"/>
        <v>669.91</v>
      </c>
      <c r="R118" s="38">
        <f t="shared" si="26"/>
        <v>713.71443513337567</v>
      </c>
    </row>
    <row r="119" spans="1:18" ht="12" customHeight="1">
      <c r="A119" s="22" t="s">
        <v>210</v>
      </c>
      <c r="B119" s="22" t="s">
        <v>211</v>
      </c>
      <c r="C119" s="35">
        <v>50.11</v>
      </c>
      <c r="D119" s="30">
        <v>50.11</v>
      </c>
      <c r="E119" s="31">
        <v>1102.42</v>
      </c>
      <c r="F119" s="31">
        <v>4008.7999999999997</v>
      </c>
      <c r="G119" s="31">
        <f t="shared" si="28"/>
        <v>5111.2199999999993</v>
      </c>
      <c r="I119" s="31">
        <f t="shared" si="21"/>
        <v>5.5</v>
      </c>
      <c r="J119" s="31">
        <f t="shared" si="22"/>
        <v>10</v>
      </c>
      <c r="K119" s="36">
        <f t="shared" si="23"/>
        <v>7.75</v>
      </c>
      <c r="M119" s="37">
        <f t="shared" si="25"/>
        <v>7.5392722474480021</v>
      </c>
      <c r="N119" s="24"/>
      <c r="O119" s="25">
        <f t="shared" si="27"/>
        <v>701.15231901266418</v>
      </c>
      <c r="P119" s="24"/>
      <c r="Q119" s="32">
        <f t="shared" si="24"/>
        <v>57.65</v>
      </c>
      <c r="R119" s="38">
        <f t="shared" si="26"/>
        <v>5812.3723190126639</v>
      </c>
    </row>
    <row r="120" spans="1:18" ht="12" customHeight="1">
      <c r="A120" s="22" t="s">
        <v>212</v>
      </c>
      <c r="B120" s="22" t="s">
        <v>213</v>
      </c>
      <c r="C120" s="35">
        <v>50.11</v>
      </c>
      <c r="D120" s="30">
        <v>50.11</v>
      </c>
      <c r="E120" s="31">
        <v>350.77</v>
      </c>
      <c r="F120" s="31">
        <v>1803.96</v>
      </c>
      <c r="G120" s="31">
        <f>SUM(E120:F120)</f>
        <v>2154.73</v>
      </c>
      <c r="I120" s="31">
        <f t="shared" si="21"/>
        <v>1.75</v>
      </c>
      <c r="J120" s="31">
        <f t="shared" si="22"/>
        <v>4.5</v>
      </c>
      <c r="K120" s="36">
        <f t="shared" si="23"/>
        <v>3.125</v>
      </c>
      <c r="M120" s="37">
        <f t="shared" si="25"/>
        <v>7.5392722474480021</v>
      </c>
      <c r="N120" s="24"/>
      <c r="O120" s="25">
        <f t="shared" si="27"/>
        <v>282.72270927930009</v>
      </c>
      <c r="P120" s="24"/>
      <c r="Q120" s="32">
        <f t="shared" si="24"/>
        <v>57.65</v>
      </c>
      <c r="R120" s="38">
        <f t="shared" si="26"/>
        <v>2437.4527092793001</v>
      </c>
    </row>
    <row r="121" spans="1:18" ht="12" customHeight="1">
      <c r="A121" s="22" t="s">
        <v>214</v>
      </c>
      <c r="B121" s="22" t="s">
        <v>215</v>
      </c>
      <c r="C121" s="35">
        <v>4.3499999999999996</v>
      </c>
      <c r="D121" s="30">
        <v>4.3499999999999996</v>
      </c>
      <c r="E121" s="31">
        <v>2240.25</v>
      </c>
      <c r="F121" s="31">
        <v>7407.18</v>
      </c>
      <c r="G121" s="31">
        <f t="shared" si="28"/>
        <v>9647.43</v>
      </c>
      <c r="I121" s="31">
        <f t="shared" si="21"/>
        <v>128.75</v>
      </c>
      <c r="J121" s="31">
        <f t="shared" si="22"/>
        <v>212.85000000000002</v>
      </c>
      <c r="K121" s="36">
        <f t="shared" si="23"/>
        <v>170.8</v>
      </c>
      <c r="M121" s="37">
        <f t="shared" si="25"/>
        <v>0.65447683648770316</v>
      </c>
      <c r="N121" s="24"/>
      <c r="O121" s="25">
        <f t="shared" si="27"/>
        <v>1341.4157240651964</v>
      </c>
      <c r="P121" s="24"/>
      <c r="Q121" s="32">
        <f t="shared" si="24"/>
        <v>5</v>
      </c>
      <c r="R121" s="38">
        <f t="shared" si="26"/>
        <v>10988.845724065197</v>
      </c>
    </row>
    <row r="122" spans="1:18" ht="12" customHeight="1">
      <c r="A122" s="22" t="s">
        <v>216</v>
      </c>
      <c r="B122" s="22" t="s">
        <v>217</v>
      </c>
      <c r="C122" s="35">
        <v>124.69</v>
      </c>
      <c r="D122" s="30">
        <v>124.69</v>
      </c>
      <c r="E122" s="31">
        <v>506.88</v>
      </c>
      <c r="F122" s="31">
        <v>748.14</v>
      </c>
      <c r="G122" s="31">
        <f t="shared" si="28"/>
        <v>1255.02</v>
      </c>
      <c r="I122" s="31">
        <f t="shared" si="21"/>
        <v>1.0162803753308205</v>
      </c>
      <c r="J122" s="31">
        <f t="shared" si="22"/>
        <v>0.75</v>
      </c>
      <c r="K122" s="36">
        <f t="shared" si="23"/>
        <v>0.88314018766541025</v>
      </c>
      <c r="M122" s="37">
        <f t="shared" si="25"/>
        <v>18.760164768195796</v>
      </c>
      <c r="N122" s="24"/>
      <c r="O122" s="25">
        <f t="shared" si="27"/>
        <v>198.81426520822146</v>
      </c>
      <c r="P122" s="24"/>
      <c r="Q122" s="32">
        <f t="shared" si="24"/>
        <v>143.44999999999999</v>
      </c>
      <c r="R122" s="38">
        <f t="shared" si="26"/>
        <v>1453.8342652082215</v>
      </c>
    </row>
    <row r="123" spans="1:18" ht="12" customHeight="1">
      <c r="A123" s="22" t="s">
        <v>218</v>
      </c>
      <c r="B123" s="22" t="s">
        <v>219</v>
      </c>
      <c r="C123" s="35">
        <v>8.1199999999999992</v>
      </c>
      <c r="D123" s="30">
        <v>8.1199999999999992</v>
      </c>
      <c r="E123" s="31">
        <v>1403.6000000000001</v>
      </c>
      <c r="F123" s="31">
        <v>10949.04</v>
      </c>
      <c r="G123" s="31">
        <f t="shared" si="28"/>
        <v>12352.640000000001</v>
      </c>
      <c r="I123" s="31">
        <f t="shared" si="21"/>
        <v>43.214285714285722</v>
      </c>
      <c r="J123" s="31">
        <f t="shared" si="22"/>
        <v>168.55049261083747</v>
      </c>
      <c r="K123" s="36">
        <f t="shared" si="23"/>
        <v>105.88238916256159</v>
      </c>
      <c r="M123" s="37">
        <f t="shared" si="25"/>
        <v>1.2216900947770459</v>
      </c>
      <c r="N123" s="24"/>
      <c r="O123" s="25">
        <f t="shared" si="27"/>
        <v>1552.2655926147593</v>
      </c>
      <c r="P123" s="24"/>
      <c r="Q123" s="32">
        <f t="shared" si="24"/>
        <v>9.34</v>
      </c>
      <c r="R123" s="38">
        <f t="shared" si="26"/>
        <v>13904.905592614761</v>
      </c>
    </row>
    <row r="124" spans="1:18" ht="12" customHeight="1">
      <c r="A124" s="22" t="s">
        <v>220</v>
      </c>
      <c r="B124" s="22" t="s">
        <v>219</v>
      </c>
      <c r="C124" s="35">
        <v>124.69</v>
      </c>
      <c r="D124" s="30">
        <v>124.69</v>
      </c>
      <c r="E124" s="31">
        <v>0</v>
      </c>
      <c r="F124" s="31">
        <v>2149.3200000000002</v>
      </c>
      <c r="G124" s="31">
        <f t="shared" si="28"/>
        <v>2149.3200000000002</v>
      </c>
      <c r="I124" s="31">
        <f t="shared" si="21"/>
        <v>0</v>
      </c>
      <c r="J124" s="31">
        <f t="shared" si="22"/>
        <v>2.1546635656427942</v>
      </c>
      <c r="K124" s="36">
        <f t="shared" si="23"/>
        <v>2.1546635656427942</v>
      </c>
      <c r="M124" s="37">
        <f t="shared" si="25"/>
        <v>18.760164768195796</v>
      </c>
      <c r="N124" s="24"/>
      <c r="O124" s="25">
        <f t="shared" si="27"/>
        <v>485.06212213784488</v>
      </c>
      <c r="P124" s="24"/>
      <c r="Q124" s="32">
        <f t="shared" si="24"/>
        <v>143.44999999999999</v>
      </c>
      <c r="R124" s="38">
        <f t="shared" si="26"/>
        <v>2634.3821221378448</v>
      </c>
    </row>
    <row r="125" spans="1:18" ht="12" customHeight="1">
      <c r="A125" s="22" t="s">
        <v>221</v>
      </c>
      <c r="B125" s="22" t="s">
        <v>222</v>
      </c>
      <c r="C125" s="35">
        <v>8.1199999999999992</v>
      </c>
      <c r="D125" s="30">
        <v>8.1199999999999992</v>
      </c>
      <c r="E125" s="31">
        <v>3239.88</v>
      </c>
      <c r="F125" s="31">
        <v>194.88</v>
      </c>
      <c r="G125" s="31">
        <f t="shared" si="28"/>
        <v>3434.76</v>
      </c>
      <c r="I125" s="31">
        <f t="shared" si="21"/>
        <v>99.750000000000014</v>
      </c>
      <c r="J125" s="31">
        <f t="shared" si="22"/>
        <v>3</v>
      </c>
      <c r="K125" s="36">
        <f t="shared" si="23"/>
        <v>51.375000000000007</v>
      </c>
      <c r="M125" s="37">
        <f t="shared" si="25"/>
        <v>1.2216900947770459</v>
      </c>
      <c r="N125" s="24"/>
      <c r="O125" s="25">
        <f t="shared" si="27"/>
        <v>753.17194343004894</v>
      </c>
      <c r="P125" s="24"/>
      <c r="Q125" s="32">
        <f t="shared" si="24"/>
        <v>9.34</v>
      </c>
      <c r="R125" s="38">
        <f t="shared" si="26"/>
        <v>4187.9319434300487</v>
      </c>
    </row>
    <row r="126" spans="1:18" ht="12" customHeight="1">
      <c r="A126" s="22" t="s">
        <v>223</v>
      </c>
      <c r="B126" s="22" t="s">
        <v>224</v>
      </c>
      <c r="C126" s="35">
        <v>58.230000000000004</v>
      </c>
      <c r="D126" s="30">
        <f>C126</f>
        <v>58.230000000000004</v>
      </c>
      <c r="E126" s="31">
        <v>1122.21</v>
      </c>
      <c r="F126" s="31">
        <v>12766.55</v>
      </c>
      <c r="G126" s="31">
        <f t="shared" si="28"/>
        <v>13888.759999999998</v>
      </c>
      <c r="I126" s="31">
        <f t="shared" si="21"/>
        <v>4.8180061823802163</v>
      </c>
      <c r="J126" s="31">
        <f t="shared" si="22"/>
        <v>27.405439635926495</v>
      </c>
      <c r="K126" s="36">
        <f t="shared" si="23"/>
        <v>16.111722909153357</v>
      </c>
      <c r="M126" s="37">
        <f t="shared" si="25"/>
        <v>8.7609623422250493</v>
      </c>
      <c r="N126" s="24"/>
      <c r="O126" s="25">
        <f t="shared" si="27"/>
        <v>1693.850372105486</v>
      </c>
      <c r="P126" s="24"/>
      <c r="Q126" s="32">
        <f t="shared" si="24"/>
        <v>66.989999999999995</v>
      </c>
      <c r="R126" s="38">
        <f t="shared" si="26"/>
        <v>15582.610372105484</v>
      </c>
    </row>
    <row r="127" spans="1:18" ht="12" customHeight="1">
      <c r="A127" s="22" t="s">
        <v>225</v>
      </c>
      <c r="B127" s="22" t="s">
        <v>226</v>
      </c>
      <c r="C127" s="35">
        <v>158.81</v>
      </c>
      <c r="D127" s="30">
        <f>C127</f>
        <v>158.81</v>
      </c>
      <c r="E127" s="31">
        <v>374.07</v>
      </c>
      <c r="F127" s="31">
        <v>1246.9000000000001</v>
      </c>
      <c r="G127" s="31">
        <f t="shared" si="28"/>
        <v>1620.97</v>
      </c>
      <c r="I127" s="31">
        <f t="shared" si="21"/>
        <v>0.58886405138215481</v>
      </c>
      <c r="J127" s="31">
        <f t="shared" si="22"/>
        <v>0.98144008563692464</v>
      </c>
      <c r="K127" s="36">
        <f t="shared" si="23"/>
        <v>0.78515206850953967</v>
      </c>
      <c r="M127" s="37">
        <f t="shared" si="25"/>
        <v>23.893670437382102</v>
      </c>
      <c r="N127" s="24"/>
      <c r="O127" s="25">
        <f t="shared" si="27"/>
        <v>225.12197721834957</v>
      </c>
      <c r="P127" s="24"/>
      <c r="Q127" s="32">
        <f t="shared" si="24"/>
        <v>182.7</v>
      </c>
      <c r="R127" s="38">
        <f t="shared" si="26"/>
        <v>1846.0919772183497</v>
      </c>
    </row>
    <row r="128" spans="1:18" ht="12" customHeight="1">
      <c r="A128" s="22" t="s">
        <v>227</v>
      </c>
      <c r="B128" s="22" t="s">
        <v>228</v>
      </c>
      <c r="C128" s="35"/>
      <c r="E128" s="31">
        <v>0</v>
      </c>
      <c r="F128" s="31">
        <v>-7.57</v>
      </c>
      <c r="G128" s="31">
        <f t="shared" si="28"/>
        <v>-7.57</v>
      </c>
      <c r="I128" s="31">
        <f t="shared" si="21"/>
        <v>0</v>
      </c>
      <c r="J128" s="31">
        <f t="shared" si="22"/>
        <v>0</v>
      </c>
      <c r="K128" s="36">
        <f t="shared" si="23"/>
        <v>0</v>
      </c>
      <c r="M128" s="37">
        <f t="shared" si="25"/>
        <v>0</v>
      </c>
      <c r="N128" s="24"/>
      <c r="O128" s="25">
        <f t="shared" si="27"/>
        <v>0</v>
      </c>
      <c r="P128" s="24"/>
      <c r="Q128" s="32">
        <f t="shared" si="24"/>
        <v>0</v>
      </c>
      <c r="R128" s="38">
        <f t="shared" si="26"/>
        <v>-7.57</v>
      </c>
    </row>
    <row r="129" spans="1:18" ht="7.5" customHeight="1" thickBot="1">
      <c r="A129" s="63"/>
      <c r="B129" s="63"/>
      <c r="C129" s="33"/>
      <c r="E129" s="31"/>
      <c r="F129" s="31"/>
      <c r="G129" s="36"/>
      <c r="I129" s="31"/>
      <c r="J129" s="31"/>
      <c r="K129" s="64"/>
    </row>
    <row r="130" spans="1:18" s="67" customFormat="1" ht="13.5" customHeight="1" thickBot="1">
      <c r="A130" s="65"/>
      <c r="B130" s="65"/>
      <c r="C130" s="65"/>
      <c r="D130" s="65"/>
      <c r="E130" s="45">
        <f>SUM(E108:E129)</f>
        <v>42676.439999999988</v>
      </c>
      <c r="F130" s="45">
        <f>SUM(F108:F129)</f>
        <v>108001.00000000001</v>
      </c>
      <c r="G130" s="45">
        <f>SUM(G108:G129)</f>
        <v>150677.44000000003</v>
      </c>
      <c r="H130" s="65"/>
      <c r="I130" s="66"/>
      <c r="J130" s="66"/>
      <c r="K130" s="47">
        <f>SUM(K126:K127)</f>
        <v>16.896874977662897</v>
      </c>
      <c r="L130" s="33"/>
      <c r="M130" s="33"/>
      <c r="N130" s="33"/>
      <c r="O130" s="48">
        <f>SUM(O108:P128)</f>
        <v>22127.305536338237</v>
      </c>
      <c r="P130" s="46"/>
      <c r="Q130" s="46"/>
      <c r="R130" s="49">
        <f>SUM(R108:S128)</f>
        <v>172804.74553633822</v>
      </c>
    </row>
    <row r="131" spans="1:18" s="67" customFormat="1" ht="7.5" customHeight="1">
      <c r="A131" s="68"/>
      <c r="B131" s="68"/>
      <c r="C131" s="68"/>
      <c r="D131" s="53"/>
      <c r="E131" s="69"/>
      <c r="F131" s="69"/>
      <c r="G131" s="3"/>
      <c r="H131" s="3"/>
      <c r="I131" s="70"/>
      <c r="J131" s="70"/>
      <c r="K131" s="70"/>
      <c r="L131" s="33"/>
      <c r="M131" s="33"/>
      <c r="N131" s="33"/>
      <c r="O131" s="71"/>
      <c r="P131" s="33"/>
      <c r="Q131" s="33"/>
      <c r="R131" s="33"/>
    </row>
    <row r="132" spans="1:18" s="67" customFormat="1" ht="12" customHeight="1">
      <c r="A132" s="61" t="s">
        <v>229</v>
      </c>
      <c r="B132" s="61" t="s">
        <v>229</v>
      </c>
      <c r="C132" s="61"/>
      <c r="D132" s="3"/>
      <c r="E132" s="3"/>
      <c r="F132" s="3"/>
      <c r="G132" s="3"/>
      <c r="H132" s="3"/>
      <c r="I132" s="70"/>
      <c r="J132" s="70"/>
      <c r="K132" s="70"/>
      <c r="L132" s="33"/>
      <c r="M132" s="22"/>
      <c r="N132" s="22"/>
      <c r="O132" s="72" t="s">
        <v>230</v>
      </c>
      <c r="P132" s="33"/>
      <c r="Q132" s="33"/>
      <c r="R132" s="33"/>
    </row>
    <row r="133" spans="1:18" s="67" customFormat="1" ht="12" customHeight="1">
      <c r="A133" s="22" t="s">
        <v>231</v>
      </c>
      <c r="B133" s="22" t="s">
        <v>232</v>
      </c>
      <c r="C133" s="35">
        <v>70</v>
      </c>
      <c r="D133" s="30">
        <v>71.16</v>
      </c>
      <c r="E133" s="31">
        <v>55339.9</v>
      </c>
      <c r="F133" s="31">
        <v>102504.25</v>
      </c>
      <c r="G133" s="31">
        <f t="shared" ref="G133" si="29">SUM(E133:F133)</f>
        <v>157844.15</v>
      </c>
      <c r="H133" s="3"/>
      <c r="I133" s="31"/>
      <c r="J133" s="31"/>
      <c r="K133" s="36"/>
      <c r="L133" s="3"/>
      <c r="M133" s="73" t="s">
        <v>233</v>
      </c>
      <c r="N133" s="33"/>
      <c r="O133" s="74">
        <f>O130+O103+O35</f>
        <v>154270.40435104613</v>
      </c>
      <c r="P133" s="24"/>
      <c r="Q133" s="32"/>
      <c r="R133" s="38"/>
    </row>
    <row r="134" spans="1:18" s="67" customFormat="1" ht="7.5" customHeight="1">
      <c r="A134" s="33"/>
      <c r="B134" s="33"/>
      <c r="C134" s="3"/>
      <c r="D134" s="3"/>
      <c r="E134" s="3"/>
      <c r="F134" s="3"/>
      <c r="G134" s="69"/>
      <c r="H134" s="3"/>
      <c r="I134" s="70"/>
      <c r="J134" s="70"/>
      <c r="K134" s="70"/>
      <c r="L134" s="33"/>
      <c r="M134" s="22"/>
      <c r="N134" s="22"/>
      <c r="O134" s="75">
        <f>SUM(O133:O133)</f>
        <v>154270.40435104613</v>
      </c>
      <c r="P134" s="33"/>
      <c r="Q134" s="33"/>
      <c r="R134" s="33"/>
    </row>
    <row r="135" spans="1:18" s="67" customFormat="1" ht="13.5" customHeight="1" thickBot="1">
      <c r="A135" s="57"/>
      <c r="B135" s="43" t="s">
        <v>234</v>
      </c>
      <c r="C135" s="43"/>
      <c r="D135" s="65"/>
      <c r="E135" s="45">
        <f>SUM(E133:E133)</f>
        <v>55339.9</v>
      </c>
      <c r="F135" s="45">
        <f>SUM(F133:F133)</f>
        <v>102504.25</v>
      </c>
      <c r="G135" s="45">
        <f>SUM(G133:G133)</f>
        <v>157844.15</v>
      </c>
      <c r="H135" s="65"/>
      <c r="I135" s="70"/>
      <c r="J135" s="70"/>
      <c r="K135" s="70"/>
      <c r="L135" s="33"/>
      <c r="M135" s="76" t="s">
        <v>235</v>
      </c>
      <c r="N135" s="77"/>
      <c r="O135" s="78">
        <v>154108.79683344738</v>
      </c>
      <c r="P135" s="33"/>
      <c r="Q135" s="33"/>
      <c r="R135" s="33"/>
    </row>
    <row r="136" spans="1:18" s="67" customFormat="1" ht="12" customHeight="1">
      <c r="A136" s="68"/>
      <c r="B136" s="79"/>
      <c r="C136" s="79"/>
      <c r="D136" s="53"/>
      <c r="E136" s="80"/>
      <c r="F136" s="80"/>
      <c r="G136" s="81"/>
      <c r="H136" s="3"/>
      <c r="I136" s="70"/>
      <c r="J136" s="70"/>
      <c r="K136" s="70"/>
      <c r="L136" s="33"/>
      <c r="M136" s="22"/>
      <c r="N136" s="22"/>
      <c r="O136" s="82">
        <f>O134-O135</f>
        <v>161.60751759874984</v>
      </c>
      <c r="P136" s="33"/>
      <c r="Q136" s="33"/>
      <c r="R136" s="33"/>
    </row>
    <row r="137" spans="1:18" s="58" customFormat="1" ht="12" customHeight="1">
      <c r="A137" s="83" t="s">
        <v>236</v>
      </c>
      <c r="B137" s="83" t="s">
        <v>236</v>
      </c>
      <c r="C137" s="52"/>
      <c r="D137" s="30"/>
      <c r="E137" s="54"/>
      <c r="F137" s="31" t="str">
        <f>IF(D137="","",(#REF!/D137)+(#REF!/#REF!))</f>
        <v/>
      </c>
      <c r="G137" s="32"/>
      <c r="H137" s="2"/>
      <c r="I137" s="66"/>
      <c r="J137" s="66"/>
      <c r="K137" s="70"/>
      <c r="L137" s="68"/>
      <c r="M137" s="68"/>
      <c r="N137" s="68"/>
      <c r="O137" s="68"/>
      <c r="P137" s="68"/>
      <c r="Q137" s="68"/>
      <c r="R137" s="68"/>
    </row>
    <row r="138" spans="1:18" s="58" customFormat="1" ht="12" customHeight="1">
      <c r="A138" s="33" t="s">
        <v>237</v>
      </c>
      <c r="B138" s="33" t="s">
        <v>238</v>
      </c>
      <c r="C138" s="35">
        <v>1</v>
      </c>
      <c r="D138" s="35">
        <v>1</v>
      </c>
      <c r="E138" s="31">
        <v>2220.66</v>
      </c>
      <c r="F138" s="31">
        <v>3335.7</v>
      </c>
      <c r="G138" s="31">
        <f t="shared" ref="G138" si="30">SUM(E138:F138)</f>
        <v>5556.36</v>
      </c>
      <c r="H138" s="2"/>
      <c r="I138" s="66"/>
      <c r="J138" s="66"/>
      <c r="K138" s="70"/>
      <c r="L138" s="68"/>
      <c r="M138" s="68"/>
      <c r="N138" s="68"/>
      <c r="O138" s="68"/>
      <c r="P138" s="68"/>
      <c r="Q138" s="68"/>
      <c r="R138" s="68"/>
    </row>
    <row r="139" spans="1:18" s="58" customFormat="1" ht="12" customHeight="1">
      <c r="A139" s="33" t="s">
        <v>239</v>
      </c>
      <c r="B139" s="33" t="s">
        <v>240</v>
      </c>
      <c r="C139" s="35">
        <v>29.41</v>
      </c>
      <c r="D139" s="35">
        <v>29.41</v>
      </c>
      <c r="E139" s="31">
        <v>0</v>
      </c>
      <c r="F139" s="31">
        <v>0</v>
      </c>
      <c r="G139" s="31">
        <f>SUM(E139:F139)</f>
        <v>0</v>
      </c>
      <c r="H139" s="2"/>
      <c r="I139" s="66"/>
      <c r="J139" s="66"/>
      <c r="K139" s="70"/>
      <c r="L139" s="68"/>
      <c r="M139" s="68"/>
      <c r="N139" s="68"/>
      <c r="O139" s="68"/>
      <c r="P139" s="68"/>
      <c r="Q139" s="68"/>
      <c r="R139" s="68"/>
    </row>
    <row r="140" spans="1:18" s="58" customFormat="1" ht="12" customHeight="1">
      <c r="A140" s="33" t="s">
        <v>241</v>
      </c>
      <c r="B140" s="33" t="s">
        <v>242</v>
      </c>
      <c r="C140" s="35">
        <v>29.41</v>
      </c>
      <c r="D140" s="35">
        <v>29.41</v>
      </c>
      <c r="E140" s="31">
        <v>0</v>
      </c>
      <c r="F140" s="31">
        <v>56.44</v>
      </c>
      <c r="G140" s="31">
        <f>SUM(E140:F140)</f>
        <v>56.44</v>
      </c>
      <c r="H140" s="2"/>
      <c r="I140" s="66"/>
      <c r="J140" s="66"/>
      <c r="K140" s="70"/>
      <c r="L140" s="68"/>
      <c r="M140" s="68"/>
      <c r="N140" s="68"/>
      <c r="O140" s="68"/>
      <c r="P140" s="68"/>
      <c r="Q140" s="68"/>
      <c r="R140" s="68"/>
    </row>
    <row r="141" spans="1:18" s="58" customFormat="1" ht="7.5" customHeight="1">
      <c r="A141" s="40"/>
      <c r="B141" s="40"/>
      <c r="C141" s="40"/>
      <c r="D141" s="30"/>
      <c r="E141" s="54"/>
      <c r="F141" s="31"/>
      <c r="G141" s="32"/>
      <c r="H141" s="2"/>
      <c r="I141" s="66"/>
      <c r="J141" s="66"/>
      <c r="K141" s="70"/>
      <c r="L141" s="68"/>
      <c r="M141" s="68"/>
      <c r="N141" s="68"/>
      <c r="O141" s="68"/>
      <c r="P141" s="68"/>
      <c r="Q141" s="68"/>
      <c r="R141" s="68"/>
    </row>
    <row r="142" spans="1:18" s="58" customFormat="1" ht="13.5" customHeight="1" thickBot="1">
      <c r="A142" s="57"/>
      <c r="B142" s="43" t="s">
        <v>243</v>
      </c>
      <c r="C142" s="43"/>
      <c r="D142" s="56"/>
      <c r="E142" s="45">
        <f t="shared" ref="E142:G142" si="31">SUM(E138:E141)</f>
        <v>2220.66</v>
      </c>
      <c r="F142" s="45">
        <f t="shared" si="31"/>
        <v>3392.14</v>
      </c>
      <c r="G142" s="45">
        <f t="shared" si="31"/>
        <v>5612.7999999999993</v>
      </c>
      <c r="H142" s="57"/>
      <c r="I142" s="66"/>
      <c r="J142" s="66"/>
      <c r="K142" s="70"/>
      <c r="L142" s="68"/>
      <c r="M142" s="68"/>
      <c r="N142" s="68"/>
      <c r="O142" s="68"/>
      <c r="P142" s="68"/>
      <c r="Q142" s="68"/>
      <c r="R142" s="68"/>
    </row>
    <row r="143" spans="1:18" s="67" customFormat="1" ht="7.5" customHeight="1">
      <c r="A143" s="68"/>
      <c r="B143" s="79"/>
      <c r="C143" s="79"/>
      <c r="D143" s="3"/>
      <c r="E143" s="84"/>
      <c r="F143" s="84"/>
      <c r="G143" s="84"/>
      <c r="H143" s="3"/>
      <c r="I143" s="70"/>
      <c r="J143" s="70"/>
      <c r="K143" s="70"/>
      <c r="L143" s="33"/>
      <c r="M143" s="33"/>
      <c r="N143" s="33"/>
      <c r="O143" s="33"/>
      <c r="P143" s="33"/>
      <c r="Q143" s="33"/>
      <c r="R143" s="33"/>
    </row>
    <row r="144" spans="1:18" s="67" customFormat="1" ht="13.5" customHeight="1" thickBot="1">
      <c r="A144" s="42"/>
      <c r="B144" s="43" t="s">
        <v>244</v>
      </c>
      <c r="C144" s="43"/>
      <c r="D144" s="65"/>
      <c r="E144" s="45">
        <f>SUM(E35,E103,E130,E135,E142)</f>
        <v>381276.41000000003</v>
      </c>
      <c r="F144" s="45">
        <f>SUM(F35,F103,F130,F135,F142)</f>
        <v>831324.93999999983</v>
      </c>
      <c r="G144" s="45">
        <f>SUM(G35,G103,G130,G135,G142)</f>
        <v>1212601.3500000001</v>
      </c>
      <c r="H144" s="65"/>
      <c r="I144" s="70"/>
      <c r="J144" s="70"/>
      <c r="K144" s="70"/>
      <c r="L144" s="33"/>
      <c r="M144" s="33"/>
      <c r="N144" s="33"/>
      <c r="O144" s="33"/>
      <c r="P144" s="33"/>
      <c r="Q144" s="33"/>
      <c r="R144" s="33"/>
    </row>
    <row r="145" spans="1:18" s="67" customFormat="1">
      <c r="A145" s="3"/>
      <c r="B145" s="3"/>
      <c r="C145" s="3"/>
      <c r="D145" s="53"/>
      <c r="E145" s="80"/>
      <c r="F145" s="80"/>
      <c r="G145" s="3"/>
      <c r="H145" s="3"/>
      <c r="I145" s="33"/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1:18">
      <c r="E146" s="85"/>
    </row>
  </sheetData>
  <mergeCells count="2">
    <mergeCell ref="O5:O6"/>
    <mergeCell ref="Q5:R5"/>
  </mergeCells>
  <pageMargins left="0.25" right="0.25" top="0.75" bottom="0.75" header="0.3" footer="0.3"/>
  <pageSetup scale="52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R42"/>
  <sheetViews>
    <sheetView showGridLines="0" zoomScale="85" zoomScaleNormal="85" workbookViewId="0">
      <selection activeCell="F63" sqref="F63"/>
    </sheetView>
  </sheetViews>
  <sheetFormatPr defaultRowHeight="15"/>
  <cols>
    <col min="1" max="1" width="1.7109375" style="192" customWidth="1"/>
    <col min="2" max="2" width="22.7109375" style="192" customWidth="1"/>
    <col min="3" max="14" width="11.5703125" style="192" customWidth="1"/>
    <col min="15" max="15" width="12.5703125" style="192" bestFit="1" customWidth="1"/>
    <col min="16" max="16" width="9.140625" style="192"/>
    <col min="17" max="17" width="11.28515625" style="192" bestFit="1" customWidth="1"/>
    <col min="18" max="18" width="10.5703125" style="192" bestFit="1" customWidth="1"/>
    <col min="19" max="16384" width="9.140625" style="192"/>
  </cols>
  <sheetData>
    <row r="1" spans="1:18">
      <c r="B1" s="198" t="s">
        <v>290</v>
      </c>
      <c r="E1" s="5" t="s">
        <v>426</v>
      </c>
    </row>
    <row r="2" spans="1:18">
      <c r="B2" s="198" t="s">
        <v>291</v>
      </c>
    </row>
    <row r="4" spans="1:18">
      <c r="B4" s="12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53"/>
    </row>
    <row r="5" spans="1:18">
      <c r="B5" s="123" t="s">
        <v>292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24"/>
    </row>
    <row r="6" spans="1:18">
      <c r="B6" s="125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24"/>
    </row>
    <row r="7" spans="1:18" s="198" customFormat="1">
      <c r="B7" s="126"/>
      <c r="C7" s="127">
        <v>42736</v>
      </c>
      <c r="D7" s="127">
        <f t="shared" ref="D7:N7" si="0">+C7+31</f>
        <v>42767</v>
      </c>
      <c r="E7" s="127">
        <f t="shared" si="0"/>
        <v>42798</v>
      </c>
      <c r="F7" s="127">
        <f t="shared" si="0"/>
        <v>42829</v>
      </c>
      <c r="G7" s="127">
        <f t="shared" si="0"/>
        <v>42860</v>
      </c>
      <c r="H7" s="127">
        <f t="shared" si="0"/>
        <v>42891</v>
      </c>
      <c r="I7" s="127">
        <f t="shared" si="0"/>
        <v>42922</v>
      </c>
      <c r="J7" s="127">
        <f t="shared" si="0"/>
        <v>42953</v>
      </c>
      <c r="K7" s="127">
        <f t="shared" si="0"/>
        <v>42984</v>
      </c>
      <c r="L7" s="127">
        <f t="shared" si="0"/>
        <v>43015</v>
      </c>
      <c r="M7" s="127">
        <f t="shared" si="0"/>
        <v>43046</v>
      </c>
      <c r="N7" s="127">
        <f t="shared" si="0"/>
        <v>43077</v>
      </c>
      <c r="O7" s="163" t="s">
        <v>293</v>
      </c>
    </row>
    <row r="8" spans="1:18">
      <c r="A8" s="164"/>
      <c r="B8" s="126" t="s">
        <v>294</v>
      </c>
      <c r="C8" s="99">
        <f>+C12/70</f>
        <v>93.12</v>
      </c>
      <c r="D8" s="99">
        <f>+D12/70</f>
        <v>225.10999999999999</v>
      </c>
      <c r="E8" s="99">
        <f>+E12/70</f>
        <v>268.04999999999995</v>
      </c>
      <c r="F8" s="99">
        <f>+F12/70</f>
        <v>208.85</v>
      </c>
      <c r="G8" s="191">
        <f>+G12/71.16</f>
        <v>271.64137155705453</v>
      </c>
      <c r="H8" s="191">
        <f t="shared" ref="H8:N8" si="1">+H12/71.16</f>
        <v>329.40781337830248</v>
      </c>
      <c r="I8" s="191">
        <f t="shared" si="1"/>
        <v>166.57855536818437</v>
      </c>
      <c r="J8" s="191">
        <f t="shared" si="1"/>
        <v>123.75969645868466</v>
      </c>
      <c r="K8" s="191">
        <f t="shared" si="1"/>
        <v>117.42046093310852</v>
      </c>
      <c r="L8" s="191">
        <f t="shared" si="1"/>
        <v>201.67720629567177</v>
      </c>
      <c r="M8" s="191">
        <f t="shared" si="1"/>
        <v>136.46107363687463</v>
      </c>
      <c r="N8" s="191">
        <f t="shared" si="1"/>
        <v>79.364249578414857</v>
      </c>
      <c r="O8" s="143">
        <f>SUM(C8:N8)</f>
        <v>2221.4404272062957</v>
      </c>
    </row>
    <row r="9" spans="1:18">
      <c r="A9" s="164"/>
      <c r="B9" s="126" t="s">
        <v>295</v>
      </c>
      <c r="C9" s="99">
        <f>C13/70</f>
        <v>155.79571428571424</v>
      </c>
      <c r="D9" s="99">
        <f t="shared" ref="D9:F9" si="2">D13/70</f>
        <v>88.540142857142897</v>
      </c>
      <c r="E9" s="99">
        <f t="shared" si="2"/>
        <v>159.77571428571432</v>
      </c>
      <c r="F9" s="99">
        <f t="shared" si="2"/>
        <v>368.94357142857149</v>
      </c>
      <c r="G9" s="99">
        <f>G13/71.16</f>
        <v>128.82209106239461</v>
      </c>
      <c r="H9" s="99">
        <f t="shared" ref="H9:N9" si="3">H13/71.16</f>
        <v>224.34218662169752</v>
      </c>
      <c r="I9" s="99">
        <f t="shared" si="3"/>
        <v>322.61439010680164</v>
      </c>
      <c r="J9" s="99">
        <f t="shared" si="3"/>
        <v>269.420741989882</v>
      </c>
      <c r="K9" s="99">
        <f t="shared" si="3"/>
        <v>303.7377740303541</v>
      </c>
      <c r="L9" s="99">
        <f t="shared" si="3"/>
        <v>223.82363687464866</v>
      </c>
      <c r="M9" s="99">
        <f t="shared" si="3"/>
        <v>234.32813378302419</v>
      </c>
      <c r="N9" s="99">
        <f t="shared" si="3"/>
        <v>207.56661045531197</v>
      </c>
      <c r="O9" s="114">
        <f>SUM(C9:N9)</f>
        <v>2687.710707781258</v>
      </c>
    </row>
    <row r="10" spans="1:18">
      <c r="A10" s="164"/>
      <c r="B10" s="126"/>
      <c r="C10" s="165">
        <f>SUM(C8:C9)</f>
        <v>248.91571428571424</v>
      </c>
      <c r="D10" s="165">
        <f t="shared" ref="D10:N10" si="4">SUM(D8:D9)</f>
        <v>313.6501428571429</v>
      </c>
      <c r="E10" s="165">
        <f t="shared" si="4"/>
        <v>427.8257142857143</v>
      </c>
      <c r="F10" s="165">
        <f t="shared" si="4"/>
        <v>577.79357142857145</v>
      </c>
      <c r="G10" s="165">
        <f t="shared" si="4"/>
        <v>400.46346261944916</v>
      </c>
      <c r="H10" s="165">
        <f t="shared" si="4"/>
        <v>553.75</v>
      </c>
      <c r="I10" s="165">
        <f t="shared" si="4"/>
        <v>489.192945474986</v>
      </c>
      <c r="J10" s="165">
        <f t="shared" si="4"/>
        <v>393.18043844856663</v>
      </c>
      <c r="K10" s="165">
        <f t="shared" si="4"/>
        <v>421.15823496346263</v>
      </c>
      <c r="L10" s="165">
        <f t="shared" si="4"/>
        <v>425.50084317032042</v>
      </c>
      <c r="M10" s="165">
        <f t="shared" si="4"/>
        <v>370.78920741989884</v>
      </c>
      <c r="N10" s="165">
        <f t="shared" si="4"/>
        <v>286.93086003372684</v>
      </c>
      <c r="O10" s="144">
        <f>SUM(O8:O9)</f>
        <v>4909.1511349875536</v>
      </c>
    </row>
    <row r="11" spans="1:18">
      <c r="A11" s="164"/>
      <c r="B11" s="128" t="s">
        <v>287</v>
      </c>
      <c r="C11" s="100">
        <f>C14-(C10*70)</f>
        <v>0</v>
      </c>
      <c r="D11" s="100">
        <f t="shared" ref="D11:F11" si="5">D14-(D10*70)</f>
        <v>0</v>
      </c>
      <c r="E11" s="100">
        <f t="shared" si="5"/>
        <v>0</v>
      </c>
      <c r="F11" s="100">
        <f t="shared" si="5"/>
        <v>0</v>
      </c>
      <c r="G11" s="100">
        <f>G14-(G10*71.16)</f>
        <v>0</v>
      </c>
      <c r="H11" s="100">
        <f t="shared" ref="H11:N11" si="6">H14-(H10*71.16)</f>
        <v>0</v>
      </c>
      <c r="I11" s="100">
        <f t="shared" si="6"/>
        <v>0</v>
      </c>
      <c r="J11" s="100">
        <f t="shared" si="6"/>
        <v>0</v>
      </c>
      <c r="K11" s="100">
        <f t="shared" si="6"/>
        <v>0</v>
      </c>
      <c r="L11" s="100">
        <f t="shared" si="6"/>
        <v>0</v>
      </c>
      <c r="M11" s="100">
        <f t="shared" si="6"/>
        <v>0</v>
      </c>
      <c r="N11" s="100">
        <f t="shared" si="6"/>
        <v>0</v>
      </c>
      <c r="O11" s="124"/>
    </row>
    <row r="12" spans="1:18" ht="15.75" customHeight="1">
      <c r="B12" s="126" t="s">
        <v>296</v>
      </c>
      <c r="C12" s="207">
        <v>6518.4000000000005</v>
      </c>
      <c r="D12" s="207">
        <v>15757.699999999999</v>
      </c>
      <c r="E12" s="207">
        <v>18763.499999999996</v>
      </c>
      <c r="F12" s="207">
        <v>14619.5</v>
      </c>
      <c r="G12" s="207">
        <v>19330</v>
      </c>
      <c r="H12" s="207">
        <v>23440.660000000003</v>
      </c>
      <c r="I12" s="207">
        <v>11853.73</v>
      </c>
      <c r="J12" s="207">
        <v>8806.74</v>
      </c>
      <c r="K12" s="207">
        <v>8355.6400000000012</v>
      </c>
      <c r="L12" s="207">
        <v>14351.350000000002</v>
      </c>
      <c r="M12" s="207">
        <v>9710.5699999999979</v>
      </c>
      <c r="N12" s="207">
        <v>5647.5600000000013</v>
      </c>
      <c r="O12" s="166">
        <f>SUM(C12:N12)</f>
        <v>157155.35</v>
      </c>
      <c r="Q12" s="145"/>
      <c r="R12" s="145"/>
    </row>
    <row r="13" spans="1:18">
      <c r="B13" s="126" t="s">
        <v>297</v>
      </c>
      <c r="C13" s="146">
        <f>C14-C12</f>
        <v>10905.699999999997</v>
      </c>
      <c r="D13" s="146">
        <f>D14-D12</f>
        <v>6197.8100000000031</v>
      </c>
      <c r="E13" s="146">
        <f>E14-E12</f>
        <v>11184.300000000003</v>
      </c>
      <c r="F13" s="146">
        <f t="shared" ref="F13" si="7">F14-F12</f>
        <v>25826.050000000003</v>
      </c>
      <c r="G13" s="146">
        <f>G14-G12</f>
        <v>9166.98</v>
      </c>
      <c r="H13" s="146">
        <f t="shared" ref="H13" si="8">H14-H12</f>
        <v>15964.189999999995</v>
      </c>
      <c r="I13" s="146">
        <f>I14-I12</f>
        <v>22957.24</v>
      </c>
      <c r="J13" s="146">
        <f t="shared" ref="J13:K13" si="9">J14-J12</f>
        <v>19171.980000000003</v>
      </c>
      <c r="K13" s="146">
        <f t="shared" si="9"/>
        <v>21613.979999999996</v>
      </c>
      <c r="L13" s="146">
        <f>L14-L12</f>
        <v>15927.289999999997</v>
      </c>
      <c r="M13" s="146">
        <f>M14-M12</f>
        <v>16674.79</v>
      </c>
      <c r="N13" s="146">
        <f>N14-N12</f>
        <v>14770.439999999999</v>
      </c>
      <c r="O13" s="167">
        <f>SUM(C13:N13)</f>
        <v>190360.75</v>
      </c>
    </row>
    <row r="14" spans="1:18">
      <c r="B14" s="126" t="s">
        <v>298</v>
      </c>
      <c r="C14" s="168">
        <v>17424.099999999999</v>
      </c>
      <c r="D14" s="168">
        <v>21955.510000000002</v>
      </c>
      <c r="E14" s="168">
        <v>29947.8</v>
      </c>
      <c r="F14" s="168">
        <v>40445.550000000003</v>
      </c>
      <c r="G14" s="168">
        <v>28496.98</v>
      </c>
      <c r="H14" s="168">
        <v>39404.85</v>
      </c>
      <c r="I14" s="168">
        <v>34810.97</v>
      </c>
      <c r="J14" s="168">
        <v>27978.720000000001</v>
      </c>
      <c r="K14" s="168">
        <v>29969.62</v>
      </c>
      <c r="L14" s="168">
        <v>30278.639999999999</v>
      </c>
      <c r="M14" s="168">
        <v>26385.360000000001</v>
      </c>
      <c r="N14" s="168">
        <v>20418</v>
      </c>
      <c r="O14" s="166">
        <f>SUM(O12:O13)</f>
        <v>347516.1</v>
      </c>
      <c r="Q14" s="145"/>
    </row>
    <row r="15" spans="1:18">
      <c r="B15" s="101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9"/>
    </row>
    <row r="16" spans="1:18">
      <c r="B16" s="126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24"/>
    </row>
    <row r="17" spans="2:18">
      <c r="B17" s="156" t="s">
        <v>299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24"/>
    </row>
    <row r="18" spans="2:18">
      <c r="B18" s="126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24"/>
    </row>
    <row r="19" spans="2:18" s="198" customFormat="1">
      <c r="B19" s="102"/>
      <c r="C19" s="127">
        <f>C7</f>
        <v>42736</v>
      </c>
      <c r="D19" s="127">
        <f t="shared" ref="D19:N19" si="10">+C19+31</f>
        <v>42767</v>
      </c>
      <c r="E19" s="127">
        <f t="shared" si="10"/>
        <v>42798</v>
      </c>
      <c r="F19" s="127">
        <f t="shared" si="10"/>
        <v>42829</v>
      </c>
      <c r="G19" s="127">
        <f t="shared" si="10"/>
        <v>42860</v>
      </c>
      <c r="H19" s="127">
        <f t="shared" si="10"/>
        <v>42891</v>
      </c>
      <c r="I19" s="127">
        <f t="shared" si="10"/>
        <v>42922</v>
      </c>
      <c r="J19" s="127">
        <f t="shared" si="10"/>
        <v>42953</v>
      </c>
      <c r="K19" s="127">
        <f t="shared" si="10"/>
        <v>42984</v>
      </c>
      <c r="L19" s="127">
        <f t="shared" si="10"/>
        <v>43015</v>
      </c>
      <c r="M19" s="127">
        <f t="shared" si="10"/>
        <v>43046</v>
      </c>
      <c r="N19" s="127">
        <f t="shared" si="10"/>
        <v>43077</v>
      </c>
      <c r="O19" s="170" t="s">
        <v>293</v>
      </c>
    </row>
    <row r="20" spans="2:18">
      <c r="B20" s="102" t="s">
        <v>300</v>
      </c>
      <c r="C20" s="210">
        <f>+C24/3.11</f>
        <v>0</v>
      </c>
      <c r="D20" s="210">
        <f t="shared" ref="D20:N21" si="11">+D24/3.11</f>
        <v>0</v>
      </c>
      <c r="E20" s="210">
        <f t="shared" si="11"/>
        <v>20</v>
      </c>
      <c r="F20" s="210">
        <f t="shared" si="11"/>
        <v>20</v>
      </c>
      <c r="G20" s="210">
        <f t="shared" si="11"/>
        <v>88</v>
      </c>
      <c r="H20" s="210">
        <f t="shared" si="11"/>
        <v>288.29903536977497</v>
      </c>
      <c r="I20" s="210">
        <f t="shared" si="11"/>
        <v>67</v>
      </c>
      <c r="J20" s="210">
        <f t="shared" si="11"/>
        <v>159.43729903536979</v>
      </c>
      <c r="K20" s="210">
        <f t="shared" si="11"/>
        <v>100</v>
      </c>
      <c r="L20" s="210">
        <f t="shared" si="11"/>
        <v>135</v>
      </c>
      <c r="M20" s="210">
        <f t="shared" si="11"/>
        <v>130</v>
      </c>
      <c r="N20" s="210">
        <f t="shared" si="11"/>
        <v>100</v>
      </c>
      <c r="O20" s="143">
        <f>SUM(C20:N20)</f>
        <v>1107.7363344051448</v>
      </c>
      <c r="P20" s="145"/>
    </row>
    <row r="21" spans="2:18">
      <c r="B21" s="102" t="s">
        <v>301</v>
      </c>
      <c r="C21" s="210">
        <f>+C25/3.11</f>
        <v>120.77170418006429</v>
      </c>
      <c r="D21" s="210">
        <f t="shared" si="11"/>
        <v>174.17041800643085</v>
      </c>
      <c r="E21" s="210">
        <f t="shared" si="11"/>
        <v>-39.501607717041793</v>
      </c>
      <c r="F21" s="210">
        <f t="shared" si="11"/>
        <v>90.000000000000014</v>
      </c>
      <c r="G21" s="210">
        <f t="shared" si="11"/>
        <v>47.999999999999993</v>
      </c>
      <c r="H21" s="210">
        <f t="shared" si="11"/>
        <v>7.7009646302250223</v>
      </c>
      <c r="I21" s="210">
        <f t="shared" si="11"/>
        <v>95.000000000000043</v>
      </c>
      <c r="J21" s="210">
        <f>+J25/3.11</f>
        <v>-47.03215434083603</v>
      </c>
      <c r="K21" s="210">
        <f>+K25/3.11</f>
        <v>40.594855305466261</v>
      </c>
      <c r="L21" s="210">
        <f>+L25/3.11</f>
        <v>108.14469453376208</v>
      </c>
      <c r="M21" s="210">
        <f>+M25/3.11</f>
        <v>74.855305466237908</v>
      </c>
      <c r="N21" s="210">
        <f>+N25/3.11</f>
        <v>86.000000000000014</v>
      </c>
      <c r="O21" s="114">
        <f>SUM(C21:N21)</f>
        <v>758.70418006430862</v>
      </c>
    </row>
    <row r="22" spans="2:18">
      <c r="B22" s="102"/>
      <c r="C22" s="137">
        <f>SUM(C20:C21)</f>
        <v>120.77170418006429</v>
      </c>
      <c r="D22" s="137">
        <f>SUM(D20:D21)</f>
        <v>174.17041800643085</v>
      </c>
      <c r="E22" s="137">
        <f t="shared" ref="E22:N22" si="12">SUM(E20:E21)</f>
        <v>-19.501607717041793</v>
      </c>
      <c r="F22" s="137">
        <f t="shared" si="12"/>
        <v>110.00000000000001</v>
      </c>
      <c r="G22" s="137">
        <f t="shared" si="12"/>
        <v>136</v>
      </c>
      <c r="H22" s="137">
        <f t="shared" si="12"/>
        <v>296</v>
      </c>
      <c r="I22" s="137">
        <f t="shared" si="12"/>
        <v>162.00000000000006</v>
      </c>
      <c r="J22" s="137">
        <f t="shared" si="12"/>
        <v>112.40514469453376</v>
      </c>
      <c r="K22" s="137">
        <f t="shared" si="12"/>
        <v>140.59485530546627</v>
      </c>
      <c r="L22" s="137">
        <f t="shared" si="12"/>
        <v>243.14469453376208</v>
      </c>
      <c r="M22" s="137">
        <f t="shared" si="12"/>
        <v>204.85530546623789</v>
      </c>
      <c r="N22" s="137">
        <f t="shared" si="12"/>
        <v>186</v>
      </c>
      <c r="O22" s="115">
        <f>SUM(O20:O21)</f>
        <v>1866.4405144694533</v>
      </c>
    </row>
    <row r="23" spans="2:18">
      <c r="B23" s="128" t="s">
        <v>287</v>
      </c>
      <c r="C23" s="171">
        <f>C26-(C22*3.11)</f>
        <v>0</v>
      </c>
      <c r="D23" s="171">
        <f t="shared" ref="D23:N23" si="13">D26-(D22*3.11)</f>
        <v>0</v>
      </c>
      <c r="E23" s="171">
        <f t="shared" si="13"/>
        <v>0</v>
      </c>
      <c r="F23" s="171">
        <f t="shared" si="13"/>
        <v>0</v>
      </c>
      <c r="G23" s="171">
        <f t="shared" si="13"/>
        <v>0</v>
      </c>
      <c r="H23" s="171">
        <f t="shared" si="13"/>
        <v>0</v>
      </c>
      <c r="I23" s="171">
        <f t="shared" si="13"/>
        <v>0</v>
      </c>
      <c r="J23" s="171">
        <f t="shared" si="13"/>
        <v>0</v>
      </c>
      <c r="K23" s="171">
        <f t="shared" si="13"/>
        <v>0</v>
      </c>
      <c r="L23" s="171">
        <f t="shared" si="13"/>
        <v>0</v>
      </c>
      <c r="M23" s="171">
        <f t="shared" si="13"/>
        <v>0</v>
      </c>
      <c r="N23" s="171">
        <f t="shared" si="13"/>
        <v>0</v>
      </c>
      <c r="O23" s="172"/>
    </row>
    <row r="24" spans="2:18">
      <c r="B24" s="126" t="s">
        <v>296</v>
      </c>
      <c r="C24" s="103">
        <v>0</v>
      </c>
      <c r="D24" s="103">
        <v>0</v>
      </c>
      <c r="E24" s="103">
        <v>62.2</v>
      </c>
      <c r="F24" s="103">
        <v>62.2</v>
      </c>
      <c r="G24" s="103">
        <v>273.68</v>
      </c>
      <c r="H24" s="103">
        <v>896.61000000000013</v>
      </c>
      <c r="I24" s="103">
        <v>208.37</v>
      </c>
      <c r="J24" s="103">
        <v>495.85</v>
      </c>
      <c r="K24" s="103">
        <v>311</v>
      </c>
      <c r="L24" s="103">
        <v>419.85</v>
      </c>
      <c r="M24" s="103">
        <v>404.3</v>
      </c>
      <c r="N24" s="103">
        <v>311</v>
      </c>
      <c r="O24" s="134">
        <f>SUM(C24:N24)</f>
        <v>3445.06</v>
      </c>
      <c r="Q24" s="145"/>
      <c r="R24" s="145"/>
    </row>
    <row r="25" spans="2:18">
      <c r="B25" s="126" t="s">
        <v>297</v>
      </c>
      <c r="C25" s="138">
        <f>+C26-C24</f>
        <v>375.59999999999991</v>
      </c>
      <c r="D25" s="138">
        <f>+D26-D24</f>
        <v>541.66999999999996</v>
      </c>
      <c r="E25" s="138">
        <f>+E26-E24</f>
        <v>-122.84999999999998</v>
      </c>
      <c r="F25" s="138">
        <f t="shared" ref="F25:N25" si="14">+F26-F24</f>
        <v>279.90000000000003</v>
      </c>
      <c r="G25" s="138">
        <f t="shared" si="14"/>
        <v>149.27999999999997</v>
      </c>
      <c r="H25" s="138">
        <f t="shared" si="14"/>
        <v>23.949999999999818</v>
      </c>
      <c r="I25" s="138">
        <f t="shared" si="14"/>
        <v>295.4500000000001</v>
      </c>
      <c r="J25" s="138">
        <f t="shared" si="14"/>
        <v>-146.27000000000004</v>
      </c>
      <c r="K25" s="138">
        <f t="shared" si="14"/>
        <v>126.25000000000006</v>
      </c>
      <c r="L25" s="138">
        <f t="shared" si="14"/>
        <v>336.33000000000004</v>
      </c>
      <c r="M25" s="138">
        <f t="shared" si="14"/>
        <v>232.7999999999999</v>
      </c>
      <c r="N25" s="138">
        <f t="shared" si="14"/>
        <v>267.46000000000004</v>
      </c>
      <c r="O25" s="173">
        <f>SUM(C25:N25)</f>
        <v>2359.5699999999997</v>
      </c>
      <c r="Q25" s="145"/>
    </row>
    <row r="26" spans="2:18">
      <c r="B26" s="102" t="s">
        <v>298</v>
      </c>
      <c r="C26" s="103">
        <v>375.59999999999991</v>
      </c>
      <c r="D26" s="103">
        <v>541.66999999999996</v>
      </c>
      <c r="E26" s="103">
        <v>-60.649999999999977</v>
      </c>
      <c r="F26" s="103">
        <v>342.1</v>
      </c>
      <c r="G26" s="103">
        <v>422.96</v>
      </c>
      <c r="H26" s="103">
        <v>920.56</v>
      </c>
      <c r="I26" s="103">
        <v>503.82000000000011</v>
      </c>
      <c r="J26" s="103">
        <v>349.58</v>
      </c>
      <c r="K26" s="103">
        <v>437.25000000000006</v>
      </c>
      <c r="L26" s="103">
        <v>756.18000000000006</v>
      </c>
      <c r="M26" s="103">
        <v>637.09999999999991</v>
      </c>
      <c r="N26" s="103">
        <v>578.46</v>
      </c>
      <c r="O26" s="134">
        <f>SUM(O24:O25)</f>
        <v>5804.6299999999992</v>
      </c>
    </row>
    <row r="27" spans="2:18"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3"/>
    </row>
    <row r="28" spans="2:18">
      <c r="B28" s="129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04"/>
    </row>
    <row r="29" spans="2:18">
      <c r="B29" s="176" t="s">
        <v>6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72"/>
    </row>
    <row r="30" spans="2:18">
      <c r="B30" s="148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72"/>
    </row>
    <row r="31" spans="2:18">
      <c r="B31" s="102" t="s">
        <v>302</v>
      </c>
      <c r="C31" s="177">
        <f>+C12+C24</f>
        <v>6518.4000000000005</v>
      </c>
      <c r="D31" s="177">
        <f t="shared" ref="D31:N31" si="15">+D12+D24</f>
        <v>15757.699999999999</v>
      </c>
      <c r="E31" s="177">
        <f t="shared" si="15"/>
        <v>18825.699999999997</v>
      </c>
      <c r="F31" s="177">
        <f t="shared" si="15"/>
        <v>14681.7</v>
      </c>
      <c r="G31" s="177">
        <f t="shared" si="15"/>
        <v>19603.68</v>
      </c>
      <c r="H31" s="177">
        <f t="shared" si="15"/>
        <v>24337.270000000004</v>
      </c>
      <c r="I31" s="177">
        <f t="shared" si="15"/>
        <v>12062.1</v>
      </c>
      <c r="J31" s="177">
        <f t="shared" si="15"/>
        <v>9302.59</v>
      </c>
      <c r="K31" s="177">
        <f t="shared" si="15"/>
        <v>8666.6400000000012</v>
      </c>
      <c r="L31" s="177">
        <f t="shared" si="15"/>
        <v>14771.200000000003</v>
      </c>
      <c r="M31" s="177">
        <f t="shared" si="15"/>
        <v>10114.869999999997</v>
      </c>
      <c r="N31" s="177">
        <f t="shared" si="15"/>
        <v>5958.5600000000013</v>
      </c>
      <c r="O31" s="134">
        <f>SUM(C31:N31)</f>
        <v>160600.41</v>
      </c>
    </row>
    <row r="32" spans="2:18">
      <c r="B32" s="102" t="s">
        <v>303</v>
      </c>
      <c r="C32" s="177">
        <f t="shared" ref="C32:N32" si="16">+C13+C25</f>
        <v>11281.299999999997</v>
      </c>
      <c r="D32" s="177">
        <f t="shared" si="16"/>
        <v>6739.4800000000032</v>
      </c>
      <c r="E32" s="177">
        <f t="shared" si="16"/>
        <v>11061.450000000003</v>
      </c>
      <c r="F32" s="177">
        <f t="shared" si="16"/>
        <v>26105.950000000004</v>
      </c>
      <c r="G32" s="177">
        <f t="shared" si="16"/>
        <v>9316.26</v>
      </c>
      <c r="H32" s="177">
        <f t="shared" si="16"/>
        <v>15988.139999999996</v>
      </c>
      <c r="I32" s="177">
        <f t="shared" si="16"/>
        <v>23252.690000000002</v>
      </c>
      <c r="J32" s="177">
        <f t="shared" si="16"/>
        <v>19025.710000000003</v>
      </c>
      <c r="K32" s="177">
        <f t="shared" si="16"/>
        <v>21740.229999999996</v>
      </c>
      <c r="L32" s="177">
        <f t="shared" si="16"/>
        <v>16263.619999999997</v>
      </c>
      <c r="M32" s="177">
        <f t="shared" si="16"/>
        <v>16907.59</v>
      </c>
      <c r="N32" s="177">
        <f t="shared" si="16"/>
        <v>15037.899999999998</v>
      </c>
      <c r="O32" s="134">
        <f>SUM(C32:N32)</f>
        <v>192720.32</v>
      </c>
    </row>
    <row r="33" spans="2:16">
      <c r="B33" s="102" t="s">
        <v>304</v>
      </c>
      <c r="C33" s="133">
        <f t="shared" ref="C33:N33" si="17">+SUM(C31:C32)</f>
        <v>17799.699999999997</v>
      </c>
      <c r="D33" s="133">
        <f t="shared" si="17"/>
        <v>22497.18</v>
      </c>
      <c r="E33" s="133">
        <f t="shared" si="17"/>
        <v>29887.15</v>
      </c>
      <c r="F33" s="133">
        <f t="shared" si="17"/>
        <v>40787.650000000009</v>
      </c>
      <c r="G33" s="133">
        <f t="shared" si="17"/>
        <v>28919.940000000002</v>
      </c>
      <c r="H33" s="133">
        <f t="shared" si="17"/>
        <v>40325.410000000003</v>
      </c>
      <c r="I33" s="133">
        <f t="shared" si="17"/>
        <v>35314.79</v>
      </c>
      <c r="J33" s="133">
        <f t="shared" si="17"/>
        <v>28328.300000000003</v>
      </c>
      <c r="K33" s="133">
        <f t="shared" si="17"/>
        <v>30406.869999999995</v>
      </c>
      <c r="L33" s="133">
        <f t="shared" si="17"/>
        <v>31034.82</v>
      </c>
      <c r="M33" s="133">
        <f t="shared" si="17"/>
        <v>27022.46</v>
      </c>
      <c r="N33" s="133">
        <f t="shared" si="17"/>
        <v>20996.46</v>
      </c>
      <c r="O33" s="149">
        <f t="shared" ref="O33" si="18">SUM(O31:O32)</f>
        <v>353320.73</v>
      </c>
      <c r="P33" s="214">
        <v>0</v>
      </c>
    </row>
    <row r="34" spans="2:16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73"/>
    </row>
    <row r="35" spans="2:16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16">
      <c r="B36" s="108" t="s">
        <v>305</v>
      </c>
      <c r="C36" s="140">
        <v>17799.699999999997</v>
      </c>
      <c r="D36" s="140">
        <v>22497.18</v>
      </c>
      <c r="E36" s="140">
        <v>29887.149999999998</v>
      </c>
      <c r="F36" s="140">
        <v>40787.65</v>
      </c>
      <c r="G36" s="140">
        <v>28919.94</v>
      </c>
      <c r="H36" s="140">
        <v>40325.409999999996</v>
      </c>
      <c r="I36" s="140">
        <v>35314.790000000008</v>
      </c>
      <c r="J36" s="140">
        <v>28328.300000000003</v>
      </c>
      <c r="K36" s="140">
        <v>30406.869999999995</v>
      </c>
      <c r="L36" s="140">
        <v>31034.82</v>
      </c>
      <c r="M36" s="140">
        <v>27022.46</v>
      </c>
      <c r="N36" s="140">
        <v>20996.46</v>
      </c>
      <c r="O36" s="209">
        <f>SUM(C36:N36)</f>
        <v>353320.73000000004</v>
      </c>
    </row>
    <row r="37" spans="2:16">
      <c r="B37" s="108" t="s">
        <v>306</v>
      </c>
      <c r="C37" s="140">
        <v>6518.4000000000005</v>
      </c>
      <c r="D37" s="140">
        <v>15757.699999999999</v>
      </c>
      <c r="E37" s="140">
        <v>18825.699999999997</v>
      </c>
      <c r="F37" s="140">
        <v>14681.7</v>
      </c>
      <c r="G37" s="140">
        <v>19603.68</v>
      </c>
      <c r="H37" s="140">
        <v>24337.270000000004</v>
      </c>
      <c r="I37" s="140">
        <v>12062.1</v>
      </c>
      <c r="J37" s="140">
        <v>9302.59</v>
      </c>
      <c r="K37" s="140">
        <v>8666.6400000000012</v>
      </c>
      <c r="L37" s="140">
        <v>14771.2</v>
      </c>
      <c r="M37" s="140">
        <v>10114.870000000001</v>
      </c>
      <c r="N37" s="140">
        <v>5958.5599999999995</v>
      </c>
      <c r="O37" s="209">
        <f>SUM(C37:N37)</f>
        <v>160600.41</v>
      </c>
    </row>
    <row r="38" spans="2:16">
      <c r="B38" s="108" t="s">
        <v>307</v>
      </c>
      <c r="C38" s="150">
        <f>+C36-C37</f>
        <v>11281.299999999996</v>
      </c>
      <c r="D38" s="150">
        <f>+D36-D37</f>
        <v>6739.4800000000014</v>
      </c>
      <c r="E38" s="150">
        <f t="shared" ref="E38:N38" si="19">+E36-E37</f>
        <v>11061.45</v>
      </c>
      <c r="F38" s="150">
        <f t="shared" si="19"/>
        <v>26105.95</v>
      </c>
      <c r="G38" s="150">
        <f t="shared" si="19"/>
        <v>9316.2599999999984</v>
      </c>
      <c r="H38" s="150">
        <f t="shared" si="19"/>
        <v>15988.139999999992</v>
      </c>
      <c r="I38" s="150">
        <f t="shared" si="19"/>
        <v>23252.69000000001</v>
      </c>
      <c r="J38" s="150">
        <f t="shared" si="19"/>
        <v>19025.710000000003</v>
      </c>
      <c r="K38" s="150">
        <f t="shared" si="19"/>
        <v>21740.229999999996</v>
      </c>
      <c r="L38" s="150">
        <f t="shared" si="19"/>
        <v>16263.619999999999</v>
      </c>
      <c r="M38" s="150">
        <f t="shared" si="19"/>
        <v>16907.589999999997</v>
      </c>
      <c r="N38" s="150">
        <f t="shared" si="19"/>
        <v>15037.9</v>
      </c>
      <c r="O38" s="209">
        <f>SUM(C38:N38)</f>
        <v>192720.31999999998</v>
      </c>
    </row>
    <row r="39" spans="2:16"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05"/>
    </row>
    <row r="40" spans="2:16">
      <c r="B40" s="108" t="s">
        <v>308</v>
      </c>
      <c r="C40" s="109">
        <f>+C31-C37</f>
        <v>0</v>
      </c>
      <c r="D40" s="109">
        <f t="shared" ref="D40:N40" si="20">+D31-D37</f>
        <v>0</v>
      </c>
      <c r="E40" s="109">
        <f t="shared" si="20"/>
        <v>0</v>
      </c>
      <c r="F40" s="109">
        <f t="shared" si="20"/>
        <v>0</v>
      </c>
      <c r="G40" s="109">
        <f t="shared" si="20"/>
        <v>0</v>
      </c>
      <c r="H40" s="109">
        <f t="shared" si="20"/>
        <v>0</v>
      </c>
      <c r="I40" s="109">
        <f t="shared" si="20"/>
        <v>0</v>
      </c>
      <c r="J40" s="109">
        <f t="shared" si="20"/>
        <v>0</v>
      </c>
      <c r="K40" s="109">
        <f t="shared" si="20"/>
        <v>0</v>
      </c>
      <c r="L40" s="109">
        <f t="shared" si="20"/>
        <v>0</v>
      </c>
      <c r="M40" s="109">
        <f t="shared" si="20"/>
        <v>0</v>
      </c>
      <c r="N40" s="109">
        <f t="shared" si="20"/>
        <v>0</v>
      </c>
      <c r="O40" s="209">
        <f>SUM(C40:N40)</f>
        <v>0</v>
      </c>
    </row>
    <row r="41" spans="2:16">
      <c r="B41" s="108" t="s">
        <v>309</v>
      </c>
      <c r="C41" s="109">
        <f>+C33-C36</f>
        <v>0</v>
      </c>
      <c r="D41" s="109">
        <f t="shared" ref="D41:N41" si="21">+D33-D36</f>
        <v>0</v>
      </c>
      <c r="E41" s="109">
        <f t="shared" si="21"/>
        <v>0</v>
      </c>
      <c r="F41" s="109">
        <f t="shared" si="21"/>
        <v>0</v>
      </c>
      <c r="G41" s="109">
        <f t="shared" si="21"/>
        <v>0</v>
      </c>
      <c r="H41" s="109">
        <f t="shared" si="21"/>
        <v>0</v>
      </c>
      <c r="I41" s="109">
        <f t="shared" si="21"/>
        <v>0</v>
      </c>
      <c r="J41" s="109">
        <f t="shared" si="21"/>
        <v>0</v>
      </c>
      <c r="K41" s="109">
        <f t="shared" si="21"/>
        <v>0</v>
      </c>
      <c r="L41" s="109">
        <f t="shared" si="21"/>
        <v>0</v>
      </c>
      <c r="M41" s="109">
        <f t="shared" si="21"/>
        <v>0</v>
      </c>
      <c r="N41" s="109">
        <f t="shared" si="21"/>
        <v>0</v>
      </c>
      <c r="O41" s="209">
        <f>SUM(C41:N41)</f>
        <v>0</v>
      </c>
    </row>
    <row r="42" spans="2:16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05"/>
    </row>
  </sheetData>
  <pageMargins left="0.7" right="0.7" top="0.75" bottom="0.75" header="0.3" footer="0.3"/>
  <pageSetup scale="6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195"/>
  <sheetViews>
    <sheetView topLeftCell="A52" zoomScale="85" zoomScaleNormal="85" workbookViewId="0">
      <selection activeCell="F63" sqref="F63"/>
    </sheetView>
  </sheetViews>
  <sheetFormatPr defaultRowHeight="15"/>
  <cols>
    <col min="1" max="1" width="32.42578125" style="344" bestFit="1" customWidth="1"/>
    <col min="2" max="2" width="9" style="344" customWidth="1"/>
    <col min="3" max="3" width="10.140625" style="344" bestFit="1" customWidth="1"/>
    <col min="4" max="4" width="13.28515625" style="344" customWidth="1"/>
    <col min="5" max="5" width="11.85546875" style="344" customWidth="1"/>
    <col min="6" max="6" width="9.5703125" style="344" bestFit="1" customWidth="1"/>
    <col min="7" max="7" width="10.85546875" style="345" customWidth="1"/>
    <col min="8" max="8" width="1.85546875" style="344" customWidth="1"/>
    <col min="9" max="9" width="14.85546875" style="344" customWidth="1"/>
    <col min="10" max="11" width="9.140625" style="344"/>
    <col min="12" max="12" width="16.42578125" style="344" customWidth="1"/>
    <col min="13" max="16384" width="9.140625" style="344"/>
  </cols>
  <sheetData>
    <row r="1" spans="1:13">
      <c r="A1" s="86" t="s">
        <v>245</v>
      </c>
      <c r="B1" s="87"/>
      <c r="C1" s="88"/>
      <c r="D1" s="88"/>
      <c r="E1" s="88"/>
      <c r="F1" s="89"/>
      <c r="G1" s="90"/>
      <c r="H1" s="345"/>
    </row>
    <row r="2" spans="1:13">
      <c r="A2" s="86" t="s">
        <v>427</v>
      </c>
      <c r="B2" s="87"/>
      <c r="C2" s="93"/>
      <c r="D2" s="93"/>
      <c r="E2" s="93"/>
      <c r="F2" s="89"/>
      <c r="G2" s="90"/>
      <c r="H2" s="345"/>
    </row>
    <row r="3" spans="1:13">
      <c r="B3" s="87"/>
      <c r="C3" s="88"/>
      <c r="D3" s="88"/>
      <c r="E3" s="88"/>
      <c r="F3" s="89"/>
      <c r="G3" s="90"/>
      <c r="H3" s="345"/>
    </row>
    <row r="4" spans="1:13">
      <c r="A4" s="86"/>
      <c r="B4" s="87"/>
      <c r="C4" s="88"/>
      <c r="D4" s="88"/>
      <c r="E4" s="88"/>
      <c r="F4" s="89"/>
      <c r="G4" s="90"/>
      <c r="H4" s="345"/>
    </row>
    <row r="5" spans="1:13" ht="45">
      <c r="A5" s="379"/>
      <c r="B5" s="380"/>
      <c r="C5" s="381" t="s">
        <v>428</v>
      </c>
      <c r="D5" s="381" t="s">
        <v>429</v>
      </c>
      <c r="E5" s="381" t="s">
        <v>430</v>
      </c>
      <c r="F5" s="381"/>
      <c r="G5" s="381"/>
      <c r="H5" s="382"/>
      <c r="I5" s="383"/>
      <c r="J5" s="383"/>
      <c r="K5" s="383"/>
      <c r="L5" s="345"/>
      <c r="M5" s="384"/>
    </row>
    <row r="6" spans="1:13">
      <c r="A6" s="94" t="s">
        <v>431</v>
      </c>
      <c r="B6" s="385"/>
      <c r="C6" s="95"/>
      <c r="D6" s="95"/>
      <c r="E6" s="95"/>
      <c r="F6" s="95"/>
      <c r="G6" s="95"/>
    </row>
    <row r="7" spans="1:13">
      <c r="A7" s="96" t="s">
        <v>246</v>
      </c>
      <c r="B7" s="97" t="s">
        <v>432</v>
      </c>
      <c r="C7" s="95">
        <v>4.8600000000000003</v>
      </c>
      <c r="D7" s="386">
        <f>+'G-48 DF Calc'!J8</f>
        <v>3.3939853510817151E-2</v>
      </c>
      <c r="E7" s="386">
        <f>C7+D7</f>
        <v>4.8939398535108172</v>
      </c>
      <c r="F7" s="95"/>
      <c r="G7" s="95"/>
    </row>
    <row r="8" spans="1:13">
      <c r="A8" s="96"/>
      <c r="B8" s="97"/>
      <c r="C8" s="95"/>
      <c r="D8" s="95"/>
      <c r="E8" s="95"/>
      <c r="F8" s="95"/>
      <c r="G8" s="95"/>
    </row>
    <row r="9" spans="1:13">
      <c r="A9" s="94" t="s">
        <v>433</v>
      </c>
      <c r="B9" s="385"/>
      <c r="C9" s="95"/>
      <c r="D9" s="95"/>
      <c r="E9" s="95"/>
      <c r="F9" s="95"/>
      <c r="G9" s="95"/>
    </row>
    <row r="10" spans="1:13">
      <c r="A10" s="96" t="s">
        <v>434</v>
      </c>
      <c r="B10" s="97" t="s">
        <v>435</v>
      </c>
      <c r="C10" s="95">
        <v>18.86</v>
      </c>
      <c r="D10" s="386">
        <f>+'G-48 DF Calc'!J11</f>
        <v>8.6513352086396669E-2</v>
      </c>
      <c r="E10" s="95">
        <f>C10+D10</f>
        <v>18.946513352086395</v>
      </c>
      <c r="F10" s="95"/>
      <c r="G10" s="95"/>
      <c r="J10" s="96"/>
    </row>
    <row r="11" spans="1:13">
      <c r="A11" s="96" t="s">
        <v>436</v>
      </c>
      <c r="B11" s="97" t="s">
        <v>437</v>
      </c>
      <c r="C11" s="95">
        <v>6.91</v>
      </c>
      <c r="D11" s="386">
        <f>+'G-48 DF Calc'!J12</f>
        <v>3.3939853510817151E-2</v>
      </c>
      <c r="E11" s="95">
        <f t="shared" ref="E11:E23" si="0">C11+D11</f>
        <v>6.943939853510817</v>
      </c>
      <c r="F11" s="95"/>
      <c r="G11" s="95"/>
      <c r="J11" s="96"/>
    </row>
    <row r="12" spans="1:13">
      <c r="A12" s="96" t="s">
        <v>436</v>
      </c>
      <c r="B12" s="97" t="s">
        <v>438</v>
      </c>
      <c r="C12" s="95">
        <v>13.82</v>
      </c>
      <c r="D12" s="386">
        <f>+'G-48 DF Calc'!J13</f>
        <v>7.3536349273437163E-2</v>
      </c>
      <c r="E12" s="95">
        <f t="shared" si="0"/>
        <v>13.893536349273438</v>
      </c>
      <c r="F12" s="95"/>
      <c r="G12" s="95"/>
      <c r="J12" s="96"/>
    </row>
    <row r="13" spans="1:13">
      <c r="A13" s="96" t="s">
        <v>436</v>
      </c>
      <c r="B13" s="97" t="s">
        <v>435</v>
      </c>
      <c r="C13" s="95">
        <v>21.89</v>
      </c>
      <c r="D13" s="386">
        <f>+'G-48 DF Calc'!J14</f>
        <v>0.14707269854687433</v>
      </c>
      <c r="E13" s="95">
        <f t="shared" si="0"/>
        <v>22.037072698546876</v>
      </c>
      <c r="F13" s="95"/>
      <c r="G13" s="95"/>
      <c r="J13" s="96"/>
    </row>
    <row r="14" spans="1:13">
      <c r="A14" s="96" t="s">
        <v>439</v>
      </c>
      <c r="B14" s="97" t="s">
        <v>435</v>
      </c>
      <c r="C14" s="95">
        <v>30.01</v>
      </c>
      <c r="D14" s="386">
        <f>+'G-48 DF Calc'!J15</f>
        <v>0.22060904782031143</v>
      </c>
      <c r="E14" s="95">
        <f t="shared" si="0"/>
        <v>30.230609047820312</v>
      </c>
      <c r="F14" s="95"/>
      <c r="G14" s="95"/>
      <c r="J14" s="96"/>
    </row>
    <row r="15" spans="1:13">
      <c r="A15" s="96" t="s">
        <v>440</v>
      </c>
      <c r="B15" s="97" t="s">
        <v>435</v>
      </c>
      <c r="C15" s="95">
        <v>39.15</v>
      </c>
      <c r="D15" s="386">
        <f>+'G-48 DF Calc'!J16</f>
        <v>0.33307640553262707</v>
      </c>
      <c r="E15" s="95">
        <f t="shared" si="0"/>
        <v>39.483076405532628</v>
      </c>
      <c r="F15" s="95"/>
      <c r="G15" s="95"/>
      <c r="J15" s="96"/>
    </row>
    <row r="16" spans="1:13">
      <c r="A16" s="96" t="s">
        <v>441</v>
      </c>
      <c r="B16" s="97" t="s">
        <v>435</v>
      </c>
      <c r="C16" s="95">
        <v>47.69</v>
      </c>
      <c r="D16" s="386">
        <f>+'G-48 DF Calc'!J17</f>
        <v>0.41958975761902378</v>
      </c>
      <c r="E16" s="95">
        <f t="shared" si="0"/>
        <v>48.10958975761902</v>
      </c>
      <c r="F16" s="95"/>
      <c r="G16" s="95"/>
      <c r="J16" s="96"/>
    </row>
    <row r="17" spans="1:10">
      <c r="A17" s="96" t="s">
        <v>442</v>
      </c>
      <c r="B17" s="97" t="s">
        <v>435</v>
      </c>
      <c r="C17" s="95">
        <v>57.79</v>
      </c>
      <c r="D17" s="386">
        <f>+'G-48 DF Calc'!J18</f>
        <v>0.50610310970542038</v>
      </c>
      <c r="E17" s="95">
        <f t="shared" si="0"/>
        <v>58.29610310970542</v>
      </c>
      <c r="F17" s="95"/>
      <c r="G17" s="95"/>
    </row>
    <row r="18" spans="1:10">
      <c r="A18" s="96" t="s">
        <v>443</v>
      </c>
      <c r="B18" s="97" t="s">
        <v>435</v>
      </c>
      <c r="C18" s="95">
        <v>68.599999999999994</v>
      </c>
      <c r="D18" s="386">
        <f>+'G-48 DF Calc'!J19</f>
        <v>0.59261646179181715</v>
      </c>
      <c r="E18" s="95">
        <f t="shared" si="0"/>
        <v>69.192616461791815</v>
      </c>
      <c r="F18" s="95"/>
      <c r="G18" s="95"/>
      <c r="J18" s="96"/>
    </row>
    <row r="19" spans="1:10">
      <c r="A19" s="96"/>
      <c r="B19" s="97"/>
      <c r="C19" s="95"/>
      <c r="E19" s="95"/>
      <c r="F19" s="95"/>
      <c r="G19" s="95"/>
    </row>
    <row r="20" spans="1:10">
      <c r="A20" s="96" t="s">
        <v>444</v>
      </c>
      <c r="B20" s="97" t="s">
        <v>435</v>
      </c>
      <c r="C20" s="95">
        <v>35.33</v>
      </c>
      <c r="D20" s="386">
        <f>+'G-48 DF Calc'!J21</f>
        <v>0.17302670417279328</v>
      </c>
      <c r="E20" s="95">
        <f t="shared" si="0"/>
        <v>35.50302670417279</v>
      </c>
      <c r="F20" s="95"/>
      <c r="G20" s="95"/>
    </row>
    <row r="21" spans="1:10">
      <c r="A21" s="96" t="s">
        <v>445</v>
      </c>
      <c r="B21" s="97" t="s">
        <v>435</v>
      </c>
      <c r="C21" s="95">
        <v>70.63</v>
      </c>
      <c r="D21" s="386">
        <f>+'G-48 DF Calc'!J22</f>
        <v>0.34605340834558657</v>
      </c>
      <c r="E21" s="95">
        <f t="shared" si="0"/>
        <v>70.976053408345578</v>
      </c>
      <c r="F21" s="95"/>
      <c r="G21" s="95"/>
      <c r="H21" s="387"/>
    </row>
    <row r="22" spans="1:10">
      <c r="A22" s="96" t="s">
        <v>446</v>
      </c>
      <c r="B22" s="97" t="s">
        <v>435</v>
      </c>
      <c r="C22" s="95">
        <v>44.07</v>
      </c>
      <c r="D22" s="386">
        <f>+'G-48 DF Calc'!J23</f>
        <v>0.20330637740303212</v>
      </c>
      <c r="E22" s="95">
        <f t="shared" si="0"/>
        <v>44.273306377403031</v>
      </c>
      <c r="F22" s="95"/>
      <c r="G22" s="95"/>
    </row>
    <row r="23" spans="1:10">
      <c r="A23" s="96" t="s">
        <v>446</v>
      </c>
      <c r="B23" s="97" t="s">
        <v>437</v>
      </c>
      <c r="C23" s="95">
        <v>37.880000000000003</v>
      </c>
      <c r="D23" s="386">
        <f>+'G-48 DF Calc'!J24</f>
        <v>9.3833712647553302E-2</v>
      </c>
      <c r="E23" s="95">
        <f t="shared" si="0"/>
        <v>37.973833712647554</v>
      </c>
      <c r="F23" s="95"/>
      <c r="G23" s="95"/>
    </row>
    <row r="24" spans="1:10">
      <c r="A24" s="96"/>
      <c r="B24" s="97"/>
      <c r="C24" s="95"/>
      <c r="D24" s="386"/>
      <c r="E24" s="95"/>
      <c r="F24" s="95"/>
      <c r="G24" s="95"/>
    </row>
    <row r="25" spans="1:10">
      <c r="A25" s="94" t="s">
        <v>447</v>
      </c>
      <c r="B25" s="97"/>
      <c r="C25" s="95"/>
      <c r="D25" s="95"/>
      <c r="E25" s="95"/>
      <c r="F25" s="95"/>
      <c r="G25" s="95"/>
    </row>
    <row r="26" spans="1:10">
      <c r="A26" s="96" t="s">
        <v>247</v>
      </c>
      <c r="B26" s="97" t="s">
        <v>448</v>
      </c>
      <c r="C26" s="95">
        <v>5.08</v>
      </c>
      <c r="D26" s="386">
        <f>+'G-48 DF Calc'!J27</f>
        <v>3.3939853510817158E-2</v>
      </c>
      <c r="E26" s="95">
        <f t="shared" ref="E26:E29" si="1">C26+D26</f>
        <v>5.1139398535108169</v>
      </c>
      <c r="F26" s="95"/>
      <c r="G26" s="95"/>
    </row>
    <row r="27" spans="1:10">
      <c r="A27" s="96" t="s">
        <v>248</v>
      </c>
      <c r="B27" s="97" t="s">
        <v>448</v>
      </c>
      <c r="C27" s="95">
        <v>9.44</v>
      </c>
      <c r="D27" s="386">
        <f>+'G-48 DF Calc'!J28</f>
        <v>3.9929239424490767E-2</v>
      </c>
      <c r="E27" s="95">
        <f t="shared" si="1"/>
        <v>9.4799292394244894</v>
      </c>
      <c r="F27" s="95"/>
      <c r="G27" s="95"/>
    </row>
    <row r="28" spans="1:10">
      <c r="A28" s="96" t="s">
        <v>249</v>
      </c>
      <c r="B28" s="97" t="s">
        <v>448</v>
      </c>
      <c r="C28" s="95">
        <v>11.45</v>
      </c>
      <c r="D28" s="386">
        <f>+'G-48 DF Calc'!J29</f>
        <v>4.6916856323776651E-2</v>
      </c>
      <c r="E28" s="95">
        <f t="shared" si="1"/>
        <v>11.496916856323775</v>
      </c>
      <c r="F28" s="95"/>
      <c r="G28" s="95"/>
    </row>
    <row r="29" spans="1:10">
      <c r="A29" s="96" t="s">
        <v>250</v>
      </c>
      <c r="B29" s="97" t="s">
        <v>448</v>
      </c>
      <c r="C29" s="95">
        <v>6.91</v>
      </c>
      <c r="D29" s="386">
        <f>+'G-48 DF Calc'!J30</f>
        <v>3.3939853510817151E-2</v>
      </c>
      <c r="E29" s="95">
        <f t="shared" si="1"/>
        <v>6.943939853510817</v>
      </c>
      <c r="F29" s="95"/>
      <c r="G29" s="95"/>
    </row>
    <row r="30" spans="1:10">
      <c r="A30" s="96"/>
      <c r="B30" s="97"/>
      <c r="C30" s="95"/>
      <c r="D30" s="95"/>
      <c r="E30" s="95"/>
      <c r="F30" s="95"/>
      <c r="G30" s="95"/>
    </row>
    <row r="31" spans="1:10">
      <c r="A31" s="94" t="s">
        <v>449</v>
      </c>
      <c r="B31" s="97"/>
      <c r="C31" s="95"/>
      <c r="D31" s="95"/>
      <c r="E31" s="95"/>
      <c r="F31" s="95"/>
      <c r="G31" s="95"/>
    </row>
    <row r="32" spans="1:10">
      <c r="A32" s="96" t="s">
        <v>251</v>
      </c>
      <c r="B32" s="97" t="s">
        <v>448</v>
      </c>
      <c r="C32" s="95">
        <v>19.86</v>
      </c>
      <c r="D32" s="386">
        <f>+'G-48 DF Calc'!J36</f>
        <v>0.12477887320153365</v>
      </c>
      <c r="E32" s="95">
        <f t="shared" ref="E32:E37" si="2">C32+D32</f>
        <v>19.984778873201535</v>
      </c>
      <c r="F32" s="95"/>
      <c r="G32" s="95"/>
    </row>
    <row r="33" spans="1:7">
      <c r="A33" s="96" t="s">
        <v>252</v>
      </c>
      <c r="B33" s="97" t="s">
        <v>448</v>
      </c>
      <c r="C33" s="95">
        <f>+C32</f>
        <v>19.86</v>
      </c>
      <c r="D33" s="386">
        <f>D32</f>
        <v>0.12477887320153365</v>
      </c>
      <c r="E33" s="95">
        <f t="shared" si="2"/>
        <v>19.984778873201535</v>
      </c>
      <c r="F33" s="95"/>
      <c r="G33" s="95"/>
    </row>
    <row r="34" spans="1:7">
      <c r="A34" s="96" t="s">
        <v>253</v>
      </c>
      <c r="B34" s="97" t="s">
        <v>448</v>
      </c>
      <c r="C34" s="95">
        <f>+C33</f>
        <v>19.86</v>
      </c>
      <c r="D34" s="386">
        <f t="shared" ref="D34:D37" si="3">D33</f>
        <v>0.12477887320153365</v>
      </c>
      <c r="E34" s="95">
        <f t="shared" si="2"/>
        <v>19.984778873201535</v>
      </c>
      <c r="F34" s="95"/>
      <c r="G34" s="95"/>
    </row>
    <row r="35" spans="1:7">
      <c r="A35" s="96" t="s">
        <v>254</v>
      </c>
      <c r="B35" s="97" t="s">
        <v>448</v>
      </c>
      <c r="C35" s="95">
        <f>+C34</f>
        <v>19.86</v>
      </c>
      <c r="D35" s="386">
        <f t="shared" si="3"/>
        <v>0.12477887320153365</v>
      </c>
      <c r="E35" s="95">
        <f t="shared" si="2"/>
        <v>19.984778873201535</v>
      </c>
      <c r="F35" s="95"/>
      <c r="G35" s="95"/>
    </row>
    <row r="36" spans="1:7">
      <c r="A36" s="96" t="s">
        <v>255</v>
      </c>
      <c r="B36" s="97" t="s">
        <v>448</v>
      </c>
      <c r="C36" s="95">
        <f>+C35</f>
        <v>19.86</v>
      </c>
      <c r="D36" s="386">
        <f t="shared" si="3"/>
        <v>0.12477887320153365</v>
      </c>
      <c r="E36" s="95">
        <f t="shared" si="2"/>
        <v>19.984778873201535</v>
      </c>
      <c r="F36" s="95"/>
      <c r="G36" s="95"/>
    </row>
    <row r="37" spans="1:7">
      <c r="A37" s="96" t="s">
        <v>255</v>
      </c>
      <c r="B37" s="97" t="s">
        <v>448</v>
      </c>
      <c r="C37" s="95">
        <f>+C36</f>
        <v>19.86</v>
      </c>
      <c r="D37" s="386">
        <f t="shared" si="3"/>
        <v>0.12477887320153365</v>
      </c>
      <c r="E37" s="95">
        <f t="shared" si="2"/>
        <v>19.984778873201535</v>
      </c>
      <c r="F37" s="95"/>
      <c r="G37" s="95"/>
    </row>
    <row r="38" spans="1:7">
      <c r="A38" s="96"/>
      <c r="B38" s="97"/>
      <c r="C38" s="95"/>
      <c r="D38" s="95"/>
      <c r="E38" s="95"/>
      <c r="F38" s="95"/>
      <c r="G38" s="95"/>
    </row>
    <row r="39" spans="1:7">
      <c r="A39" s="94" t="s">
        <v>450</v>
      </c>
      <c r="B39" s="97"/>
      <c r="C39" s="95"/>
      <c r="D39" s="95"/>
      <c r="E39" s="95"/>
      <c r="F39" s="95"/>
      <c r="G39" s="95"/>
    </row>
    <row r="40" spans="1:7">
      <c r="A40" s="96" t="s">
        <v>451</v>
      </c>
      <c r="B40" s="97" t="s">
        <v>452</v>
      </c>
      <c r="C40" s="95">
        <v>74.209999999999994</v>
      </c>
      <c r="D40" s="95">
        <f>References!C61</f>
        <v>2.5300000000000078</v>
      </c>
      <c r="E40" s="95">
        <f t="shared" ref="E40" si="4">C40+D40</f>
        <v>76.739999999999995</v>
      </c>
      <c r="F40" s="95"/>
      <c r="G40" s="95"/>
    </row>
    <row r="41" spans="1:7">
      <c r="A41" s="96"/>
      <c r="B41" s="97"/>
      <c r="C41" s="95"/>
      <c r="D41" s="95"/>
      <c r="E41" s="95"/>
      <c r="F41" s="95"/>
      <c r="G41" s="95"/>
    </row>
    <row r="42" spans="1:7">
      <c r="A42" s="94" t="s">
        <v>256</v>
      </c>
      <c r="B42" s="97"/>
      <c r="C42" s="95"/>
      <c r="D42" s="95"/>
      <c r="E42" s="95"/>
      <c r="F42" s="95"/>
      <c r="G42" s="95"/>
    </row>
    <row r="43" spans="1:7">
      <c r="A43" s="96" t="s">
        <v>257</v>
      </c>
      <c r="B43" s="97"/>
      <c r="C43" s="95"/>
      <c r="D43" s="95"/>
      <c r="E43" s="95"/>
      <c r="F43" s="95"/>
      <c r="G43" s="95"/>
    </row>
    <row r="44" spans="1:7">
      <c r="A44" s="96" t="s">
        <v>258</v>
      </c>
      <c r="B44" s="97" t="s">
        <v>448</v>
      </c>
      <c r="C44" s="95">
        <v>18.87</v>
      </c>
      <c r="D44" s="387">
        <f>+'G-48 DF Calc'!J45</f>
        <v>0.17469042248214711</v>
      </c>
      <c r="E44" s="95">
        <f t="shared" ref="E44:E48" si="5">C44+D44</f>
        <v>19.044690422482148</v>
      </c>
      <c r="F44" s="95"/>
      <c r="G44" s="95"/>
    </row>
    <row r="45" spans="1:7">
      <c r="A45" s="96" t="s">
        <v>259</v>
      </c>
      <c r="B45" s="97" t="s">
        <v>448</v>
      </c>
      <c r="C45" s="95">
        <v>27.8</v>
      </c>
      <c r="D45" s="387">
        <f>+'G-48 DF Calc'!J46</f>
        <v>0.24955774640306724</v>
      </c>
      <c r="E45" s="95">
        <f t="shared" si="5"/>
        <v>28.049557746403067</v>
      </c>
      <c r="F45" s="95"/>
      <c r="G45" s="95"/>
    </row>
    <row r="46" spans="1:7">
      <c r="A46" s="96" t="s">
        <v>260</v>
      </c>
      <c r="B46" s="97" t="s">
        <v>448</v>
      </c>
      <c r="C46" s="95">
        <v>36.31</v>
      </c>
      <c r="D46" s="387">
        <f>+'G-48 DF Calc'!J47</f>
        <v>0.32342683933837513</v>
      </c>
      <c r="E46" s="95">
        <f t="shared" si="5"/>
        <v>36.633426839338377</v>
      </c>
      <c r="F46" s="95"/>
      <c r="G46" s="95"/>
    </row>
    <row r="47" spans="1:7">
      <c r="A47" s="96" t="s">
        <v>261</v>
      </c>
      <c r="B47" s="97" t="s">
        <v>448</v>
      </c>
      <c r="C47" s="95">
        <v>49.5</v>
      </c>
      <c r="D47" s="387">
        <f>+'G-48 DF Calc'!J48</f>
        <v>0.47216325619460336</v>
      </c>
      <c r="E47" s="95">
        <f t="shared" si="5"/>
        <v>49.972163256194605</v>
      </c>
      <c r="F47" s="95"/>
      <c r="G47" s="95"/>
    </row>
    <row r="48" spans="1:7">
      <c r="A48" s="96" t="s">
        <v>262</v>
      </c>
      <c r="B48" s="97" t="s">
        <v>448</v>
      </c>
      <c r="C48" s="95">
        <v>61.22</v>
      </c>
      <c r="D48" s="387">
        <f>+'G-48 DF Calc'!J49</f>
        <v>0.61191559418032093</v>
      </c>
      <c r="E48" s="95">
        <f t="shared" si="5"/>
        <v>61.831915594180323</v>
      </c>
      <c r="F48" s="95"/>
      <c r="G48" s="95"/>
    </row>
    <row r="49" spans="1:7">
      <c r="A49" s="96"/>
      <c r="B49" s="97"/>
      <c r="C49" s="95"/>
      <c r="D49" s="95"/>
      <c r="E49" s="95"/>
      <c r="F49" s="95"/>
      <c r="G49" s="95"/>
    </row>
    <row r="50" spans="1:7">
      <c r="A50" s="96" t="s">
        <v>263</v>
      </c>
      <c r="B50" s="97"/>
      <c r="C50" s="95"/>
      <c r="D50" s="95"/>
      <c r="E50" s="95"/>
      <c r="F50" s="95"/>
      <c r="G50" s="95"/>
    </row>
    <row r="51" spans="1:7">
      <c r="A51" s="96" t="s">
        <v>258</v>
      </c>
      <c r="B51" s="97" t="s">
        <v>448</v>
      </c>
      <c r="C51" s="95">
        <v>26.08</v>
      </c>
      <c r="D51" s="387">
        <f>D44</f>
        <v>0.17469042248214711</v>
      </c>
      <c r="E51" s="95">
        <f t="shared" ref="E51:E55" si="6">C51+D51</f>
        <v>26.254690422482145</v>
      </c>
      <c r="F51" s="95"/>
      <c r="G51" s="95"/>
    </row>
    <row r="52" spans="1:7">
      <c r="A52" s="96" t="s">
        <v>259</v>
      </c>
      <c r="B52" s="97" t="s">
        <v>448</v>
      </c>
      <c r="C52" s="95">
        <v>38.340000000000003</v>
      </c>
      <c r="D52" s="387">
        <f t="shared" ref="D52:D55" si="7">D45</f>
        <v>0.24955774640306724</v>
      </c>
      <c r="E52" s="95">
        <f t="shared" si="6"/>
        <v>38.589557746403074</v>
      </c>
      <c r="F52" s="95"/>
      <c r="G52" s="95"/>
    </row>
    <row r="53" spans="1:7">
      <c r="A53" s="96" t="s">
        <v>260</v>
      </c>
      <c r="B53" s="97" t="s">
        <v>448</v>
      </c>
      <c r="C53" s="95">
        <v>50.47</v>
      </c>
      <c r="D53" s="387">
        <f t="shared" si="7"/>
        <v>0.32342683933837513</v>
      </c>
      <c r="E53" s="95">
        <f t="shared" si="6"/>
        <v>50.793426839338373</v>
      </c>
      <c r="F53" s="95"/>
      <c r="G53" s="95"/>
    </row>
    <row r="54" spans="1:7">
      <c r="A54" s="96" t="s">
        <v>261</v>
      </c>
      <c r="B54" s="97" t="s">
        <v>448</v>
      </c>
      <c r="C54" s="95">
        <v>65.19</v>
      </c>
      <c r="D54" s="387">
        <f t="shared" si="7"/>
        <v>0.47216325619460336</v>
      </c>
      <c r="E54" s="95">
        <f t="shared" si="6"/>
        <v>65.662163256194603</v>
      </c>
      <c r="F54" s="95"/>
      <c r="G54" s="95"/>
    </row>
    <row r="55" spans="1:7">
      <c r="A55" s="96" t="s">
        <v>262</v>
      </c>
      <c r="B55" s="97" t="s">
        <v>448</v>
      </c>
      <c r="C55" s="95">
        <v>77.98</v>
      </c>
      <c r="D55" s="387">
        <f t="shared" si="7"/>
        <v>0.61191559418032093</v>
      </c>
      <c r="E55" s="95">
        <f t="shared" si="6"/>
        <v>78.591915594180321</v>
      </c>
      <c r="F55" s="95"/>
      <c r="G55" s="95"/>
    </row>
    <row r="56" spans="1:7">
      <c r="A56" s="96"/>
      <c r="B56" s="97"/>
      <c r="C56" s="95"/>
      <c r="D56" s="95"/>
      <c r="E56" s="95"/>
      <c r="F56" s="95"/>
      <c r="G56" s="95"/>
    </row>
    <row r="57" spans="1:7">
      <c r="A57" s="96" t="s">
        <v>264</v>
      </c>
      <c r="B57" s="97"/>
      <c r="C57" s="95"/>
      <c r="D57" s="95"/>
      <c r="E57" s="95"/>
      <c r="F57" s="95"/>
      <c r="G57" s="95"/>
    </row>
    <row r="58" spans="1:7">
      <c r="A58" s="96" t="s">
        <v>258</v>
      </c>
      <c r="B58" s="97" t="s">
        <v>448</v>
      </c>
      <c r="C58" s="95">
        <v>26.08</v>
      </c>
      <c r="D58" s="95">
        <f>D51</f>
        <v>0.17469042248214711</v>
      </c>
      <c r="E58" s="95">
        <f t="shared" ref="E58:E62" si="8">C58+D58</f>
        <v>26.254690422482145</v>
      </c>
      <c r="F58" s="95"/>
      <c r="G58" s="95"/>
    </row>
    <row r="59" spans="1:7">
      <c r="A59" s="96" t="s">
        <v>259</v>
      </c>
      <c r="B59" s="97" t="s">
        <v>448</v>
      </c>
      <c r="C59" s="95">
        <v>38.340000000000003</v>
      </c>
      <c r="D59" s="95">
        <f t="shared" ref="D59:D62" si="9">D52</f>
        <v>0.24955774640306724</v>
      </c>
      <c r="E59" s="95">
        <f t="shared" si="8"/>
        <v>38.589557746403074</v>
      </c>
      <c r="F59" s="95"/>
      <c r="G59" s="95"/>
    </row>
    <row r="60" spans="1:7">
      <c r="A60" s="96" t="s">
        <v>260</v>
      </c>
      <c r="B60" s="97" t="s">
        <v>448</v>
      </c>
      <c r="C60" s="95">
        <v>50.47</v>
      </c>
      <c r="D60" s="95">
        <f t="shared" si="9"/>
        <v>0.32342683933837513</v>
      </c>
      <c r="E60" s="95">
        <f t="shared" si="8"/>
        <v>50.793426839338373</v>
      </c>
      <c r="F60" s="95"/>
      <c r="G60" s="95"/>
    </row>
    <row r="61" spans="1:7">
      <c r="A61" s="96" t="s">
        <v>261</v>
      </c>
      <c r="B61" s="97" t="s">
        <v>448</v>
      </c>
      <c r="C61" s="95">
        <v>65.19</v>
      </c>
      <c r="D61" s="95">
        <f t="shared" si="9"/>
        <v>0.47216325619460336</v>
      </c>
      <c r="E61" s="95">
        <f t="shared" si="8"/>
        <v>65.662163256194603</v>
      </c>
      <c r="F61" s="95"/>
      <c r="G61" s="95"/>
    </row>
    <row r="62" spans="1:7">
      <c r="A62" s="96" t="s">
        <v>262</v>
      </c>
      <c r="B62" s="97" t="s">
        <v>448</v>
      </c>
      <c r="C62" s="95">
        <v>77.98</v>
      </c>
      <c r="D62" s="95">
        <f t="shared" si="9"/>
        <v>0.61191559418032093</v>
      </c>
      <c r="E62" s="95">
        <f t="shared" si="8"/>
        <v>78.591915594180321</v>
      </c>
      <c r="F62" s="95"/>
      <c r="G62" s="95"/>
    </row>
    <row r="63" spans="1:7">
      <c r="A63" s="96"/>
      <c r="B63" s="97"/>
      <c r="C63" s="95"/>
      <c r="D63" s="95"/>
      <c r="E63" s="95"/>
      <c r="F63" s="95"/>
      <c r="G63" s="95"/>
    </row>
    <row r="64" spans="1:7">
      <c r="A64" s="94" t="s">
        <v>265</v>
      </c>
      <c r="B64" s="97"/>
      <c r="C64" s="95"/>
      <c r="D64" s="95"/>
      <c r="E64" s="95"/>
      <c r="F64" s="95"/>
      <c r="G64" s="95"/>
    </row>
    <row r="65" spans="1:7">
      <c r="A65" s="96" t="s">
        <v>453</v>
      </c>
      <c r="B65" s="97" t="s">
        <v>448</v>
      </c>
      <c r="C65" s="95">
        <v>4.9400000000000004</v>
      </c>
      <c r="D65" s="386">
        <f>+'G-48 DF Calc'!J66</f>
        <v>2.8948698582755804E-2</v>
      </c>
      <c r="E65" s="95">
        <f t="shared" ref="E65:E81" si="10">C65+D65</f>
        <v>4.9689486985827562</v>
      </c>
      <c r="F65" s="95"/>
      <c r="G65" s="95"/>
    </row>
    <row r="66" spans="1:7">
      <c r="A66" s="96" t="s">
        <v>454</v>
      </c>
      <c r="B66" s="97" t="s">
        <v>448</v>
      </c>
      <c r="C66" s="95">
        <v>4.9400000000000004</v>
      </c>
      <c r="D66" s="386">
        <f>D65</f>
        <v>2.8948698582755804E-2</v>
      </c>
      <c r="E66" s="95">
        <f t="shared" si="10"/>
        <v>4.9689486985827562</v>
      </c>
      <c r="F66" s="95"/>
      <c r="G66" s="95"/>
    </row>
    <row r="67" spans="1:7">
      <c r="A67" s="96" t="s">
        <v>266</v>
      </c>
      <c r="B67" s="97" t="s">
        <v>455</v>
      </c>
      <c r="C67" s="95">
        <v>21.44</v>
      </c>
      <c r="D67" s="386">
        <f>+'G-48 DF Calc'!J68</f>
        <v>0.12544436052527516</v>
      </c>
      <c r="E67" s="95">
        <f t="shared" si="10"/>
        <v>21.565444360525277</v>
      </c>
      <c r="F67" s="95"/>
      <c r="G67" s="95"/>
    </row>
    <row r="68" spans="1:7">
      <c r="A68" s="96" t="s">
        <v>267</v>
      </c>
      <c r="B68" s="97" t="s">
        <v>448</v>
      </c>
      <c r="C68" s="95">
        <v>5.97</v>
      </c>
      <c r="D68" s="386">
        <f>D65</f>
        <v>2.8948698582755804E-2</v>
      </c>
      <c r="E68" s="95">
        <f t="shared" si="10"/>
        <v>5.9989486985827556</v>
      </c>
      <c r="F68" s="95"/>
      <c r="G68" s="95"/>
    </row>
    <row r="69" spans="1:7">
      <c r="A69" s="96" t="s">
        <v>268</v>
      </c>
      <c r="B69" s="97" t="s">
        <v>448</v>
      </c>
      <c r="C69" s="95">
        <v>4.9400000000000004</v>
      </c>
      <c r="D69" s="386">
        <f>D65</f>
        <v>2.8948698582755804E-2</v>
      </c>
      <c r="E69" s="95">
        <f t="shared" si="10"/>
        <v>4.9689486985827562</v>
      </c>
      <c r="F69" s="95"/>
      <c r="G69" s="95"/>
    </row>
    <row r="70" spans="1:7">
      <c r="A70" s="96" t="s">
        <v>269</v>
      </c>
      <c r="B70" s="97" t="s">
        <v>448</v>
      </c>
      <c r="C70" s="95">
        <v>4.9400000000000004</v>
      </c>
      <c r="D70" s="386">
        <f>D65</f>
        <v>2.8948698582755804E-2</v>
      </c>
      <c r="E70" s="95">
        <f t="shared" si="10"/>
        <v>4.9689486985827562</v>
      </c>
      <c r="F70" s="95"/>
      <c r="G70" s="95"/>
    </row>
    <row r="71" spans="1:7">
      <c r="A71" s="94"/>
      <c r="B71" s="97"/>
      <c r="C71" s="95"/>
      <c r="D71" s="95"/>
      <c r="E71" s="95"/>
      <c r="F71" s="95"/>
      <c r="G71" s="95"/>
    </row>
    <row r="72" spans="1:7">
      <c r="A72" s="96" t="s">
        <v>270</v>
      </c>
      <c r="B72" s="97" t="s">
        <v>448</v>
      </c>
      <c r="C72" s="95">
        <v>5.71</v>
      </c>
      <c r="D72" s="95">
        <f>+'G-48 DF Calc'!J73</f>
        <v>3.3939853510817151E-2</v>
      </c>
      <c r="E72" s="95">
        <f t="shared" si="10"/>
        <v>5.7439398535108168</v>
      </c>
      <c r="F72" s="95"/>
      <c r="G72" s="95"/>
    </row>
    <row r="73" spans="1:7">
      <c r="A73" s="96" t="s">
        <v>266</v>
      </c>
      <c r="B73" s="97" t="s">
        <v>455</v>
      </c>
      <c r="C73" s="95">
        <v>24.71</v>
      </c>
      <c r="D73" s="95">
        <f>D72*References!C10</f>
        <v>0.14707269854687433</v>
      </c>
      <c r="E73" s="95">
        <f t="shared" si="10"/>
        <v>24.857072698546876</v>
      </c>
      <c r="F73" s="95"/>
      <c r="G73" s="95"/>
    </row>
    <row r="74" spans="1:7">
      <c r="A74" s="96" t="s">
        <v>267</v>
      </c>
      <c r="B74" s="97" t="s">
        <v>448</v>
      </c>
      <c r="C74" s="95">
        <v>7.21</v>
      </c>
      <c r="D74" s="95">
        <f>+'G-48 DF Calc'!J75</f>
        <v>3.3939853510817151E-2</v>
      </c>
      <c r="E74" s="95">
        <f t="shared" si="10"/>
        <v>7.2439398535108168</v>
      </c>
      <c r="F74" s="95"/>
      <c r="G74" s="95"/>
    </row>
    <row r="75" spans="1:7">
      <c r="A75" s="96" t="s">
        <v>268</v>
      </c>
      <c r="B75" s="97" t="s">
        <v>448</v>
      </c>
      <c r="C75" s="95">
        <v>5.71</v>
      </c>
      <c r="D75" s="95">
        <f>D74*References!C12</f>
        <v>3.3939853510817151E-2</v>
      </c>
      <c r="E75" s="95">
        <f t="shared" si="10"/>
        <v>5.7439398535108168</v>
      </c>
      <c r="F75" s="95"/>
      <c r="G75" s="95"/>
    </row>
    <row r="76" spans="1:7">
      <c r="A76" s="96" t="s">
        <v>271</v>
      </c>
      <c r="B76" s="97" t="s">
        <v>448</v>
      </c>
      <c r="C76" s="95">
        <v>8.15</v>
      </c>
      <c r="D76" s="95">
        <f>+'G-48 DF Calc'!J78</f>
        <v>3.9929239424490767E-2</v>
      </c>
      <c r="E76" s="95">
        <f t="shared" si="10"/>
        <v>8.1899292394244902</v>
      </c>
      <c r="F76" s="95"/>
      <c r="G76" s="95"/>
    </row>
    <row r="77" spans="1:7">
      <c r="A77" s="96" t="s">
        <v>266</v>
      </c>
      <c r="B77" s="97" t="s">
        <v>455</v>
      </c>
      <c r="C77" s="95">
        <v>35.31</v>
      </c>
      <c r="D77" s="95">
        <f>D76*References!C10</f>
        <v>0.17302670417279331</v>
      </c>
      <c r="E77" s="95">
        <f t="shared" si="10"/>
        <v>35.483026704172794</v>
      </c>
      <c r="F77" s="95"/>
      <c r="G77" s="95"/>
    </row>
    <row r="78" spans="1:7">
      <c r="A78" s="96" t="s">
        <v>267</v>
      </c>
      <c r="B78" s="97" t="s">
        <v>448</v>
      </c>
      <c r="C78" s="95">
        <v>9.65</v>
      </c>
      <c r="D78" s="95">
        <f>+D76</f>
        <v>3.9929239424490767E-2</v>
      </c>
      <c r="E78" s="95">
        <f t="shared" ref="E78:E79" si="11">C78+D78</f>
        <v>9.6899292394244902</v>
      </c>
      <c r="F78" s="95"/>
      <c r="G78" s="95"/>
    </row>
    <row r="79" spans="1:7">
      <c r="A79" s="96" t="s">
        <v>268</v>
      </c>
      <c r="B79" s="97" t="s">
        <v>448</v>
      </c>
      <c r="C79" s="95">
        <v>8.15</v>
      </c>
      <c r="D79" s="95">
        <f>+D76</f>
        <v>3.9929239424490767E-2</v>
      </c>
      <c r="E79" s="95">
        <f t="shared" si="11"/>
        <v>8.1899292394244902</v>
      </c>
      <c r="F79" s="95"/>
      <c r="G79" s="95"/>
    </row>
    <row r="80" spans="1:7">
      <c r="A80" s="96" t="s">
        <v>272</v>
      </c>
      <c r="B80" s="97" t="s">
        <v>448</v>
      </c>
      <c r="C80" s="95">
        <v>10.15</v>
      </c>
      <c r="D80" s="95">
        <f>+'G-48 DF Calc'!J83</f>
        <v>4.6916856323776651E-2</v>
      </c>
      <c r="E80" s="95">
        <f t="shared" si="10"/>
        <v>10.196916856323776</v>
      </c>
      <c r="F80" s="95"/>
      <c r="G80" s="95"/>
    </row>
    <row r="81" spans="1:7">
      <c r="A81" s="96" t="s">
        <v>266</v>
      </c>
      <c r="B81" s="97" t="s">
        <v>455</v>
      </c>
      <c r="C81" s="95">
        <v>43.97</v>
      </c>
      <c r="D81" s="95">
        <f>D80*References!C10</f>
        <v>0.20330637740303215</v>
      </c>
      <c r="E81" s="95">
        <f t="shared" si="10"/>
        <v>44.17330637740303</v>
      </c>
      <c r="F81" s="95"/>
      <c r="G81" s="95"/>
    </row>
    <row r="82" spans="1:7">
      <c r="A82" s="96" t="s">
        <v>267</v>
      </c>
      <c r="B82" s="97" t="s">
        <v>448</v>
      </c>
      <c r="C82" s="95">
        <v>11.65</v>
      </c>
      <c r="D82" s="95">
        <f>+D80</f>
        <v>4.6916856323776651E-2</v>
      </c>
      <c r="E82" s="95">
        <f t="shared" ref="E82:E83" si="12">C82+D82</f>
        <v>11.696916856323776</v>
      </c>
      <c r="F82" s="95"/>
      <c r="G82" s="95"/>
    </row>
    <row r="83" spans="1:7">
      <c r="A83" s="96" t="s">
        <v>268</v>
      </c>
      <c r="B83" s="97" t="s">
        <v>448</v>
      </c>
      <c r="C83" s="95">
        <v>10.15</v>
      </c>
      <c r="D83" s="95">
        <f>+D80</f>
        <v>4.6916856323776651E-2</v>
      </c>
      <c r="E83" s="95">
        <f t="shared" si="12"/>
        <v>10.196916856323776</v>
      </c>
      <c r="F83" s="95"/>
      <c r="G83" s="95"/>
    </row>
    <row r="84" spans="1:7">
      <c r="A84" s="96"/>
      <c r="B84" s="97"/>
      <c r="C84" s="95"/>
      <c r="D84" s="95"/>
      <c r="E84" s="95"/>
      <c r="F84" s="95"/>
      <c r="G84" s="95"/>
    </row>
    <row r="85" spans="1:7">
      <c r="A85" s="96"/>
      <c r="B85" s="97"/>
      <c r="C85" s="95"/>
      <c r="D85" s="95"/>
      <c r="E85" s="95"/>
      <c r="F85" s="95"/>
      <c r="G85" s="95"/>
    </row>
    <row r="86" spans="1:7">
      <c r="A86" s="96"/>
      <c r="B86" s="97"/>
      <c r="C86" s="95"/>
      <c r="D86" s="95"/>
      <c r="E86" s="95"/>
      <c r="F86" s="95"/>
      <c r="G86" s="95"/>
    </row>
    <row r="87" spans="1:7">
      <c r="A87" s="96"/>
      <c r="B87" s="97"/>
      <c r="C87" s="95"/>
      <c r="D87" s="95"/>
      <c r="E87" s="95"/>
      <c r="F87" s="95"/>
      <c r="G87" s="95"/>
    </row>
    <row r="88" spans="1:7">
      <c r="A88" s="96"/>
      <c r="B88" s="97"/>
      <c r="C88" s="95"/>
      <c r="D88" s="95"/>
      <c r="E88" s="95"/>
      <c r="F88" s="95"/>
      <c r="G88" s="95"/>
    </row>
    <row r="89" spans="1:7">
      <c r="A89" s="94"/>
      <c r="B89" s="97"/>
      <c r="C89" s="95"/>
      <c r="D89" s="95"/>
      <c r="E89" s="95"/>
      <c r="F89" s="95"/>
      <c r="G89" s="95"/>
    </row>
    <row r="90" spans="1:7">
      <c r="A90" s="96"/>
      <c r="B90" s="97"/>
      <c r="C90" s="95"/>
      <c r="D90" s="95"/>
      <c r="E90" s="95"/>
      <c r="F90" s="95"/>
      <c r="G90" s="95"/>
    </row>
    <row r="91" spans="1:7">
      <c r="A91" s="94"/>
      <c r="B91" s="97"/>
      <c r="C91" s="95"/>
      <c r="D91" s="95"/>
      <c r="E91" s="95"/>
      <c r="F91" s="95"/>
      <c r="G91" s="95"/>
    </row>
    <row r="92" spans="1:7">
      <c r="A92" s="94"/>
      <c r="B92" s="97"/>
      <c r="C92" s="95"/>
      <c r="D92" s="95"/>
      <c r="E92" s="95"/>
      <c r="F92" s="95"/>
      <c r="G92" s="95"/>
    </row>
    <row r="93" spans="1:7">
      <c r="A93" s="96"/>
      <c r="B93" s="97"/>
      <c r="C93" s="95"/>
      <c r="D93" s="95"/>
      <c r="E93" s="95"/>
      <c r="F93" s="95"/>
      <c r="G93" s="95"/>
    </row>
    <row r="94" spans="1:7">
      <c r="A94" s="96"/>
      <c r="B94" s="97"/>
      <c r="C94" s="95"/>
      <c r="D94" s="95"/>
      <c r="E94" s="95"/>
      <c r="F94" s="95"/>
      <c r="G94" s="95"/>
    </row>
    <row r="95" spans="1:7">
      <c r="A95" s="96"/>
      <c r="B95" s="97"/>
      <c r="C95" s="95"/>
      <c r="D95" s="95"/>
      <c r="E95" s="95"/>
      <c r="F95" s="95"/>
      <c r="G95" s="95"/>
    </row>
    <row r="96" spans="1:7">
      <c r="A96" s="96"/>
      <c r="B96" s="97"/>
      <c r="C96" s="95"/>
      <c r="D96" s="95"/>
      <c r="E96" s="95"/>
      <c r="F96" s="95"/>
      <c r="G96" s="95"/>
    </row>
    <row r="97" spans="1:7">
      <c r="A97" s="96"/>
      <c r="B97" s="97"/>
      <c r="C97" s="95"/>
      <c r="D97" s="95"/>
      <c r="E97" s="95"/>
      <c r="F97" s="95"/>
      <c r="G97" s="95"/>
    </row>
    <row r="98" spans="1:7">
      <c r="A98" s="96"/>
      <c r="B98" s="97"/>
      <c r="C98" s="95"/>
      <c r="D98" s="95"/>
      <c r="E98" s="95"/>
      <c r="F98" s="95"/>
      <c r="G98" s="95"/>
    </row>
    <row r="99" spans="1:7">
      <c r="A99" s="96"/>
      <c r="B99" s="97"/>
      <c r="C99" s="95"/>
      <c r="D99" s="95"/>
      <c r="E99" s="95"/>
      <c r="F99" s="95"/>
      <c r="G99" s="95"/>
    </row>
    <row r="100" spans="1:7">
      <c r="A100" s="96"/>
      <c r="B100" s="97"/>
      <c r="C100" s="95"/>
      <c r="D100" s="95"/>
      <c r="E100" s="95"/>
      <c r="F100" s="95"/>
      <c r="G100" s="95"/>
    </row>
    <row r="101" spans="1:7">
      <c r="A101" s="96"/>
      <c r="B101" s="97"/>
      <c r="C101" s="95"/>
      <c r="D101" s="95"/>
      <c r="E101" s="95"/>
      <c r="F101" s="95"/>
      <c r="G101" s="95"/>
    </row>
    <row r="102" spans="1:7">
      <c r="A102" s="94"/>
      <c r="B102" s="97"/>
      <c r="C102" s="95"/>
      <c r="D102" s="95"/>
      <c r="E102" s="95"/>
      <c r="F102" s="95"/>
      <c r="G102" s="95"/>
    </row>
    <row r="103" spans="1:7">
      <c r="A103" s="96"/>
      <c r="B103" s="97"/>
      <c r="C103" s="95"/>
      <c r="D103" s="95"/>
      <c r="E103" s="95"/>
      <c r="F103" s="95"/>
      <c r="G103" s="95"/>
    </row>
    <row r="104" spans="1:7">
      <c r="A104" s="96"/>
      <c r="B104" s="97"/>
      <c r="C104" s="95"/>
      <c r="D104" s="95"/>
      <c r="E104" s="95"/>
      <c r="F104" s="95"/>
      <c r="G104" s="95"/>
    </row>
    <row r="105" spans="1:7">
      <c r="A105" s="96"/>
      <c r="B105" s="97"/>
      <c r="C105" s="95"/>
      <c r="D105" s="95"/>
      <c r="E105" s="95"/>
      <c r="F105" s="95"/>
      <c r="G105" s="95"/>
    </row>
    <row r="106" spans="1:7">
      <c r="A106" s="96"/>
      <c r="B106" s="97"/>
      <c r="C106" s="95"/>
      <c r="D106" s="95"/>
      <c r="E106" s="95"/>
      <c r="F106" s="95"/>
      <c r="G106" s="95"/>
    </row>
    <row r="107" spans="1:7">
      <c r="A107" s="96"/>
      <c r="B107" s="97"/>
      <c r="C107" s="95"/>
      <c r="D107" s="95"/>
      <c r="E107" s="95"/>
      <c r="F107" s="95"/>
      <c r="G107" s="95"/>
    </row>
    <row r="108" spans="1:7">
      <c r="A108" s="96"/>
      <c r="B108" s="97"/>
      <c r="C108" s="95"/>
      <c r="D108" s="95"/>
      <c r="E108" s="95"/>
      <c r="F108" s="95"/>
      <c r="G108" s="95"/>
    </row>
    <row r="109" spans="1:7">
      <c r="A109" s="96"/>
      <c r="B109" s="97"/>
      <c r="C109" s="95"/>
      <c r="D109" s="95"/>
      <c r="E109" s="95"/>
      <c r="F109" s="95"/>
      <c r="G109" s="95"/>
    </row>
    <row r="110" spans="1:7">
      <c r="A110" s="96"/>
      <c r="B110" s="97"/>
      <c r="C110" s="95"/>
      <c r="D110" s="95"/>
      <c r="E110" s="95"/>
      <c r="F110" s="95"/>
      <c r="G110" s="95"/>
    </row>
    <row r="111" spans="1:7">
      <c r="A111" s="96"/>
      <c r="B111" s="97"/>
      <c r="C111" s="95"/>
      <c r="D111" s="95"/>
      <c r="E111" s="95"/>
      <c r="F111" s="95"/>
      <c r="G111" s="95"/>
    </row>
    <row r="112" spans="1:7">
      <c r="A112" s="96"/>
      <c r="B112" s="97"/>
      <c r="C112" s="95"/>
      <c r="D112" s="95"/>
      <c r="E112" s="95"/>
      <c r="F112" s="95"/>
      <c r="G112" s="95"/>
    </row>
    <row r="113" spans="1:7">
      <c r="A113" s="96"/>
      <c r="B113" s="97"/>
      <c r="C113" s="95"/>
      <c r="D113" s="95"/>
      <c r="E113" s="95"/>
      <c r="F113" s="95"/>
      <c r="G113" s="95"/>
    </row>
    <row r="114" spans="1:7">
      <c r="A114" s="96"/>
      <c r="B114" s="97"/>
      <c r="C114" s="95"/>
      <c r="D114" s="95"/>
      <c r="E114" s="95"/>
      <c r="F114" s="95"/>
      <c r="G114" s="95"/>
    </row>
    <row r="115" spans="1:7">
      <c r="A115" s="96"/>
      <c r="B115" s="97"/>
      <c r="C115" s="95"/>
      <c r="D115" s="95"/>
      <c r="E115" s="95"/>
      <c r="F115" s="95"/>
      <c r="G115" s="95"/>
    </row>
    <row r="116" spans="1:7">
      <c r="A116" s="96"/>
      <c r="B116" s="97"/>
      <c r="C116" s="95"/>
      <c r="D116" s="95"/>
      <c r="E116" s="95"/>
      <c r="F116" s="95"/>
      <c r="G116" s="95"/>
    </row>
    <row r="117" spans="1:7">
      <c r="A117" s="96"/>
      <c r="B117" s="97"/>
      <c r="C117" s="95"/>
      <c r="D117" s="95"/>
      <c r="E117" s="95"/>
      <c r="F117" s="95"/>
      <c r="G117" s="95"/>
    </row>
    <row r="118" spans="1:7">
      <c r="A118" s="96"/>
      <c r="B118" s="97"/>
      <c r="C118" s="95"/>
      <c r="D118" s="95"/>
      <c r="E118" s="95"/>
      <c r="F118" s="95"/>
      <c r="G118" s="95"/>
    </row>
    <row r="119" spans="1:7">
      <c r="A119" s="96"/>
      <c r="B119" s="97"/>
      <c r="C119" s="95"/>
      <c r="D119" s="95"/>
      <c r="E119" s="95"/>
      <c r="F119" s="95"/>
      <c r="G119" s="95"/>
    </row>
    <row r="120" spans="1:7">
      <c r="A120" s="96"/>
      <c r="B120" s="97"/>
      <c r="C120" s="95"/>
      <c r="D120" s="95"/>
      <c r="E120" s="95"/>
      <c r="F120" s="95"/>
      <c r="G120" s="95"/>
    </row>
    <row r="121" spans="1:7">
      <c r="A121" s="96"/>
      <c r="B121" s="97"/>
      <c r="C121" s="95"/>
      <c r="D121" s="95"/>
      <c r="E121" s="95"/>
      <c r="F121" s="95"/>
      <c r="G121" s="95"/>
    </row>
    <row r="122" spans="1:7">
      <c r="A122" s="94"/>
      <c r="B122" s="97"/>
      <c r="C122" s="95"/>
      <c r="D122" s="95"/>
      <c r="E122" s="95"/>
      <c r="F122" s="95"/>
      <c r="G122" s="95"/>
    </row>
    <row r="123" spans="1:7">
      <c r="A123" s="94"/>
      <c r="B123" s="97"/>
      <c r="C123" s="95"/>
      <c r="D123" s="95"/>
      <c r="E123" s="95"/>
      <c r="F123" s="95"/>
      <c r="G123" s="95"/>
    </row>
    <row r="124" spans="1:7">
      <c r="A124" s="96"/>
      <c r="B124" s="97"/>
      <c r="C124" s="95"/>
      <c r="D124" s="95"/>
      <c r="E124" s="95"/>
      <c r="F124" s="95"/>
      <c r="G124" s="95"/>
    </row>
    <row r="125" spans="1:7">
      <c r="A125" s="96"/>
      <c r="B125" s="97"/>
      <c r="C125" s="95"/>
      <c r="D125" s="95"/>
      <c r="E125" s="95"/>
      <c r="F125" s="95"/>
      <c r="G125" s="95"/>
    </row>
    <row r="126" spans="1:7">
      <c r="A126" s="96"/>
      <c r="B126" s="97"/>
      <c r="C126" s="95"/>
      <c r="D126" s="95"/>
      <c r="E126" s="95"/>
      <c r="F126" s="95"/>
      <c r="G126" s="95"/>
    </row>
    <row r="127" spans="1:7">
      <c r="A127" s="96"/>
      <c r="B127" s="97"/>
      <c r="C127" s="95"/>
      <c r="D127" s="95"/>
      <c r="E127" s="95"/>
      <c r="F127" s="95"/>
      <c r="G127" s="95"/>
    </row>
    <row r="128" spans="1:7">
      <c r="A128" s="96"/>
      <c r="B128" s="97"/>
      <c r="C128" s="95"/>
      <c r="D128" s="95"/>
      <c r="E128" s="95"/>
      <c r="F128" s="95"/>
      <c r="G128" s="95"/>
    </row>
    <row r="129" spans="1:13">
      <c r="A129" s="96"/>
      <c r="B129" s="97"/>
      <c r="C129" s="95"/>
      <c r="D129" s="95"/>
      <c r="E129" s="95"/>
      <c r="F129" s="95"/>
      <c r="G129" s="95"/>
    </row>
    <row r="130" spans="1:13">
      <c r="F130" s="345"/>
    </row>
    <row r="131" spans="1:13">
      <c r="F131" s="345"/>
    </row>
    <row r="132" spans="1:13">
      <c r="F132" s="345"/>
    </row>
    <row r="133" spans="1:13" s="345" customFormat="1">
      <c r="A133" s="344"/>
      <c r="B133" s="344"/>
      <c r="C133" s="344"/>
      <c r="D133" s="344"/>
      <c r="E133" s="344"/>
      <c r="H133" s="344"/>
      <c r="I133" s="344"/>
      <c r="J133" s="344"/>
      <c r="K133" s="344"/>
      <c r="L133" s="344"/>
      <c r="M133" s="344"/>
    </row>
    <row r="134" spans="1:13" s="345" customFormat="1">
      <c r="A134" s="344"/>
      <c r="B134" s="344"/>
      <c r="C134" s="344"/>
      <c r="D134" s="344"/>
      <c r="E134" s="344"/>
      <c r="H134" s="344"/>
      <c r="I134" s="344"/>
      <c r="J134" s="344"/>
      <c r="K134" s="344"/>
      <c r="L134" s="344"/>
      <c r="M134" s="344"/>
    </row>
    <row r="135" spans="1:13" s="345" customFormat="1">
      <c r="A135" s="344"/>
      <c r="B135" s="344"/>
      <c r="C135" s="344"/>
      <c r="D135" s="344"/>
      <c r="E135" s="344"/>
      <c r="H135" s="344"/>
      <c r="I135" s="344"/>
      <c r="J135" s="344"/>
      <c r="K135" s="344"/>
      <c r="L135" s="344"/>
      <c r="M135" s="344"/>
    </row>
    <row r="136" spans="1:13" s="345" customFormat="1">
      <c r="A136" s="344"/>
      <c r="B136" s="344"/>
      <c r="C136" s="344"/>
      <c r="D136" s="344"/>
      <c r="E136" s="344"/>
      <c r="H136" s="344"/>
      <c r="I136" s="344"/>
      <c r="J136" s="344"/>
      <c r="K136" s="344"/>
      <c r="L136" s="344"/>
      <c r="M136" s="344"/>
    </row>
    <row r="137" spans="1:13" s="345" customFormat="1">
      <c r="A137" s="344"/>
      <c r="B137" s="344"/>
      <c r="C137" s="344"/>
      <c r="D137" s="344"/>
      <c r="E137" s="344"/>
      <c r="H137" s="344"/>
      <c r="I137" s="344"/>
      <c r="J137" s="344"/>
      <c r="K137" s="344"/>
      <c r="L137" s="344"/>
      <c r="M137" s="344"/>
    </row>
    <row r="138" spans="1:13" s="345" customFormat="1">
      <c r="A138" s="344"/>
      <c r="B138" s="344"/>
      <c r="C138" s="344"/>
      <c r="D138" s="344"/>
      <c r="E138" s="344"/>
      <c r="H138" s="344"/>
      <c r="I138" s="344"/>
      <c r="J138" s="344"/>
      <c r="K138" s="344"/>
      <c r="L138" s="344"/>
      <c r="M138" s="344"/>
    </row>
    <row r="139" spans="1:13" s="345" customFormat="1">
      <c r="A139" s="344"/>
      <c r="B139" s="344"/>
      <c r="C139" s="344"/>
      <c r="D139" s="344"/>
      <c r="E139" s="344"/>
      <c r="H139" s="344"/>
      <c r="I139" s="344"/>
      <c r="J139" s="344"/>
      <c r="K139" s="344"/>
      <c r="L139" s="344"/>
      <c r="M139" s="344"/>
    </row>
    <row r="140" spans="1:13" s="345" customFormat="1">
      <c r="A140" s="344"/>
      <c r="B140" s="344"/>
      <c r="C140" s="344"/>
      <c r="D140" s="344"/>
      <c r="E140" s="344"/>
      <c r="H140" s="344"/>
      <c r="I140" s="344"/>
      <c r="J140" s="344"/>
      <c r="K140" s="344"/>
      <c r="L140" s="344"/>
      <c r="M140" s="344"/>
    </row>
    <row r="141" spans="1:13" s="345" customFormat="1">
      <c r="A141" s="344"/>
      <c r="B141" s="344"/>
      <c r="C141" s="344"/>
      <c r="D141" s="344"/>
      <c r="E141" s="344"/>
      <c r="H141" s="344"/>
      <c r="I141" s="344"/>
      <c r="J141" s="344"/>
      <c r="K141" s="344"/>
      <c r="L141" s="344"/>
      <c r="M141" s="344"/>
    </row>
    <row r="142" spans="1:13" s="345" customFormat="1">
      <c r="A142" s="344"/>
      <c r="B142" s="344"/>
      <c r="C142" s="344"/>
      <c r="D142" s="344"/>
      <c r="E142" s="344"/>
      <c r="H142" s="344"/>
      <c r="I142" s="344"/>
      <c r="J142" s="344"/>
      <c r="K142" s="344"/>
      <c r="L142" s="344"/>
      <c r="M142" s="344"/>
    </row>
    <row r="143" spans="1:13" s="345" customFormat="1">
      <c r="A143" s="344"/>
      <c r="B143" s="344"/>
      <c r="C143" s="344"/>
      <c r="D143" s="344"/>
      <c r="E143" s="344"/>
      <c r="H143" s="344"/>
      <c r="I143" s="344"/>
      <c r="J143" s="344"/>
      <c r="K143" s="344"/>
      <c r="L143" s="344"/>
      <c r="M143" s="344"/>
    </row>
    <row r="144" spans="1:13" s="345" customFormat="1">
      <c r="A144" s="344"/>
      <c r="B144" s="344"/>
      <c r="C144" s="344"/>
      <c r="D144" s="344"/>
      <c r="E144" s="344"/>
      <c r="H144" s="344"/>
      <c r="I144" s="344"/>
      <c r="J144" s="344"/>
      <c r="K144" s="344"/>
      <c r="L144" s="344"/>
      <c r="M144" s="344"/>
    </row>
    <row r="145" spans="1:13" s="345" customFormat="1">
      <c r="A145" s="344"/>
      <c r="B145" s="344"/>
      <c r="C145" s="344"/>
      <c r="D145" s="344"/>
      <c r="E145" s="344"/>
      <c r="H145" s="344"/>
      <c r="I145" s="344"/>
      <c r="J145" s="344"/>
      <c r="K145" s="344"/>
      <c r="L145" s="344"/>
      <c r="M145" s="344"/>
    </row>
    <row r="146" spans="1:13" s="345" customFormat="1">
      <c r="A146" s="344"/>
      <c r="B146" s="344"/>
      <c r="C146" s="344"/>
      <c r="D146" s="344"/>
      <c r="E146" s="344"/>
      <c r="H146" s="344"/>
      <c r="I146" s="344"/>
      <c r="J146" s="344"/>
      <c r="K146" s="344"/>
      <c r="L146" s="344"/>
      <c r="M146" s="344"/>
    </row>
    <row r="147" spans="1:13" s="345" customFormat="1">
      <c r="A147" s="344"/>
      <c r="B147" s="344"/>
      <c r="C147" s="344"/>
      <c r="D147" s="344"/>
      <c r="E147" s="344"/>
      <c r="H147" s="344"/>
      <c r="I147" s="344"/>
      <c r="J147" s="344"/>
      <c r="K147" s="344"/>
      <c r="L147" s="344"/>
      <c r="M147" s="344"/>
    </row>
    <row r="148" spans="1:13" s="345" customFormat="1">
      <c r="A148" s="344"/>
      <c r="B148" s="344"/>
      <c r="C148" s="344"/>
      <c r="D148" s="344"/>
      <c r="E148" s="344"/>
      <c r="H148" s="344"/>
      <c r="I148" s="344"/>
      <c r="J148" s="344"/>
      <c r="K148" s="344"/>
      <c r="L148" s="344"/>
      <c r="M148" s="344"/>
    </row>
    <row r="149" spans="1:13" s="345" customFormat="1">
      <c r="A149" s="344"/>
      <c r="B149" s="344"/>
      <c r="C149" s="344"/>
      <c r="D149" s="344"/>
      <c r="E149" s="344"/>
      <c r="H149" s="344"/>
      <c r="I149" s="344"/>
      <c r="J149" s="344"/>
      <c r="K149" s="344"/>
      <c r="L149" s="344"/>
      <c r="M149" s="344"/>
    </row>
    <row r="150" spans="1:13" s="345" customFormat="1">
      <c r="A150" s="344"/>
      <c r="B150" s="344"/>
      <c r="C150" s="344"/>
      <c r="D150" s="344"/>
      <c r="E150" s="344"/>
      <c r="H150" s="344"/>
      <c r="I150" s="344"/>
      <c r="J150" s="344"/>
      <c r="K150" s="344"/>
      <c r="L150" s="344"/>
      <c r="M150" s="344"/>
    </row>
    <row r="151" spans="1:13" s="345" customFormat="1">
      <c r="A151" s="344"/>
      <c r="B151" s="344"/>
      <c r="C151" s="344"/>
      <c r="D151" s="344"/>
      <c r="E151" s="344"/>
      <c r="H151" s="344"/>
      <c r="I151" s="344"/>
      <c r="J151" s="344"/>
      <c r="K151" s="344"/>
      <c r="L151" s="344"/>
      <c r="M151" s="344"/>
    </row>
    <row r="152" spans="1:13" s="345" customFormat="1">
      <c r="A152" s="344"/>
      <c r="B152" s="344"/>
      <c r="C152" s="344"/>
      <c r="D152" s="344"/>
      <c r="E152" s="344"/>
      <c r="H152" s="344"/>
      <c r="I152" s="344"/>
      <c r="J152" s="344"/>
      <c r="K152" s="344"/>
      <c r="L152" s="344"/>
      <c r="M152" s="344"/>
    </row>
    <row r="153" spans="1:13" s="345" customFormat="1">
      <c r="A153" s="344"/>
      <c r="B153" s="344"/>
      <c r="C153" s="344"/>
      <c r="D153" s="344"/>
      <c r="E153" s="344"/>
      <c r="H153" s="344"/>
      <c r="I153" s="344"/>
      <c r="J153" s="344"/>
      <c r="K153" s="344"/>
      <c r="L153" s="344"/>
      <c r="M153" s="344"/>
    </row>
    <row r="154" spans="1:13" s="345" customFormat="1">
      <c r="A154" s="344"/>
      <c r="B154" s="344"/>
      <c r="C154" s="344"/>
      <c r="D154" s="344"/>
      <c r="E154" s="344"/>
      <c r="H154" s="344"/>
      <c r="I154" s="344"/>
      <c r="J154" s="344"/>
      <c r="K154" s="344"/>
      <c r="L154" s="344"/>
      <c r="M154" s="344"/>
    </row>
    <row r="155" spans="1:13" s="345" customFormat="1">
      <c r="A155" s="344"/>
      <c r="B155" s="344"/>
      <c r="C155" s="344"/>
      <c r="D155" s="344"/>
      <c r="E155" s="344"/>
      <c r="H155" s="344"/>
      <c r="I155" s="344"/>
      <c r="J155" s="344"/>
      <c r="K155" s="344"/>
      <c r="L155" s="344"/>
      <c r="M155" s="344"/>
    </row>
    <row r="156" spans="1:13" s="345" customFormat="1">
      <c r="A156" s="344"/>
      <c r="B156" s="344"/>
      <c r="C156" s="344"/>
      <c r="D156" s="344"/>
      <c r="E156" s="344"/>
      <c r="H156" s="344"/>
      <c r="I156" s="344"/>
      <c r="J156" s="344"/>
      <c r="K156" s="344"/>
      <c r="L156" s="344"/>
      <c r="M156" s="344"/>
    </row>
    <row r="157" spans="1:13" s="345" customFormat="1">
      <c r="A157" s="344"/>
      <c r="B157" s="344"/>
      <c r="C157" s="344"/>
      <c r="D157" s="344"/>
      <c r="E157" s="344"/>
      <c r="H157" s="344"/>
      <c r="I157" s="344"/>
      <c r="J157" s="344"/>
      <c r="K157" s="344"/>
      <c r="L157" s="344"/>
      <c r="M157" s="344"/>
    </row>
    <row r="158" spans="1:13" s="345" customFormat="1">
      <c r="A158" s="344"/>
      <c r="B158" s="344"/>
      <c r="C158" s="344"/>
      <c r="D158" s="344"/>
      <c r="E158" s="344"/>
      <c r="H158" s="344"/>
      <c r="I158" s="344"/>
      <c r="J158" s="344"/>
      <c r="K158" s="344"/>
      <c r="L158" s="344"/>
      <c r="M158" s="344"/>
    </row>
    <row r="159" spans="1:13" s="345" customFormat="1">
      <c r="A159" s="344"/>
      <c r="B159" s="344"/>
      <c r="C159" s="344"/>
      <c r="D159" s="344"/>
      <c r="E159" s="344"/>
      <c r="H159" s="344"/>
      <c r="I159" s="344"/>
      <c r="J159" s="344"/>
      <c r="K159" s="344"/>
      <c r="L159" s="344"/>
      <c r="M159" s="344"/>
    </row>
    <row r="160" spans="1:13" s="345" customFormat="1">
      <c r="A160" s="344"/>
      <c r="B160" s="344"/>
      <c r="C160" s="344"/>
      <c r="D160" s="344"/>
      <c r="E160" s="344"/>
      <c r="H160" s="344"/>
      <c r="I160" s="344"/>
      <c r="J160" s="344"/>
      <c r="K160" s="344"/>
      <c r="L160" s="344"/>
      <c r="M160" s="344"/>
    </row>
    <row r="161" spans="1:13" s="345" customFormat="1">
      <c r="A161" s="344"/>
      <c r="B161" s="344"/>
      <c r="C161" s="344"/>
      <c r="D161" s="344"/>
      <c r="E161" s="344"/>
      <c r="H161" s="344"/>
      <c r="I161" s="344"/>
      <c r="J161" s="344"/>
      <c r="K161" s="344"/>
      <c r="L161" s="344"/>
      <c r="M161" s="344"/>
    </row>
    <row r="162" spans="1:13" s="345" customFormat="1">
      <c r="A162" s="344"/>
      <c r="B162" s="344"/>
      <c r="C162" s="344"/>
      <c r="D162" s="344"/>
      <c r="E162" s="344"/>
      <c r="H162" s="344"/>
      <c r="I162" s="344"/>
      <c r="J162" s="344"/>
      <c r="K162" s="344"/>
      <c r="L162" s="344"/>
      <c r="M162" s="344"/>
    </row>
    <row r="163" spans="1:13" s="345" customFormat="1">
      <c r="A163" s="344"/>
      <c r="B163" s="344"/>
      <c r="C163" s="344"/>
      <c r="D163" s="344"/>
      <c r="E163" s="344"/>
      <c r="H163" s="344"/>
      <c r="I163" s="344"/>
      <c r="J163" s="344"/>
      <c r="K163" s="344"/>
      <c r="L163" s="344"/>
      <c r="M163" s="344"/>
    </row>
    <row r="164" spans="1:13" s="345" customFormat="1">
      <c r="A164" s="344"/>
      <c r="B164" s="344"/>
      <c r="C164" s="344"/>
      <c r="D164" s="344"/>
      <c r="E164" s="344"/>
      <c r="H164" s="344"/>
      <c r="I164" s="344"/>
      <c r="J164" s="344"/>
      <c r="K164" s="344"/>
      <c r="L164" s="344"/>
      <c r="M164" s="344"/>
    </row>
    <row r="165" spans="1:13" s="345" customFormat="1">
      <c r="A165" s="344"/>
      <c r="B165" s="344"/>
      <c r="C165" s="344"/>
      <c r="D165" s="344"/>
      <c r="E165" s="344"/>
      <c r="H165" s="344"/>
      <c r="I165" s="344"/>
      <c r="J165" s="344"/>
      <c r="K165" s="344"/>
      <c r="L165" s="344"/>
      <c r="M165" s="344"/>
    </row>
    <row r="166" spans="1:13" s="345" customFormat="1">
      <c r="A166" s="344"/>
      <c r="B166" s="344"/>
      <c r="C166" s="344"/>
      <c r="D166" s="344"/>
      <c r="E166" s="344"/>
      <c r="H166" s="344"/>
      <c r="I166" s="344"/>
      <c r="J166" s="344"/>
      <c r="K166" s="344"/>
      <c r="L166" s="344"/>
      <c r="M166" s="344"/>
    </row>
    <row r="167" spans="1:13" s="345" customFormat="1">
      <c r="A167" s="344"/>
      <c r="B167" s="344"/>
      <c r="C167" s="344"/>
      <c r="D167" s="344"/>
      <c r="E167" s="344"/>
      <c r="H167" s="344"/>
      <c r="I167" s="344"/>
      <c r="J167" s="344"/>
      <c r="K167" s="344"/>
      <c r="L167" s="344"/>
      <c r="M167" s="344"/>
    </row>
    <row r="168" spans="1:13" s="345" customFormat="1">
      <c r="A168" s="344"/>
      <c r="B168" s="344"/>
      <c r="C168" s="344"/>
      <c r="D168" s="344"/>
      <c r="E168" s="344"/>
      <c r="H168" s="344"/>
      <c r="I168" s="344"/>
      <c r="J168" s="344"/>
      <c r="K168" s="344"/>
      <c r="L168" s="344"/>
      <c r="M168" s="344"/>
    </row>
    <row r="169" spans="1:13" s="345" customFormat="1">
      <c r="A169" s="344"/>
      <c r="B169" s="344"/>
      <c r="C169" s="344"/>
      <c r="D169" s="344"/>
      <c r="E169" s="344"/>
      <c r="H169" s="344"/>
      <c r="I169" s="344"/>
      <c r="J169" s="344"/>
      <c r="K169" s="344"/>
      <c r="L169" s="344"/>
      <c r="M169" s="344"/>
    </row>
    <row r="170" spans="1:13" s="345" customFormat="1">
      <c r="A170" s="344"/>
      <c r="B170" s="344"/>
      <c r="C170" s="344"/>
      <c r="D170" s="344"/>
      <c r="E170" s="344"/>
      <c r="H170" s="344"/>
      <c r="I170" s="344"/>
      <c r="J170" s="344"/>
      <c r="K170" s="344"/>
      <c r="L170" s="344"/>
      <c r="M170" s="344"/>
    </row>
    <row r="171" spans="1:13" s="345" customFormat="1">
      <c r="A171" s="344"/>
      <c r="B171" s="344"/>
      <c r="C171" s="344"/>
      <c r="D171" s="344"/>
      <c r="E171" s="344"/>
      <c r="H171" s="344"/>
      <c r="I171" s="344"/>
      <c r="J171" s="344"/>
      <c r="K171" s="344"/>
      <c r="L171" s="344"/>
      <c r="M171" s="344"/>
    </row>
    <row r="172" spans="1:13" s="345" customFormat="1">
      <c r="A172" s="344"/>
      <c r="B172" s="344"/>
      <c r="C172" s="344"/>
      <c r="D172" s="344"/>
      <c r="E172" s="344"/>
      <c r="H172" s="344"/>
      <c r="I172" s="344"/>
      <c r="J172" s="344"/>
      <c r="K172" s="344"/>
      <c r="L172" s="344"/>
      <c r="M172" s="344"/>
    </row>
    <row r="173" spans="1:13" s="345" customFormat="1">
      <c r="A173" s="344"/>
      <c r="B173" s="344"/>
      <c r="C173" s="344"/>
      <c r="D173" s="344"/>
      <c r="E173" s="344"/>
      <c r="H173" s="344"/>
      <c r="I173" s="344"/>
      <c r="J173" s="344"/>
      <c r="K173" s="344"/>
      <c r="L173" s="344"/>
      <c r="M173" s="344"/>
    </row>
    <row r="174" spans="1:13" s="345" customFormat="1">
      <c r="A174" s="344"/>
      <c r="B174" s="344"/>
      <c r="C174" s="344"/>
      <c r="D174" s="344"/>
      <c r="E174" s="344"/>
      <c r="H174" s="344"/>
      <c r="I174" s="344"/>
      <c r="J174" s="344"/>
      <c r="K174" s="344"/>
      <c r="L174" s="344"/>
      <c r="M174" s="344"/>
    </row>
    <row r="175" spans="1:13" s="345" customFormat="1">
      <c r="A175" s="344"/>
      <c r="B175" s="344"/>
      <c r="C175" s="344"/>
      <c r="D175" s="344"/>
      <c r="E175" s="344"/>
      <c r="H175" s="344"/>
      <c r="I175" s="344"/>
      <c r="J175" s="344"/>
      <c r="K175" s="344"/>
      <c r="L175" s="344"/>
      <c r="M175" s="344"/>
    </row>
    <row r="176" spans="1:13" s="345" customFormat="1">
      <c r="A176" s="344"/>
      <c r="B176" s="344"/>
      <c r="C176" s="344"/>
      <c r="D176" s="344"/>
      <c r="E176" s="344"/>
      <c r="H176" s="344"/>
      <c r="I176" s="344"/>
      <c r="J176" s="344"/>
      <c r="K176" s="344"/>
      <c r="L176" s="344"/>
      <c r="M176" s="344"/>
    </row>
    <row r="177" spans="1:13" s="345" customFormat="1">
      <c r="A177" s="344"/>
      <c r="B177" s="344"/>
      <c r="C177" s="344"/>
      <c r="D177" s="344"/>
      <c r="E177" s="344"/>
      <c r="H177" s="344"/>
      <c r="I177" s="344"/>
      <c r="J177" s="344"/>
      <c r="K177" s="344"/>
      <c r="L177" s="344"/>
      <c r="M177" s="344"/>
    </row>
    <row r="178" spans="1:13" s="345" customFormat="1">
      <c r="A178" s="344"/>
      <c r="B178" s="344"/>
      <c r="C178" s="344"/>
      <c r="D178" s="344"/>
      <c r="E178" s="344"/>
      <c r="H178" s="344"/>
      <c r="I178" s="344"/>
      <c r="J178" s="344"/>
      <c r="K178" s="344"/>
      <c r="L178" s="344"/>
      <c r="M178" s="344"/>
    </row>
    <row r="179" spans="1:13" s="345" customFormat="1">
      <c r="A179" s="344"/>
      <c r="B179" s="344"/>
      <c r="C179" s="344"/>
      <c r="D179" s="344"/>
      <c r="E179" s="344"/>
      <c r="H179" s="344"/>
      <c r="I179" s="344"/>
      <c r="J179" s="344"/>
      <c r="K179" s="344"/>
      <c r="L179" s="344"/>
      <c r="M179" s="344"/>
    </row>
    <row r="180" spans="1:13" s="345" customFormat="1">
      <c r="A180" s="344"/>
      <c r="B180" s="344"/>
      <c r="C180" s="344"/>
      <c r="D180" s="344"/>
      <c r="E180" s="344"/>
      <c r="H180" s="344"/>
      <c r="I180" s="344"/>
      <c r="J180" s="344"/>
      <c r="K180" s="344"/>
      <c r="L180" s="344"/>
      <c r="M180" s="344"/>
    </row>
    <row r="181" spans="1:13" s="345" customFormat="1">
      <c r="A181" s="344"/>
      <c r="B181" s="344"/>
      <c r="C181" s="344"/>
      <c r="D181" s="344"/>
      <c r="E181" s="344"/>
      <c r="H181" s="344"/>
      <c r="I181" s="344"/>
      <c r="J181" s="344"/>
      <c r="K181" s="344"/>
      <c r="L181" s="344"/>
      <c r="M181" s="344"/>
    </row>
    <row r="182" spans="1:13" s="345" customFormat="1">
      <c r="A182" s="344"/>
      <c r="B182" s="344"/>
      <c r="C182" s="344"/>
      <c r="D182" s="344"/>
      <c r="E182" s="344"/>
      <c r="H182" s="344"/>
      <c r="I182" s="344"/>
      <c r="J182" s="344"/>
      <c r="K182" s="344"/>
      <c r="L182" s="344"/>
      <c r="M182" s="344"/>
    </row>
    <row r="183" spans="1:13" s="345" customFormat="1">
      <c r="A183" s="344"/>
      <c r="B183" s="344"/>
      <c r="C183" s="344"/>
      <c r="D183" s="344"/>
      <c r="E183" s="344"/>
      <c r="H183" s="344"/>
      <c r="I183" s="344"/>
      <c r="J183" s="344"/>
      <c r="K183" s="344"/>
      <c r="L183" s="344"/>
      <c r="M183" s="344"/>
    </row>
    <row r="184" spans="1:13" s="345" customFormat="1">
      <c r="A184" s="344"/>
      <c r="B184" s="344"/>
      <c r="C184" s="344"/>
      <c r="D184" s="344"/>
      <c r="E184" s="344"/>
      <c r="H184" s="344"/>
      <c r="I184" s="344"/>
      <c r="J184" s="344"/>
      <c r="K184" s="344"/>
      <c r="L184" s="344"/>
      <c r="M184" s="344"/>
    </row>
    <row r="185" spans="1:13" s="345" customFormat="1">
      <c r="A185" s="344"/>
      <c r="B185" s="344"/>
      <c r="C185" s="344"/>
      <c r="D185" s="344"/>
      <c r="E185" s="344"/>
      <c r="H185" s="344"/>
      <c r="I185" s="344"/>
      <c r="J185" s="344"/>
      <c r="K185" s="344"/>
      <c r="L185" s="344"/>
      <c r="M185" s="344"/>
    </row>
    <row r="186" spans="1:13" s="345" customFormat="1">
      <c r="A186" s="344"/>
      <c r="B186" s="344"/>
      <c r="C186" s="344"/>
      <c r="D186" s="344"/>
      <c r="E186" s="344"/>
      <c r="H186" s="344"/>
      <c r="I186" s="344"/>
      <c r="J186" s="344"/>
      <c r="K186" s="344"/>
      <c r="L186" s="344"/>
      <c r="M186" s="344"/>
    </row>
    <row r="187" spans="1:13" s="345" customFormat="1">
      <c r="A187" s="344"/>
      <c r="B187" s="344"/>
      <c r="C187" s="344"/>
      <c r="D187" s="344"/>
      <c r="E187" s="344"/>
      <c r="H187" s="344"/>
      <c r="I187" s="344"/>
      <c r="J187" s="344"/>
      <c r="K187" s="344"/>
      <c r="L187" s="344"/>
      <c r="M187" s="344"/>
    </row>
    <row r="188" spans="1:13" s="345" customFormat="1">
      <c r="A188" s="344"/>
      <c r="B188" s="344"/>
      <c r="C188" s="344"/>
      <c r="D188" s="344"/>
      <c r="E188" s="344"/>
      <c r="H188" s="344"/>
      <c r="I188" s="344"/>
      <c r="J188" s="344"/>
      <c r="K188" s="344"/>
      <c r="L188" s="344"/>
      <c r="M188" s="344"/>
    </row>
    <row r="189" spans="1:13" s="345" customFormat="1">
      <c r="A189" s="344"/>
      <c r="B189" s="344"/>
      <c r="C189" s="344"/>
      <c r="D189" s="344"/>
      <c r="E189" s="344"/>
      <c r="H189" s="344"/>
      <c r="I189" s="344"/>
      <c r="J189" s="344"/>
      <c r="K189" s="344"/>
      <c r="L189" s="344"/>
      <c r="M189" s="344"/>
    </row>
    <row r="190" spans="1:13" s="345" customFormat="1">
      <c r="A190" s="344"/>
      <c r="B190" s="344"/>
      <c r="C190" s="344"/>
      <c r="D190" s="344"/>
      <c r="E190" s="344"/>
      <c r="H190" s="344"/>
      <c r="I190" s="344"/>
      <c r="J190" s="344"/>
      <c r="K190" s="344"/>
      <c r="L190" s="344"/>
      <c r="M190" s="344"/>
    </row>
    <row r="191" spans="1:13" s="345" customFormat="1">
      <c r="A191" s="344"/>
      <c r="B191" s="344"/>
      <c r="C191" s="344"/>
      <c r="D191" s="344"/>
      <c r="E191" s="344"/>
      <c r="H191" s="344"/>
      <c r="I191" s="344"/>
      <c r="J191" s="344"/>
      <c r="K191" s="344"/>
      <c r="L191" s="344"/>
      <c r="M191" s="344"/>
    </row>
    <row r="192" spans="1:13" s="345" customFormat="1">
      <c r="A192" s="344"/>
      <c r="B192" s="344"/>
      <c r="C192" s="344"/>
      <c r="D192" s="344"/>
      <c r="E192" s="344"/>
      <c r="H192" s="344"/>
      <c r="I192" s="344"/>
      <c r="J192" s="344"/>
      <c r="K192" s="344"/>
      <c r="L192" s="344"/>
      <c r="M192" s="344"/>
    </row>
    <row r="193" spans="1:13" s="345" customFormat="1">
      <c r="A193" s="344"/>
      <c r="B193" s="344"/>
      <c r="C193" s="344"/>
      <c r="D193" s="344"/>
      <c r="E193" s="344"/>
      <c r="H193" s="344"/>
      <c r="I193" s="344"/>
      <c r="J193" s="344"/>
      <c r="K193" s="344"/>
      <c r="L193" s="344"/>
      <c r="M193" s="344"/>
    </row>
    <row r="194" spans="1:13" s="345" customFormat="1">
      <c r="A194" s="344"/>
      <c r="B194" s="344"/>
      <c r="C194" s="344"/>
      <c r="D194" s="344"/>
      <c r="E194" s="344"/>
      <c r="H194" s="344"/>
      <c r="I194" s="344"/>
      <c r="J194" s="344"/>
      <c r="K194" s="344"/>
      <c r="L194" s="344"/>
      <c r="M194" s="344"/>
    </row>
    <row r="195" spans="1:13" s="345" customFormat="1">
      <c r="A195" s="344"/>
      <c r="B195" s="344"/>
      <c r="C195" s="344"/>
      <c r="D195" s="344"/>
      <c r="E195" s="344"/>
      <c r="H195" s="344"/>
      <c r="I195" s="344"/>
      <c r="J195" s="344"/>
      <c r="K195" s="344"/>
      <c r="L195" s="344"/>
      <c r="M195" s="344"/>
    </row>
  </sheetData>
  <pageMargins left="0.7" right="0.7" top="0.75" bottom="0.75" header="0.3" footer="0.3"/>
  <pageSetup scale="54" orientation="portrait" r:id="rId1"/>
  <headerFooter>
    <oddHeader xml:space="preserve">&amp;C&amp;"-,Bold"&amp;12
</oddHeader>
    <oddFooter>&amp;L&amp;F - 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67F40C51FEDC40AE9E9AF7BBA3D91C" ma:contentTypeVersion="56" ma:contentTypeDescription="" ma:contentTypeScope="" ma:versionID="39a85c82efc8fcab2a3bf2ab3857c6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2019-03-15T07:00:00+00:00</OpenedDate>
    <SignificantOrder xmlns="dc463f71-b30c-4ab2-9473-d307f9d35888">false</SignificantOrder>
    <Date1 xmlns="dc463f71-b30c-4ab2-9473-d307f9d35888">2019-03-15T07:00:00+00:00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Columbia River Disposal, Inc.</CaseCompanyNames>
    <Nickname xmlns="http://schemas.microsoft.com/sharepoint/v3" xsi:nil="true"/>
    <DocketNumber xmlns="dc463f71-b30c-4ab2-9473-d307f9d35888">190179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350181-C3A3-4D7F-BEE1-FBB29F313D2B}"/>
</file>

<file path=customXml/itemProps2.xml><?xml version="1.0" encoding="utf-8"?>
<ds:datastoreItem xmlns:ds="http://schemas.openxmlformats.org/officeDocument/2006/customXml" ds:itemID="{44FB8D94-DC03-4EC4-A54A-5B6E1CF90390}"/>
</file>

<file path=customXml/itemProps3.xml><?xml version="1.0" encoding="utf-8"?>
<ds:datastoreItem xmlns:ds="http://schemas.openxmlformats.org/officeDocument/2006/customXml" ds:itemID="{41490A9C-53DA-439D-B04B-F810CE7EFBBA}"/>
</file>

<file path=customXml/itemProps4.xml><?xml version="1.0" encoding="utf-8"?>
<ds:datastoreItem xmlns:ds="http://schemas.openxmlformats.org/officeDocument/2006/customXml" ds:itemID="{669CBB32-8768-407B-AEC4-F46279E2AC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References</vt:lpstr>
      <vt:lpstr>G-48 DF Calc</vt:lpstr>
      <vt:lpstr>G-48 Price Out</vt:lpstr>
      <vt:lpstr>DF Schedule</vt:lpstr>
      <vt:lpstr>Rate Schedule G-48</vt:lpstr>
      <vt:lpstr>'DF Schedule'!Print_Area</vt:lpstr>
      <vt:lpstr>'G-48 DF Calc'!Print_Area</vt:lpstr>
      <vt:lpstr>'G-48 Price Out'!Print_Area</vt:lpstr>
      <vt:lpstr>'Rate Schedule G-48'!Print_Area</vt:lpstr>
      <vt:lpstr>'G-48 DF Calc'!Print_Titles</vt:lpstr>
      <vt:lpstr>'G-48 Price Out'!Print_Titles</vt:lpstr>
      <vt:lpstr>'Rate Schedule G-48'!Print_Titles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Lindsay Waldram</cp:lastModifiedBy>
  <cp:lastPrinted>2019-03-15T22:00:51Z</cp:lastPrinted>
  <dcterms:created xsi:type="dcterms:W3CDTF">2018-03-14T15:25:51Z</dcterms:created>
  <dcterms:modified xsi:type="dcterms:W3CDTF">2019-03-15T22:01:01Z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0x0101006E56B4D1795A2E4DB2F0B01679ED314A00DC67F40C51FEDC40AE9E9AF7BBA3D91C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