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8150" windowHeight="7560" activeTab="0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</sheets>
  <externalReferences>
    <externalReference r:id="rId8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3">'Pricing'!$A$1:$L$17</definedName>
    <definedName name="_xlnm.Print_Area" localSheetId="0">'WUTC_AW of Kent (SeaTac)_MF'!$A$1:$P$79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sharedStrings.xml><?xml version="1.0" encoding="utf-8"?>
<sst xmlns="http://schemas.openxmlformats.org/spreadsheetml/2006/main" count="198" uniqueCount="93">
  <si>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</si>
  <si>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</si>
  <si>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</si>
  <si>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</si>
  <si>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</si>
  <si>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</si>
  <si>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</si>
  <si>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</si>
  <si>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</si>
  <si>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</si>
  <si>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</si>
  <si>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</si>
  <si>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</si>
  <si>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</si>
  <si>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</si>
  <si>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</si>
  <si>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</si>
  <si>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</si>
  <si>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</si>
  <si>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</si>
  <si>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</si>
  <si>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</si>
  <si>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</si>
  <si>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</si>
  <si>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</si>
  <si>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</si>
  <si>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Glass (Cont)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</si>
  <si>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</si>
  <si>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</si>
  <si>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</si>
  <si>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</si>
  <si>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</si>
  <si>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</si>
  <si>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</si>
  <si>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</si>
  <si>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</si>
  <si>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</si>
  <si>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</si>
  <si>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</si>
  <si>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</si>
  <si>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</si>
  <si>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</si>
  <si>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</si>
  <si>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</si>
  <si>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</si>
  <si>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</si>
  <si>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</si>
  <si>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</si>
  <si>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</si>
  <si>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</si>
  <si>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</si>
  <si>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</si>
  <si>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</si>
  <si>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</si>
  <si>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</si>
  <si>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</si>
  <si>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</si>
  <si>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</si>
  <si>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</si>
  <si>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</si>
  <si>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</si>
  <si>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</si>
  <si>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</si>
  <si>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</si>
  <si>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</si>
  <si>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</si>
  <si>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</si>
  <si>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Rabanco Ltd (dba Allied Waste of Kent)</t>
  </si>
  <si>
    <t>(Excess) / Deficient Commodity Credits</t>
  </si>
  <si>
    <t>5x Compaction</t>
  </si>
  <si>
    <t>3.5x Compaction</t>
  </si>
  <si>
    <t>Total Additional Passback</t>
  </si>
  <si>
    <t>Multi-Family Additional Credit</t>
  </si>
  <si>
    <t>TG-12______</t>
  </si>
  <si>
    <t>For use in Budget Calculation</t>
  </si>
  <si>
    <t>Total Trailing 12 Mo. Commodity Value / Customer</t>
  </si>
  <si>
    <t>Most recent Total # of Customers</t>
  </si>
  <si>
    <t>Base Credit to be Passed Back</t>
  </si>
  <si>
    <t>Budget total Revenue</t>
  </si>
  <si>
    <t>Budget Revenue Passed Back</t>
  </si>
  <si>
    <t>% of Revenue Passed Back</t>
  </si>
  <si>
    <t>Prior Plan Part B Total</t>
  </si>
  <si>
    <t>Current Plan Part A Total</t>
  </si>
  <si>
    <t>% Passed Back</t>
  </si>
  <si>
    <t>Avg of last 6 months plan year</t>
  </si>
  <si>
    <t>Total Passback at end of plan year 2019</t>
  </si>
  <si>
    <t>May 2018-Oct 2018</t>
  </si>
  <si>
    <t>Total Bi-Annual Customers</t>
  </si>
  <si>
    <t>Commodity Value Timeframe:  May - Oct</t>
  </si>
  <si>
    <t xml:space="preserve"> Recycle Adjustment Calculation</t>
  </si>
  <si>
    <t xml:space="preserve"> True-up Computation</t>
  </si>
  <si>
    <t>6 month running average "BASE CREDIT"</t>
  </si>
  <si>
    <t>11/18 - 4/19 Projected Debit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</si>
</sst>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7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7" fontId="9" fillId="0" borderId="0" xfId="59" applyNumberFormat="1" applyFont="1">
      <alignment/>
      <protection/>
    </xf>
    <xf numFmtId="167" fontId="7" fillId="0" borderId="0" xfId="59" applyNumberFormat="1" applyFont="1">
      <alignment/>
      <protection/>
    </xf>
    <xf numFmtId="169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7" fontId="7" fillId="0" borderId="10" xfId="59" applyNumberFormat="1" applyFont="1" applyBorder="1">
      <alignment/>
      <protection/>
    </xf>
    <xf numFmtId="168" fontId="7" fillId="0" borderId="0" xfId="59" applyNumberFormat="1" applyFont="1">
      <alignment/>
      <protection/>
    </xf>
    <xf numFmtId="167" fontId="6" fillId="0" borderId="0" xfId="59" applyNumberFormat="1">
      <alignment/>
      <protection/>
    </xf>
    <xf numFmtId="169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168" fontId="12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8" fontId="7" fillId="0" borderId="11" xfId="59" applyNumberFormat="1" applyFont="1" applyBorder="1">
      <alignment/>
      <protection/>
    </xf>
    <xf numFmtId="167" fontId="7" fillId="0" borderId="0" xfId="59" applyNumberFormat="1" applyFont="1" applyAlignment="1">
      <alignment horizontal="centerContinuous"/>
      <protection/>
    </xf>
    <xf numFmtId="167" fontId="7" fillId="0" borderId="13" xfId="59" applyNumberFormat="1" applyFont="1" applyBorder="1">
      <alignment/>
      <protection/>
    </xf>
    <xf numFmtId="167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7" fontId="9" fillId="0" borderId="0" xfId="59" applyNumberFormat="1" applyFont="1" applyBorder="1" applyAlignment="1">
      <alignment horizontal="center"/>
      <protection/>
    </xf>
    <xf numFmtId="167" fontId="9" fillId="0" borderId="0" xfId="59" applyNumberFormat="1" applyFont="1" applyBorder="1">
      <alignment/>
      <protection/>
    </xf>
    <xf numFmtId="169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7" fontId="6" fillId="0" borderId="0" xfId="59" applyNumberFormat="1" applyBorder="1">
      <alignment/>
      <protection/>
    </xf>
    <xf numFmtId="169" fontId="7" fillId="0" borderId="0" xfId="59" applyNumberFormat="1" applyFont="1" applyBorder="1">
      <alignment/>
      <protection/>
    </xf>
    <xf numFmtId="168" fontId="7" fillId="0" borderId="0" xfId="59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59" applyNumberFormat="1" applyFont="1" applyAlignment="1">
      <alignment horizontal="right"/>
      <protection/>
    </xf>
    <xf numFmtId="169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2" applyNumberFormat="1" applyFont="1" applyAlignment="1">
      <alignment/>
    </xf>
    <xf numFmtId="0" fontId="16" fillId="0" borderId="16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7" fontId="16" fillId="0" borderId="17" xfId="59" applyNumberFormat="1" applyFont="1" applyBorder="1" applyAlignment="1">
      <alignment horizontal="center"/>
      <protection/>
    </xf>
    <xf numFmtId="167" fontId="17" fillId="0" borderId="17" xfId="59" applyNumberFormat="1" applyFont="1" applyFill="1" applyBorder="1" applyAlignment="1">
      <alignment horizontal="center"/>
      <protection/>
    </xf>
    <xf numFmtId="41" fontId="13" fillId="0" borderId="17" xfId="59" applyNumberFormat="1" applyFont="1" applyBorder="1">
      <alignment/>
      <protection/>
    </xf>
    <xf numFmtId="168" fontId="9" fillId="0" borderId="17" xfId="59" applyNumberFormat="1" applyFont="1" applyBorder="1">
      <alignment/>
      <protection/>
    </xf>
    <xf numFmtId="41" fontId="7" fillId="0" borderId="18" xfId="59" applyNumberFormat="1" applyFont="1" applyBorder="1">
      <alignment/>
      <protection/>
    </xf>
    <xf numFmtId="165" fontId="7" fillId="0" borderId="0" xfId="62" applyNumberFormat="1" applyFont="1" applyAlignment="1">
      <alignment/>
    </xf>
    <xf numFmtId="44" fontId="7" fillId="0" borderId="10" xfId="44" applyFont="1" applyBorder="1" applyAlignment="1">
      <alignment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0" applyNumberFormat="1" applyFont="1" applyFill="1" applyBorder="1" applyAlignment="1">
      <alignment/>
    </xf>
    <xf numFmtId="43" fontId="0" fillId="0" borderId="0" xfId="42" applyFont="1" applyAlignment="1">
      <alignment/>
    </xf>
    <xf numFmtId="168" fontId="7" fillId="0" borderId="10" xfId="59" applyNumberFormat="1" applyFont="1" applyBorder="1">
      <alignment/>
      <protection/>
    </xf>
    <xf numFmtId="167" fontId="7" fillId="35" borderId="11" xfId="59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6" fillId="34" borderId="19" xfId="44" applyNumberFormat="1" applyFont="1" applyFill="1" applyBorder="1" applyAlignment="1">
      <alignment/>
    </xf>
    <xf numFmtId="44" fontId="56" fillId="34" borderId="19" xfId="44" applyNumberFormat="1" applyFont="1" applyFill="1" applyBorder="1" applyAlignment="1">
      <alignment horizontal="center"/>
    </xf>
    <xf numFmtId="167" fontId="7" fillId="36" borderId="0" xfId="59" applyNumberFormat="1" applyFont="1" applyFill="1">
      <alignment/>
      <protection/>
    </xf>
    <xf numFmtId="9" fontId="7" fillId="36" borderId="19" xfId="62" applyFont="1" applyFill="1" applyBorder="1" applyAlignment="1">
      <alignment/>
    </xf>
    <xf numFmtId="168" fontId="7" fillId="36" borderId="15" xfId="59" applyNumberFormat="1" applyFont="1" applyFill="1" applyBorder="1">
      <alignment/>
      <protection/>
    </xf>
    <xf numFmtId="41" fontId="12" fillId="35" borderId="0" xfId="59" applyNumberFormat="1" applyFont="1" applyFill="1" applyAlignment="1">
      <alignment horizontal="center"/>
      <protection/>
    </xf>
    <xf numFmtId="41" fontId="12" fillId="35" borderId="0" xfId="59" applyNumberFormat="1" applyFont="1" applyFill="1">
      <alignment/>
      <protection/>
    </xf>
    <xf numFmtId="8" fontId="7" fillId="34" borderId="19" xfId="44" applyNumberFormat="1" applyFont="1" applyFill="1" applyBorder="1" applyAlignment="1">
      <alignment/>
    </xf>
    <xf numFmtId="165" fontId="57" fillId="37" borderId="20" xfId="62" applyNumberFormat="1" applyFont="1" applyFill="1" applyBorder="1" applyAlignment="1">
      <alignment/>
    </xf>
    <xf numFmtId="2" fontId="9" fillId="19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showGridLines="0" tabSelected="1" zoomScaleSheetLayoutView="85" zoomScalePageLayoutView="0" workbookViewId="0" topLeftCell="A25">
      <selection activeCell="G65" sqref="G65"/>
    </sheetView>
  </sheetViews>
  <sheetFormatPr defaultColWidth="9.140625" defaultRowHeight="12.75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8515625" style="5" customWidth="1"/>
    <col min="11" max="11" width="7.1406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67</v>
      </c>
      <c r="B1" s="2"/>
      <c r="C1" s="2"/>
      <c r="D1" s="2"/>
      <c r="E1" s="2"/>
      <c r="F1" s="2"/>
      <c r="G1" s="3"/>
      <c r="H1" s="2"/>
      <c r="I1" s="2"/>
      <c r="J1" s="1" t="s">
        <v>73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"&amp;YEAR(A21)</f>
        <v>For the Year Ended April 2019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61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23" t="str">
        <f>"Total "&amp;F5</f>
        <v>Total Commodity</v>
      </c>
      <c r="P5" s="124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25" t="str">
        <f>+F6</f>
        <v>Revenue</v>
      </c>
      <c r="P6" s="90"/>
    </row>
    <row r="7" spans="1:16" s="16" customFormat="1" ht="11.25">
      <c r="A7" s="15" t="s">
        <v>3</v>
      </c>
      <c r="B7" s="12" t="s">
        <v>62</v>
      </c>
      <c r="C7" s="12"/>
      <c r="D7" s="12" t="s">
        <v>2</v>
      </c>
      <c r="E7" s="12"/>
      <c r="F7" s="12" t="s">
        <v>63</v>
      </c>
      <c r="G7" s="12"/>
      <c r="H7" s="12"/>
      <c r="I7" s="12"/>
      <c r="J7" s="12" t="s">
        <v>64</v>
      </c>
      <c r="K7" s="12"/>
      <c r="O7" s="125" t="str">
        <f>+F7</f>
        <v>per Yard</v>
      </c>
      <c r="P7" s="90"/>
    </row>
    <row r="8" spans="1:16" s="16" customFormat="1" ht="11.25">
      <c r="A8" s="114">
        <f>Multi_Family!$C$6</f>
        <v>43221</v>
      </c>
      <c r="B8" s="145">
        <v>456</v>
      </c>
      <c r="C8" s="12"/>
      <c r="D8" s="89">
        <f>VLOOKUP(A8,Value!$A$6:$O$17,15,)</f>
        <v>6.234457644999939</v>
      </c>
      <c r="E8" s="12"/>
      <c r="F8" s="16">
        <f aca="true" t="shared" si="0" ref="F8:F17">ROUND(D8/B8,2)</f>
        <v>0.01</v>
      </c>
      <c r="G8" s="12"/>
      <c r="H8" s="12"/>
      <c r="I8" s="12"/>
      <c r="J8" s="14">
        <f>+B8</f>
        <v>456</v>
      </c>
      <c r="K8" s="13">
        <f aca="true" t="shared" si="1" ref="K8:K17">YEAR(A8)</f>
        <v>2018</v>
      </c>
      <c r="O8" s="126">
        <f>VLOOKUP(A8,Value!$A$6:$O$17,13,FALSE)</f>
        <v>12.468915289999877</v>
      </c>
      <c r="P8" s="90"/>
    </row>
    <row r="9" spans="1:16" s="16" customFormat="1" ht="11.25">
      <c r="A9" s="17">
        <f aca="true" t="shared" si="2" ref="A9:A17">EOMONTH(A8,1)</f>
        <v>43281</v>
      </c>
      <c r="B9" s="145">
        <v>456</v>
      </c>
      <c r="C9" s="18"/>
      <c r="D9" s="89">
        <f>VLOOKUP(A9,Value!$A$6:$O$17,15,)</f>
        <v>32.80108199999995</v>
      </c>
      <c r="E9" s="14"/>
      <c r="F9" s="16">
        <f t="shared" si="0"/>
        <v>0.07</v>
      </c>
      <c r="G9" s="14"/>
      <c r="H9" s="14"/>
      <c r="I9" s="14"/>
      <c r="J9" s="14">
        <f aca="true" t="shared" si="3" ref="J9:J17">+B9</f>
        <v>456</v>
      </c>
      <c r="K9" s="13">
        <f t="shared" si="1"/>
        <v>2018</v>
      </c>
      <c r="O9" s="126">
        <f>VLOOKUP(A9,Value!$A$6:$O$17,13,FALSE)</f>
        <v>65.6021639999999</v>
      </c>
      <c r="P9" s="90"/>
    </row>
    <row r="10" spans="1:16" s="16" customFormat="1" ht="11.25">
      <c r="A10" s="17">
        <f t="shared" si="2"/>
        <v>43312</v>
      </c>
      <c r="B10" s="145">
        <v>456</v>
      </c>
      <c r="C10" s="14"/>
      <c r="D10" s="89">
        <f>VLOOKUP(A10,Value!$A$6:$O$17,15,)</f>
        <v>51.13969197999997</v>
      </c>
      <c r="E10" s="14"/>
      <c r="F10" s="16">
        <f t="shared" si="0"/>
        <v>0.11</v>
      </c>
      <c r="G10" s="14"/>
      <c r="H10" s="14"/>
      <c r="I10" s="14"/>
      <c r="J10" s="14">
        <f t="shared" si="3"/>
        <v>456</v>
      </c>
      <c r="K10" s="13">
        <f t="shared" si="1"/>
        <v>2018</v>
      </c>
      <c r="O10" s="126">
        <f>VLOOKUP(A10,Value!$A$6:$O$17,13,FALSE)</f>
        <v>102.27938395999993</v>
      </c>
      <c r="P10" s="90"/>
    </row>
    <row r="11" spans="1:16" s="16" customFormat="1" ht="11.25">
      <c r="A11" s="17" t="s">
        <v>81</v>
      </c>
      <c r="B11" s="19">
        <f>SUM(B8:B10)</f>
        <v>1368</v>
      </c>
      <c r="C11" s="18" t="s">
        <v>4</v>
      </c>
      <c r="D11" s="20">
        <f>SUM(D8:D10)</f>
        <v>90.17523162499985</v>
      </c>
      <c r="E11" s="14"/>
      <c r="G11" s="14"/>
      <c r="H11" s="14"/>
      <c r="I11" s="14"/>
      <c r="J11" s="14"/>
      <c r="K11" s="13"/>
      <c r="O11" s="126"/>
      <c r="P11" s="90"/>
    </row>
    <row r="12" spans="1:16" s="16" customFormat="1" ht="11.25">
      <c r="A12" s="17"/>
      <c r="B12" s="14"/>
      <c r="C12" s="14"/>
      <c r="E12" s="14"/>
      <c r="G12" s="14"/>
      <c r="H12" s="14"/>
      <c r="I12" s="14"/>
      <c r="J12" s="14"/>
      <c r="K12" s="13"/>
      <c r="O12" s="126"/>
      <c r="P12" s="90"/>
    </row>
    <row r="13" spans="1:16" s="16" customFormat="1" ht="11.25">
      <c r="A13" s="17">
        <f>EOMONTH(A10,1)</f>
        <v>43343</v>
      </c>
      <c r="B13" s="146">
        <v>456</v>
      </c>
      <c r="C13" s="14"/>
      <c r="D13" s="89">
        <f>VLOOKUP(A13,Value!$A$6:$O$17,15,)</f>
        <v>62.21208639499995</v>
      </c>
      <c r="E13" s="14"/>
      <c r="F13" s="16">
        <f t="shared" si="0"/>
        <v>0.14</v>
      </c>
      <c r="G13" s="21"/>
      <c r="H13" s="14"/>
      <c r="I13" s="14"/>
      <c r="J13" s="14">
        <f t="shared" si="3"/>
        <v>456</v>
      </c>
      <c r="K13" s="13">
        <f t="shared" si="1"/>
        <v>2018</v>
      </c>
      <c r="O13" s="126">
        <f>VLOOKUP(A13,Value!$A$6:$O$17,13,FALSE)</f>
        <v>124.4241727899999</v>
      </c>
      <c r="P13" s="90"/>
    </row>
    <row r="14" spans="1:16" s="16" customFormat="1" ht="11.25">
      <c r="A14" s="17">
        <f t="shared" si="2"/>
        <v>43373</v>
      </c>
      <c r="B14" s="146">
        <v>456</v>
      </c>
      <c r="C14" s="14"/>
      <c r="D14" s="89">
        <f>VLOOKUP(A14,Value!$A$6:$O$17,15,)</f>
        <v>53.83645613499998</v>
      </c>
      <c r="E14" s="14"/>
      <c r="F14" s="16">
        <f t="shared" si="0"/>
        <v>0.12</v>
      </c>
      <c r="G14" s="21"/>
      <c r="H14" s="14"/>
      <c r="I14" s="14"/>
      <c r="J14" s="14">
        <f t="shared" si="3"/>
        <v>456</v>
      </c>
      <c r="K14" s="13">
        <f t="shared" si="1"/>
        <v>2018</v>
      </c>
      <c r="O14" s="126">
        <f>VLOOKUP(A14,Value!$A$6:$O$17,13,FALSE)</f>
        <v>107.67291226999996</v>
      </c>
      <c r="P14" s="90"/>
    </row>
    <row r="15" spans="1:16" s="16" customFormat="1" ht="11.25">
      <c r="A15" s="17">
        <f t="shared" si="2"/>
        <v>43404</v>
      </c>
      <c r="B15" s="146">
        <v>456</v>
      </c>
      <c r="C15" s="14"/>
      <c r="D15" s="89">
        <f>VLOOKUP(A15,Value!$A$6:$O$17,15,)</f>
        <v>61.98747215999997</v>
      </c>
      <c r="E15" s="14"/>
      <c r="F15" s="16">
        <f t="shared" si="0"/>
        <v>0.14</v>
      </c>
      <c r="G15" s="21"/>
      <c r="H15" s="14"/>
      <c r="I15" s="14"/>
      <c r="J15" s="14">
        <f t="shared" si="3"/>
        <v>456</v>
      </c>
      <c r="K15" s="13">
        <f t="shared" si="1"/>
        <v>2018</v>
      </c>
      <c r="O15" s="126">
        <f>VLOOKUP(A15,Value!$A$6:$O$17,13,FALSE)</f>
        <v>123.97494431999993</v>
      </c>
      <c r="P15" s="90"/>
    </row>
    <row r="16" spans="1:16" s="16" customFormat="1" ht="11.25">
      <c r="A16" s="17">
        <f t="shared" si="2"/>
        <v>43434</v>
      </c>
      <c r="B16" s="146"/>
      <c r="C16" s="14"/>
      <c r="D16" s="89">
        <f>VLOOKUP(A16,Value!$A$6:$O$17,15,)</f>
        <v>0</v>
      </c>
      <c r="E16" s="14"/>
      <c r="F16" s="16" t="e">
        <f t="shared" si="0"/>
        <v>#DIV/0!</v>
      </c>
      <c r="G16" s="21"/>
      <c r="H16" s="14"/>
      <c r="I16" s="14"/>
      <c r="J16" s="14">
        <f t="shared" si="3"/>
        <v>0</v>
      </c>
      <c r="K16" s="13">
        <f t="shared" si="1"/>
        <v>2018</v>
      </c>
      <c r="O16" s="126">
        <f>VLOOKUP(A16,Value!$A$6:$O$17,13,FALSE)</f>
        <v>0</v>
      </c>
      <c r="P16" s="90"/>
    </row>
    <row r="17" spans="1:25" s="16" customFormat="1" ht="11.25">
      <c r="A17" s="17">
        <f t="shared" si="2"/>
        <v>43465</v>
      </c>
      <c r="B17" s="146"/>
      <c r="C17" s="14"/>
      <c r="D17" s="89">
        <f>VLOOKUP(A17,Value!$A$6:$O$17,15,)</f>
        <v>0</v>
      </c>
      <c r="E17" s="14"/>
      <c r="F17" s="16" t="e">
        <f t="shared" si="0"/>
        <v>#DIV/0!</v>
      </c>
      <c r="G17" s="21"/>
      <c r="H17" s="14"/>
      <c r="I17" s="14"/>
      <c r="J17" s="14">
        <f t="shared" si="3"/>
        <v>0</v>
      </c>
      <c r="K17" s="13">
        <f t="shared" si="1"/>
        <v>2018</v>
      </c>
      <c r="O17" s="126">
        <f>VLOOKUP(A17,Value!$A$6:$O$17,13,FALSE)</f>
        <v>0</v>
      </c>
      <c r="P17" s="90"/>
      <c r="X17" s="14"/>
      <c r="Y17" s="14"/>
    </row>
    <row r="18" spans="1:27" s="16" customFormat="1" ht="11.25">
      <c r="A18" s="17">
        <f>EOMONTH(A17,1)</f>
        <v>43496</v>
      </c>
      <c r="B18" s="146"/>
      <c r="C18" s="14"/>
      <c r="D18" s="89">
        <f>VLOOKUP(A18,Value!$A$6:$O$17,15,)</f>
        <v>0</v>
      </c>
      <c r="E18" s="14"/>
      <c r="F18" s="16" t="e">
        <f>ROUND(D18/B18,2)</f>
        <v>#DIV/0!</v>
      </c>
      <c r="G18" s="21"/>
      <c r="H18" s="14"/>
      <c r="I18" s="14"/>
      <c r="J18" s="14">
        <f>+B18</f>
        <v>0</v>
      </c>
      <c r="K18" s="13">
        <f>YEAR(A18)</f>
        <v>2019</v>
      </c>
      <c r="L18" s="14"/>
      <c r="M18" s="14"/>
      <c r="N18" s="14"/>
      <c r="O18" s="126">
        <f>VLOOKUP(A18,Value!$A$6:$O$17,13,FALSE)</f>
        <v>0</v>
      </c>
      <c r="P18" s="90"/>
      <c r="Q18" s="14"/>
      <c r="R18" s="14"/>
      <c r="S18" s="14"/>
      <c r="T18" s="14"/>
      <c r="U18" s="14"/>
      <c r="V18" s="14"/>
      <c r="W18" s="14"/>
      <c r="Y18" s="14"/>
      <c r="AA18" s="14"/>
    </row>
    <row r="19" spans="1:16" s="16" customFormat="1" ht="11.25">
      <c r="A19" s="17">
        <f>EOMONTH(A18,1)</f>
        <v>43524</v>
      </c>
      <c r="B19" s="146"/>
      <c r="C19" s="14"/>
      <c r="D19" s="89">
        <f>VLOOKUP(A19,Value!$A$6:$O$17,15,)</f>
        <v>0</v>
      </c>
      <c r="E19" s="14"/>
      <c r="F19" s="16" t="e">
        <f>ROUND(D19/B19,2)</f>
        <v>#DIV/0!</v>
      </c>
      <c r="G19" s="21"/>
      <c r="H19" s="14"/>
      <c r="I19" s="14"/>
      <c r="J19" s="14">
        <f>+B19</f>
        <v>0</v>
      </c>
      <c r="K19" s="13">
        <f>YEAR(A19)</f>
        <v>2019</v>
      </c>
      <c r="O19" s="126">
        <f>VLOOKUP(A19,Value!$A$6:$O$17,13,FALSE)</f>
        <v>0</v>
      </c>
      <c r="P19" s="32"/>
    </row>
    <row r="20" spans="1:16" s="16" customFormat="1" ht="11.25">
      <c r="A20" s="17">
        <f>EOMONTH(A19,1)</f>
        <v>43555</v>
      </c>
      <c r="B20" s="146"/>
      <c r="C20" s="14"/>
      <c r="D20" s="89">
        <f>VLOOKUP(A20,Value!$A$6:$O$17,15,)</f>
        <v>0</v>
      </c>
      <c r="E20" s="14"/>
      <c r="F20" s="16" t="e">
        <f>ROUND(D20/B20,2)</f>
        <v>#DIV/0!</v>
      </c>
      <c r="G20" s="21"/>
      <c r="H20" s="18"/>
      <c r="I20" s="14"/>
      <c r="J20" s="14">
        <f>+B20</f>
        <v>0</v>
      </c>
      <c r="K20" s="13">
        <f>YEAR(A20)</f>
        <v>2019</v>
      </c>
      <c r="O20" s="126">
        <f>VLOOKUP(A20,Value!$A$6:$O$17,13,FALSE)</f>
        <v>0</v>
      </c>
      <c r="P20" s="90"/>
    </row>
    <row r="21" spans="1:16" s="16" customFormat="1" ht="11.25">
      <c r="A21" s="17">
        <f>EOMONTH(A20,1)</f>
        <v>43585</v>
      </c>
      <c r="B21" s="146"/>
      <c r="C21" s="14"/>
      <c r="D21" s="89">
        <f>VLOOKUP(A21,Value!$A$6:$O$17,15,)</f>
        <v>0</v>
      </c>
      <c r="E21" s="14"/>
      <c r="F21" s="16" t="e">
        <f>ROUND(D21/B21,2)</f>
        <v>#DIV/0!</v>
      </c>
      <c r="G21" s="21"/>
      <c r="H21" s="18"/>
      <c r="I21" s="14"/>
      <c r="J21" s="14">
        <f>+B21</f>
        <v>0</v>
      </c>
      <c r="K21" s="13">
        <f>YEAR(A21)</f>
        <v>2019</v>
      </c>
      <c r="O21" s="126">
        <f>VLOOKUP(A21,Value!$A$6:$O$17,13,FALSE)</f>
        <v>0</v>
      </c>
      <c r="P21" s="90"/>
    </row>
    <row r="22" spans="1:15" s="16" customFormat="1" ht="11.25">
      <c r="A22" s="17"/>
      <c r="B22" s="14"/>
      <c r="C22" s="14"/>
      <c r="E22" s="14"/>
      <c r="G22" s="14"/>
      <c r="H22" s="14"/>
      <c r="I22" s="14"/>
      <c r="J22" s="14"/>
      <c r="K22" s="13"/>
      <c r="O22" s="127"/>
    </row>
    <row r="23" spans="1:16" s="16" customFormat="1" ht="11.25">
      <c r="A23" s="17" t="s">
        <v>82</v>
      </c>
      <c r="B23" s="19">
        <f>SUM(B12:B22)</f>
        <v>1368</v>
      </c>
      <c r="C23" s="18" t="s">
        <v>5</v>
      </c>
      <c r="D23" s="20">
        <f>SUM(D12:D22)</f>
        <v>178.0360146899999</v>
      </c>
      <c r="E23" s="14"/>
      <c r="G23" s="14"/>
      <c r="H23" s="14"/>
      <c r="I23" s="14"/>
      <c r="J23" s="14"/>
      <c r="K23" s="13"/>
      <c r="O23" s="127"/>
      <c r="P23" s="95" t="s">
        <v>74</v>
      </c>
    </row>
    <row r="24" spans="1:16" s="16" customFormat="1" ht="12.75">
      <c r="A24" s="5"/>
      <c r="B24" s="5"/>
      <c r="C24" s="5"/>
      <c r="D24" s="22"/>
      <c r="E24" s="5"/>
      <c r="F24" s="5"/>
      <c r="G24" s="5"/>
      <c r="H24" s="5"/>
      <c r="I24" s="5"/>
      <c r="J24" s="5"/>
      <c r="K24" s="5"/>
      <c r="O24" s="127">
        <f>SUM(O8:O23)</f>
        <v>536.4224926299995</v>
      </c>
      <c r="P24" s="99"/>
    </row>
    <row r="25" spans="1:16" s="16" customFormat="1" ht="12" thickBot="1">
      <c r="A25" s="23"/>
      <c r="B25" s="24">
        <f>+B11+B23</f>
        <v>2736</v>
      </c>
      <c r="C25" s="18"/>
      <c r="D25" s="25">
        <f>+D11+D23</f>
        <v>268.21124631499976</v>
      </c>
      <c r="E25" s="18" t="s">
        <v>6</v>
      </c>
      <c r="F25" s="21">
        <f>ROUND(D25/B25,3)</f>
        <v>0.098</v>
      </c>
      <c r="H25" s="14"/>
      <c r="I25" s="14"/>
      <c r="J25" s="24">
        <f>SUM(J8:J24)</f>
        <v>2736</v>
      </c>
      <c r="K25" s="18" t="s">
        <v>8</v>
      </c>
      <c r="O25" s="128">
        <f>ROUND(O24/J25,3)</f>
        <v>0.196</v>
      </c>
      <c r="P25" s="90" t="s">
        <v>75</v>
      </c>
    </row>
    <row r="26" spans="2:16" s="16" customFormat="1" ht="12" thickTop="1">
      <c r="B26" s="14"/>
      <c r="C26" s="18"/>
      <c r="D26" s="14"/>
      <c r="E26" s="14"/>
      <c r="F26" s="14"/>
      <c r="G26" s="14"/>
      <c r="H26" s="14"/>
      <c r="I26" s="14"/>
      <c r="J26" s="14"/>
      <c r="K26" s="14"/>
      <c r="O26" s="129">
        <f>+J21</f>
        <v>0</v>
      </c>
      <c r="P26" s="90" t="s">
        <v>76</v>
      </c>
    </row>
    <row r="27" spans="2:16" s="16" customFormat="1" ht="11.25">
      <c r="B27" s="14"/>
      <c r="C27" s="14"/>
      <c r="D27" s="14"/>
      <c r="E27" s="14"/>
      <c r="F27" s="14"/>
      <c r="G27" s="14"/>
      <c r="H27" s="14"/>
      <c r="I27" s="14"/>
      <c r="J27" s="14"/>
      <c r="K27" s="14"/>
      <c r="O27" s="90"/>
      <c r="P27" s="90" t="s">
        <v>77</v>
      </c>
    </row>
    <row r="28" spans="1:16" s="16" customFormat="1" ht="11.25">
      <c r="A28" s="16" t="s">
        <v>84</v>
      </c>
      <c r="B28" s="14">
        <f>B25</f>
        <v>2736</v>
      </c>
      <c r="C28" s="14"/>
      <c r="D28" s="14">
        <f>D25</f>
        <v>268.21124631499976</v>
      </c>
      <c r="E28" s="14"/>
      <c r="F28" s="16">
        <f>D28/B28</f>
        <v>0.09803042628472214</v>
      </c>
      <c r="G28" s="18" t="s">
        <v>7</v>
      </c>
      <c r="H28" s="14"/>
      <c r="I28" s="14"/>
      <c r="J28" s="14"/>
      <c r="K28" s="14"/>
      <c r="O28" s="90"/>
      <c r="P28" s="90"/>
    </row>
    <row r="29" spans="1:16" s="16" customFormat="1" ht="11.25">
      <c r="A29" s="16" t="s">
        <v>86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1.25">
      <c r="B30" s="14"/>
      <c r="C30" s="14"/>
      <c r="D30" s="14"/>
      <c r="E30" s="14"/>
      <c r="F30" s="14"/>
      <c r="G30" s="14"/>
      <c r="H30" s="14"/>
      <c r="I30" s="14"/>
      <c r="J30" s="14"/>
      <c r="K30" s="14"/>
      <c r="O30" s="90"/>
      <c r="P30" s="90"/>
    </row>
    <row r="31" spans="2:16" s="16" customFormat="1" ht="11.25">
      <c r="B31" s="14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</row>
    <row r="32" spans="2:16" s="16" customFormat="1" ht="11.25">
      <c r="B32" s="14"/>
      <c r="C32" s="14"/>
      <c r="D32" s="14"/>
      <c r="E32" s="14"/>
      <c r="F32" s="14"/>
      <c r="G32" s="14"/>
      <c r="H32" s="14"/>
      <c r="I32" s="14"/>
      <c r="J32" s="14"/>
      <c r="K32" s="14"/>
      <c r="O32" s="90"/>
      <c r="P32" s="90"/>
    </row>
    <row r="33" spans="2:16" s="16" customFormat="1" ht="11.25">
      <c r="B33" s="14"/>
      <c r="C33" s="14"/>
      <c r="D33" s="14"/>
      <c r="E33" s="14"/>
      <c r="F33" s="14"/>
      <c r="G33" s="14"/>
      <c r="H33" s="14"/>
      <c r="I33" s="14"/>
      <c r="J33" s="14"/>
      <c r="K33" s="14"/>
      <c r="O33" s="90"/>
      <c r="P33" s="90"/>
    </row>
    <row r="34" spans="2:16" s="16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90"/>
      <c r="P34" s="90"/>
    </row>
    <row r="35" spans="2:11" s="16" customFormat="1" ht="12" thickBot="1">
      <c r="B35" s="26" t="s">
        <v>9</v>
      </c>
      <c r="C35" s="27"/>
      <c r="D35" s="27"/>
      <c r="E35" s="27"/>
      <c r="F35" s="14"/>
      <c r="G35" s="14"/>
      <c r="H35" s="14"/>
      <c r="I35" s="14"/>
      <c r="J35" s="14"/>
      <c r="K35" s="14"/>
    </row>
    <row r="36" spans="1:25" s="16" customFormat="1" ht="12" thickTop="1">
      <c r="A36" s="6"/>
      <c r="B36" s="28"/>
      <c r="C36" s="14"/>
      <c r="D36" s="14"/>
      <c r="E36" s="14"/>
      <c r="F36" s="14"/>
      <c r="G36" s="14"/>
      <c r="H36" s="14"/>
      <c r="I36" s="14"/>
      <c r="J36" s="14"/>
      <c r="K36" s="14"/>
      <c r="X36" s="14"/>
      <c r="Y36" s="14"/>
    </row>
    <row r="37" spans="1:11" s="16" customFormat="1" ht="11.25">
      <c r="A37" s="8"/>
      <c r="B37" s="28"/>
      <c r="C37" s="14"/>
      <c r="D37" s="14"/>
      <c r="E37" s="14"/>
      <c r="F37" s="29" t="s">
        <v>10</v>
      </c>
      <c r="G37" s="14">
        <f>+D25</f>
        <v>268.21124631499976</v>
      </c>
      <c r="H37" s="18" t="s">
        <v>6</v>
      </c>
      <c r="I37" s="14"/>
      <c r="J37" s="14"/>
      <c r="K37" s="14"/>
    </row>
    <row r="38" spans="1:27" s="13" customFormat="1" ht="11.25">
      <c r="A38" s="30"/>
      <c r="B38" s="28"/>
      <c r="C38" s="14"/>
      <c r="D38" s="14"/>
      <c r="E38" s="14"/>
      <c r="F38" s="14"/>
      <c r="G38" s="14"/>
      <c r="H38" s="18"/>
      <c r="I38" s="14"/>
      <c r="J38" s="14"/>
      <c r="K38" s="14"/>
      <c r="O38" s="16">
        <f>12*O26*O25</f>
        <v>0</v>
      </c>
      <c r="P38" s="13" t="s">
        <v>78</v>
      </c>
      <c r="W38" s="14"/>
      <c r="X38" s="16"/>
      <c r="Y38" s="16"/>
      <c r="AA38" s="14"/>
    </row>
    <row r="39" spans="2:16" s="16" customFormat="1" ht="11.25">
      <c r="B39" s="14" t="s">
        <v>65</v>
      </c>
      <c r="C39" s="14"/>
      <c r="D39" s="14"/>
      <c r="E39" s="14"/>
      <c r="F39" s="31">
        <v>0.277</v>
      </c>
      <c r="G39" s="14"/>
      <c r="H39" s="14"/>
      <c r="I39" s="14"/>
      <c r="J39" s="14"/>
      <c r="K39" s="14"/>
      <c r="O39" s="16">
        <f>12*O26*G62</f>
        <v>0</v>
      </c>
      <c r="P39" s="16" t="s">
        <v>79</v>
      </c>
    </row>
    <row r="40" spans="2:15" s="16" customFormat="1" ht="11.25">
      <c r="B40" s="14"/>
      <c r="C40" s="14" t="str">
        <f>"Customers from "&amp;TEXT($A$8,"mm/yy")&amp;" - "&amp;TEXT($A$10,"mm/yy")</f>
        <v>Customers from 05/18 - 07/18</v>
      </c>
      <c r="D40" s="14"/>
      <c r="E40" s="14"/>
      <c r="F40" s="14">
        <f>+B11</f>
        <v>1368</v>
      </c>
      <c r="G40" s="18" t="s">
        <v>4</v>
      </c>
      <c r="H40" s="14"/>
      <c r="I40" s="14"/>
      <c r="J40" s="14"/>
      <c r="K40" s="14"/>
      <c r="O40" s="130" t="e">
        <f>+O39/O38</f>
        <v>#DIV/0!</v>
      </c>
    </row>
    <row r="41" spans="2:11" s="16" customFormat="1" ht="11.25">
      <c r="B41" s="14"/>
      <c r="C41" s="14" t="s">
        <v>11</v>
      </c>
      <c r="D41" s="14"/>
      <c r="E41" s="14"/>
      <c r="F41" s="19">
        <f>ROUND(F39*F40,0)</f>
        <v>379</v>
      </c>
      <c r="G41" s="18"/>
      <c r="H41" s="14"/>
      <c r="I41" s="14"/>
      <c r="J41" s="14"/>
      <c r="K41" s="14"/>
    </row>
    <row r="42" spans="2:11" s="16" customFormat="1" ht="11.25">
      <c r="B42" s="14"/>
      <c r="C42" s="14"/>
      <c r="D42" s="14"/>
      <c r="E42" s="14"/>
      <c r="F42" s="32"/>
      <c r="G42" s="18"/>
      <c r="H42" s="14"/>
      <c r="I42" s="14"/>
      <c r="J42" s="14"/>
      <c r="K42" s="14"/>
    </row>
    <row r="43" spans="2:11" s="16" customFormat="1" ht="11.25">
      <c r="B43" s="14" t="s">
        <v>65</v>
      </c>
      <c r="C43" s="14"/>
      <c r="D43" s="14"/>
      <c r="E43" s="14"/>
      <c r="F43" s="31">
        <v>0.113</v>
      </c>
      <c r="G43" s="14"/>
      <c r="H43" s="14"/>
      <c r="I43" s="14"/>
      <c r="J43" s="14"/>
      <c r="K43" s="14"/>
    </row>
    <row r="44" spans="2:11" s="16" customFormat="1" ht="11.25">
      <c r="B44" s="14"/>
      <c r="C44" s="14" t="str">
        <f>"Customers from "&amp;TEXT($A$13,"mm/yy")&amp;" - "&amp;TEXT($A$21,"mm/yy")</f>
        <v>Customers from 08/18 - 04/19</v>
      </c>
      <c r="D44" s="14"/>
      <c r="E44" s="14"/>
      <c r="F44" s="14">
        <f>+B25-F40</f>
        <v>1368</v>
      </c>
      <c r="G44" s="18" t="s">
        <v>5</v>
      </c>
      <c r="H44" s="14"/>
      <c r="I44" s="14"/>
      <c r="J44" s="14"/>
      <c r="K44" s="14"/>
    </row>
    <row r="45" spans="2:11" s="16" customFormat="1" ht="11.25">
      <c r="B45" s="14"/>
      <c r="C45" s="14" t="s">
        <v>11</v>
      </c>
      <c r="D45" s="14"/>
      <c r="E45" s="14"/>
      <c r="F45" s="19">
        <f>ROUND(F43*F44,0)</f>
        <v>155</v>
      </c>
      <c r="G45" s="18"/>
      <c r="H45" s="14"/>
      <c r="I45" s="14"/>
      <c r="J45" s="14"/>
      <c r="K45" s="14"/>
    </row>
    <row r="46" spans="2:11" s="16" customFormat="1" ht="11.25">
      <c r="B46" s="14"/>
      <c r="C46" s="14"/>
      <c r="D46" s="14"/>
      <c r="E46" s="14"/>
      <c r="F46" s="33"/>
      <c r="G46" s="18"/>
      <c r="H46" s="14"/>
      <c r="I46" s="14"/>
      <c r="J46" s="14"/>
      <c r="K46" s="14"/>
    </row>
    <row r="47" spans="2:11" s="16" customFormat="1" ht="12" thickBot="1">
      <c r="B47" s="14"/>
      <c r="C47" s="14" t="s">
        <v>12</v>
      </c>
      <c r="D47" s="14"/>
      <c r="E47" s="14"/>
      <c r="F47" s="24">
        <f>+F41+F45</f>
        <v>534</v>
      </c>
      <c r="G47" s="34">
        <f>+F47</f>
        <v>534</v>
      </c>
      <c r="H47" s="14"/>
      <c r="I47" s="14"/>
      <c r="J47" s="14"/>
      <c r="K47" s="14"/>
    </row>
    <row r="48" spans="2:11" s="16" customFormat="1" ht="12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s="16" customFormat="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s="16" customFormat="1" ht="12" thickBot="1">
      <c r="B50" s="14"/>
      <c r="C50" s="14"/>
      <c r="D50" s="14"/>
      <c r="E50" s="14"/>
      <c r="F50" s="29" t="s">
        <v>68</v>
      </c>
      <c r="G50" s="35">
        <f>+G37-G47</f>
        <v>-265.78875368500024</v>
      </c>
      <c r="H50" s="14"/>
      <c r="I50" s="14"/>
      <c r="J50" s="14"/>
      <c r="K50" s="14"/>
    </row>
    <row r="51" spans="2:25" s="16" customFormat="1" ht="12" thickTop="1">
      <c r="B51" s="14"/>
      <c r="C51" s="14"/>
      <c r="D51" s="14"/>
      <c r="E51" s="14"/>
      <c r="F51" s="14"/>
      <c r="G51" s="14"/>
      <c r="H51" s="14"/>
      <c r="I51" s="14"/>
      <c r="J51" s="14"/>
      <c r="K51" s="14"/>
      <c r="Y51" s="14"/>
    </row>
    <row r="52" spans="2:11" s="16" customFormat="1" ht="11.2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s="16" customFormat="1" ht="12" thickBot="1">
      <c r="B53" s="26" t="s">
        <v>89</v>
      </c>
      <c r="C53" s="27"/>
      <c r="D53" s="27"/>
      <c r="E53" s="27"/>
      <c r="F53" s="27"/>
      <c r="G53" s="14"/>
      <c r="H53" s="14"/>
      <c r="I53" s="14"/>
      <c r="J53" s="14"/>
      <c r="K53" s="14"/>
    </row>
    <row r="54" spans="2:27" s="16" customFormat="1" ht="12" thickTop="1"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4"/>
    </row>
    <row r="55" spans="2:11" s="16" customFormat="1" ht="11.25">
      <c r="B55" s="14" t="s">
        <v>90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s="16" customFormat="1" ht="11.25">
      <c r="B56" s="14"/>
      <c r="C56" s="14"/>
      <c r="D56" s="14"/>
      <c r="E56" s="14"/>
      <c r="F56" s="29" t="s">
        <v>87</v>
      </c>
      <c r="G56" s="14">
        <f>+J25</f>
        <v>2736</v>
      </c>
      <c r="H56" s="18" t="s">
        <v>8</v>
      </c>
      <c r="I56" s="14"/>
      <c r="J56" s="14"/>
      <c r="K56" s="14"/>
    </row>
    <row r="57" spans="2:11" s="16" customFormat="1" ht="11.25">
      <c r="B57" s="14"/>
      <c r="C57" s="14"/>
      <c r="D57" s="14"/>
      <c r="E57" s="14"/>
      <c r="F57" s="29" t="s">
        <v>13</v>
      </c>
      <c r="G57" s="14">
        <f>+G50</f>
        <v>-265.78875368500024</v>
      </c>
      <c r="H57" s="14"/>
      <c r="I57" s="14"/>
      <c r="J57" s="14"/>
      <c r="K57" s="14"/>
    </row>
    <row r="58" spans="2:11" s="16" customFormat="1" ht="11.25">
      <c r="B58" s="14"/>
      <c r="C58" s="14"/>
      <c r="D58" s="14"/>
      <c r="E58" s="14"/>
      <c r="F58" s="29"/>
      <c r="G58" s="14"/>
      <c r="H58" s="14"/>
      <c r="I58" s="14"/>
      <c r="J58" s="14"/>
      <c r="K58" s="14"/>
    </row>
    <row r="59" spans="2:11" s="16" customFormat="1" ht="12" thickBot="1">
      <c r="B59" s="14"/>
      <c r="C59" s="14"/>
      <c r="D59" s="14"/>
      <c r="E59" s="14"/>
      <c r="F59" s="29" t="str">
        <f>$K$10&amp;"/"&amp;$K$20&amp;" Monthly True-up Amount"</f>
        <v>2018/2019 Monthly True-up Amount</v>
      </c>
      <c r="G59" s="36">
        <f>ROUND(G57/G56,3)</f>
        <v>-0.097</v>
      </c>
      <c r="H59" s="14"/>
      <c r="I59" s="21">
        <f>+G59</f>
        <v>-0.097</v>
      </c>
      <c r="J59" s="14"/>
      <c r="K59" s="14"/>
    </row>
    <row r="60" spans="2:25" s="16" customFormat="1" ht="12" thickTop="1">
      <c r="B60" s="14"/>
      <c r="C60" s="14"/>
      <c r="D60" s="14"/>
      <c r="E60" s="14"/>
      <c r="F60" s="29"/>
      <c r="G60" s="14"/>
      <c r="H60" s="14"/>
      <c r="I60" s="21"/>
      <c r="J60" s="14"/>
      <c r="K60" s="14"/>
      <c r="Y60" s="14"/>
    </row>
    <row r="61" spans="2:11" s="16" customFormat="1" ht="11.25">
      <c r="B61" s="14" t="str">
        <f>" Projected Debit"</f>
        <v> Projected Debit</v>
      </c>
      <c r="C61" s="14"/>
      <c r="D61" s="14"/>
      <c r="E61" s="14"/>
      <c r="F61" s="29"/>
      <c r="G61" s="14"/>
      <c r="H61" s="14"/>
      <c r="I61" s="21"/>
      <c r="J61" s="14"/>
      <c r="K61" s="14"/>
    </row>
    <row r="62" spans="2:15" s="16" customFormat="1" ht="12" thickBot="1">
      <c r="B62" s="28"/>
      <c r="C62" s="14"/>
      <c r="D62" s="14"/>
      <c r="E62" s="14"/>
      <c r="F62" s="29" t="s">
        <v>91</v>
      </c>
      <c r="G62" s="144">
        <f>+F28/Value!$P$18*O63</f>
        <v>0.09803042628472211</v>
      </c>
      <c r="H62" s="14"/>
      <c r="I62" s="21">
        <f>+G62</f>
        <v>0.09803042628472211</v>
      </c>
      <c r="J62" s="18" t="s">
        <v>7</v>
      </c>
      <c r="K62" s="14"/>
      <c r="O62" s="142" t="s">
        <v>80</v>
      </c>
    </row>
    <row r="63" spans="2:25" s="14" customFormat="1" ht="12" thickTop="1">
      <c r="B63" s="28"/>
      <c r="I63" s="21"/>
      <c r="O63" s="143">
        <v>0.5</v>
      </c>
      <c r="X63" s="16"/>
      <c r="Y63" s="16"/>
    </row>
    <row r="64" spans="2:11" s="16" customFormat="1" ht="12" thickBot="1">
      <c r="B64" s="14"/>
      <c r="C64" s="14"/>
      <c r="D64" s="14"/>
      <c r="E64" s="14"/>
      <c r="F64" s="14"/>
      <c r="G64" s="29" t="s">
        <v>92</v>
      </c>
      <c r="H64" s="24"/>
      <c r="I64" s="36">
        <f>+I59+I62</f>
        <v>0.001030426284722108</v>
      </c>
      <c r="J64" s="14"/>
      <c r="K64" s="14"/>
    </row>
    <row r="65" s="16" customFormat="1" ht="12" thickTop="1">
      <c r="I65" s="21"/>
    </row>
    <row r="66" spans="7:9" s="16" customFormat="1" ht="11.25">
      <c r="G66" s="113" t="s">
        <v>70</v>
      </c>
      <c r="I66" s="16">
        <f>+I64*3.5</f>
        <v>0.003606491996527378</v>
      </c>
    </row>
    <row r="67" spans="1:9" s="16" customFormat="1" ht="11.25">
      <c r="A67" s="90"/>
      <c r="B67" s="90"/>
      <c r="C67" s="90"/>
      <c r="D67" s="90"/>
      <c r="E67" s="90"/>
      <c r="F67" s="90"/>
      <c r="G67" s="113" t="s">
        <v>69</v>
      </c>
      <c r="I67" s="16">
        <f>I64*5</f>
        <v>0.00515213142361054</v>
      </c>
    </row>
    <row r="68" spans="1:7" s="16" customFormat="1" ht="11.25">
      <c r="A68" s="91"/>
      <c r="B68" s="92"/>
      <c r="C68" s="93"/>
      <c r="D68" s="93"/>
      <c r="E68" s="93"/>
      <c r="F68" s="94"/>
      <c r="G68" s="113"/>
    </row>
    <row r="69" spans="1:7" s="16" customFormat="1" ht="11.25">
      <c r="A69" s="91"/>
      <c r="B69" s="92"/>
      <c r="C69" s="93"/>
      <c r="D69" s="93"/>
      <c r="E69" s="93"/>
      <c r="F69" s="94"/>
      <c r="G69" s="113"/>
    </row>
    <row r="70" spans="1:7" s="16" customFormat="1" ht="11.25">
      <c r="A70" s="91"/>
      <c r="B70" s="92"/>
      <c r="C70" s="93"/>
      <c r="D70" s="93"/>
      <c r="E70" s="93"/>
      <c r="F70" s="94"/>
      <c r="G70" s="113"/>
    </row>
    <row r="71" spans="1:25" s="16" customFormat="1" ht="11.25">
      <c r="A71" s="95"/>
      <c r="B71" s="94" t="s">
        <v>85</v>
      </c>
      <c r="C71" s="94"/>
      <c r="D71" s="94"/>
      <c r="E71" s="94"/>
      <c r="F71" s="94"/>
      <c r="G71" s="113" t="s">
        <v>71</v>
      </c>
      <c r="I71" s="131"/>
      <c r="J71" s="37"/>
      <c r="K71" s="37"/>
      <c r="Y71" s="14"/>
    </row>
    <row r="72" spans="1:6" s="16" customFormat="1" ht="11.25">
      <c r="A72" s="95"/>
      <c r="B72" s="94"/>
      <c r="C72" s="94"/>
      <c r="D72" s="94"/>
      <c r="E72" s="94"/>
      <c r="F72" s="94"/>
    </row>
    <row r="73" spans="1:9" s="16" customFormat="1" ht="11.25">
      <c r="A73" s="96"/>
      <c r="B73" s="32"/>
      <c r="C73" s="32"/>
      <c r="D73" s="90"/>
      <c r="E73" s="32"/>
      <c r="F73" s="90"/>
      <c r="G73" s="113" t="s">
        <v>72</v>
      </c>
      <c r="I73" s="136">
        <f>I71/(G56)</f>
        <v>0</v>
      </c>
    </row>
    <row r="74" spans="1:6" s="16" customFormat="1" ht="11.25">
      <c r="A74" s="96"/>
      <c r="B74" s="97"/>
      <c r="C74" s="32"/>
      <c r="D74" s="90"/>
      <c r="E74" s="32"/>
      <c r="F74" s="90"/>
    </row>
    <row r="75" spans="1:9" s="16" customFormat="1" ht="12" thickBot="1">
      <c r="A75" s="96"/>
      <c r="B75" s="97"/>
      <c r="C75" s="32"/>
      <c r="D75" s="90"/>
      <c r="E75" s="32"/>
      <c r="F75" s="90"/>
      <c r="G75" s="29" t="str">
        <f>$K$21+1&amp;" Net Credit/(Debit)"</f>
        <v>2020 Net Credit/(Debit)</v>
      </c>
      <c r="H75" s="24"/>
      <c r="I75" s="137">
        <f>+I64+I73</f>
        <v>0.001030426284722108</v>
      </c>
    </row>
    <row r="76" spans="1:25" s="16" customFormat="1" ht="12" thickTop="1">
      <c r="A76" s="96"/>
      <c r="B76" s="97"/>
      <c r="C76" s="32"/>
      <c r="D76" s="90"/>
      <c r="E76" s="32"/>
      <c r="F76" s="90"/>
      <c r="Y76" s="14"/>
    </row>
    <row r="77" spans="1:9" s="16" customFormat="1" ht="11.25">
      <c r="A77" s="96"/>
      <c r="B77" s="97"/>
      <c r="C77" s="32"/>
      <c r="D77" s="90"/>
      <c r="E77" s="32"/>
      <c r="F77" s="90"/>
      <c r="G77" s="113" t="s">
        <v>70</v>
      </c>
      <c r="I77" s="16">
        <f>+I75*3.5</f>
        <v>0.003606491996527378</v>
      </c>
    </row>
    <row r="78" spans="1:9" s="16" customFormat="1" ht="11.25">
      <c r="A78" s="96"/>
      <c r="B78" s="97"/>
      <c r="C78" s="32"/>
      <c r="D78" s="90"/>
      <c r="E78" s="32"/>
      <c r="F78" s="90"/>
      <c r="G78" s="113" t="s">
        <v>69</v>
      </c>
      <c r="I78" s="16">
        <f>I75*5</f>
        <v>0.00515213142361054</v>
      </c>
    </row>
    <row r="79" spans="1:6" s="16" customFormat="1" ht="11.25">
      <c r="A79" s="96"/>
      <c r="B79" s="97"/>
      <c r="C79" s="32"/>
      <c r="D79" s="90"/>
      <c r="E79" s="32"/>
      <c r="F79" s="90"/>
    </row>
    <row r="80" spans="1:27" s="16" customFormat="1" ht="11.25">
      <c r="A80" s="96"/>
      <c r="B80" s="97"/>
      <c r="C80" s="32"/>
      <c r="D80" s="90"/>
      <c r="E80" s="32"/>
      <c r="F80" s="90"/>
      <c r="G80" s="14"/>
      <c r="H80" s="13"/>
      <c r="I80" s="14"/>
      <c r="J80" s="14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4"/>
      <c r="AA80" s="14"/>
    </row>
    <row r="81" spans="1:6" s="16" customFormat="1" ht="11.25">
      <c r="A81" s="96"/>
      <c r="B81" s="97"/>
      <c r="C81" s="32"/>
      <c r="D81" s="90"/>
      <c r="E81" s="32"/>
      <c r="F81" s="90"/>
    </row>
    <row r="82" spans="1:6" s="16" customFormat="1" ht="11.25">
      <c r="A82" s="96"/>
      <c r="B82" s="97"/>
      <c r="C82" s="32"/>
      <c r="D82" s="90"/>
      <c r="E82" s="32"/>
      <c r="F82" s="90"/>
    </row>
    <row r="83" spans="1:6" s="16" customFormat="1" ht="11.25">
      <c r="A83" s="96"/>
      <c r="B83" s="32"/>
      <c r="C83" s="32"/>
      <c r="D83" s="90"/>
      <c r="E83" s="32"/>
      <c r="F83" s="90"/>
    </row>
    <row r="84" spans="1:6" s="16" customFormat="1" ht="11.25">
      <c r="A84" s="96"/>
      <c r="B84" s="32"/>
      <c r="C84" s="98"/>
      <c r="D84" s="90"/>
      <c r="E84" s="32"/>
      <c r="F84" s="90"/>
    </row>
    <row r="85" spans="1:25" s="16" customFormat="1" ht="12.75">
      <c r="A85" s="99"/>
      <c r="B85" s="99"/>
      <c r="C85" s="99"/>
      <c r="D85" s="100"/>
      <c r="E85" s="99"/>
      <c r="F85" s="99"/>
      <c r="Y85" s="14"/>
    </row>
    <row r="86" spans="1:6" s="16" customFormat="1" ht="11.25">
      <c r="A86" s="101"/>
      <c r="B86" s="32"/>
      <c r="C86" s="98"/>
      <c r="D86" s="90"/>
      <c r="E86" s="98"/>
      <c r="F86" s="102"/>
    </row>
    <row r="87" s="16" customFormat="1" ht="11.25"/>
    <row r="88" s="16" customFormat="1" ht="11.25"/>
    <row r="89" s="16" customFormat="1" ht="11.25">
      <c r="B89" s="8"/>
    </row>
    <row r="90" spans="2:25" s="14" customFormat="1" ht="11.25">
      <c r="B90" s="28"/>
      <c r="X90" s="16"/>
      <c r="Y90" s="16"/>
    </row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>
      <c r="A99" s="6"/>
    </row>
    <row r="100" s="16" customFormat="1" ht="12.75">
      <c r="AA100" s="5"/>
    </row>
    <row r="101" s="16" customFormat="1" ht="12.75">
      <c r="AA101" s="5"/>
    </row>
    <row r="102" s="16" customFormat="1" ht="12.75">
      <c r="AA102" s="5"/>
    </row>
    <row r="103" s="16" customFormat="1" ht="12.75">
      <c r="AA103" s="5"/>
    </row>
    <row r="104" spans="7:27" s="16" customFormat="1" ht="12.75">
      <c r="G104" s="38"/>
      <c r="I104" s="38"/>
      <c r="J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AA104" s="5"/>
    </row>
    <row r="105" s="16" customFormat="1" ht="12.75">
      <c r="AA105" s="5"/>
    </row>
    <row r="106" spans="7:27" s="16" customFormat="1" ht="13.5" thickBot="1">
      <c r="G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AA106" s="5"/>
    </row>
    <row r="107" ht="13.5" thickTop="1"/>
    <row r="108" spans="23:25" ht="12.75">
      <c r="W108" s="40"/>
      <c r="X108" s="40"/>
      <c r="Y108" s="40"/>
    </row>
    <row r="109" spans="23:27" ht="12.75">
      <c r="W109" s="40"/>
      <c r="AA10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54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88</v>
      </c>
      <c r="B1" s="42"/>
    </row>
    <row r="2" spans="1:2" ht="12.75">
      <c r="A2" s="43" t="str">
        <f>'WUTC_AW of Kent (SeaTac)_MF'!A1</f>
        <v>Rabanco Ltd (dba Allied Waste of Kent)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14</v>
      </c>
      <c r="D5" s="45" t="s">
        <v>15</v>
      </c>
      <c r="E5" s="45" t="s">
        <v>26</v>
      </c>
      <c r="F5" s="45" t="s">
        <v>16</v>
      </c>
      <c r="G5" s="45" t="s">
        <v>17</v>
      </c>
      <c r="H5" s="45" t="s">
        <v>18</v>
      </c>
      <c r="I5" s="45" t="s">
        <v>19</v>
      </c>
      <c r="J5" s="45" t="s">
        <v>20</v>
      </c>
      <c r="K5" s="45" t="s">
        <v>21</v>
      </c>
      <c r="L5" s="45" t="s">
        <v>22</v>
      </c>
      <c r="M5" s="45" t="s">
        <v>23</v>
      </c>
      <c r="O5" s="57" t="s">
        <v>23</v>
      </c>
      <c r="P5" s="45" t="s">
        <v>83</v>
      </c>
    </row>
    <row r="6" spans="1:17" ht="15.75" customHeight="1">
      <c r="A6" s="49">
        <f>+Pricing!A4</f>
        <v>43221</v>
      </c>
      <c r="B6" s="54"/>
      <c r="C6" s="55">
        <f>'Commodity Tonnages'!C6*Pricing!C4</f>
        <v>49.62160124999999</v>
      </c>
      <c r="D6" s="59">
        <f>'Commodity Tonnages'!D6*Pricing!D4</f>
        <v>-27.287064480000005</v>
      </c>
      <c r="E6" s="59">
        <f>'Commodity Tonnages'!E6*Pricing!E4</f>
        <v>0</v>
      </c>
      <c r="F6" s="59">
        <f>'Commodity Tonnages'!F6*Pricing!F4</f>
        <v>9.137871600000002</v>
      </c>
      <c r="G6" s="59">
        <f>'Commodity Tonnages'!G6*Pricing!G4</f>
        <v>0</v>
      </c>
      <c r="H6" s="59">
        <f>'Commodity Tonnages'!H6*Pricing!H4</f>
        <v>-45.18594288</v>
      </c>
      <c r="I6" s="59">
        <f>'Commodity Tonnages'!I6*Pricing!I4</f>
        <v>13.781419665000003</v>
      </c>
      <c r="J6" s="59">
        <f>'Commodity Tonnages'!J6*Pricing!J4</f>
        <v>13.781419665000003</v>
      </c>
      <c r="K6" s="59">
        <f>'Commodity Tonnages'!K6*Pricing!K4</f>
        <v>47.38466304</v>
      </c>
      <c r="L6" s="59">
        <f>'Commodity Tonnages'!L6*Pricing!L4</f>
        <v>-48.765052570000115</v>
      </c>
      <c r="M6" s="117">
        <f>SUM(C6:L6)</f>
        <v>12.468915289999877</v>
      </c>
      <c r="O6" s="134">
        <f>M6*P6</f>
        <v>6.234457644999939</v>
      </c>
      <c r="P6" s="148">
        <v>0.5</v>
      </c>
      <c r="Q6" s="58"/>
    </row>
    <row r="7" spans="1:17" ht="15.75" customHeight="1">
      <c r="A7" s="49">
        <f>+Pricing!A5</f>
        <v>43281</v>
      </c>
      <c r="B7" s="54"/>
      <c r="C7" s="55">
        <f>'Commodity Tonnages'!C7*Pricing!C5</f>
        <v>38.61447</v>
      </c>
      <c r="D7" s="59">
        <f>'Commodity Tonnages'!D7*Pricing!D5</f>
        <v>-15.558046399999998</v>
      </c>
      <c r="E7" s="59">
        <f>'Commodity Tonnages'!E7*Pricing!E5</f>
        <v>0</v>
      </c>
      <c r="F7" s="59">
        <f>'Commodity Tonnages'!F7*Pricing!F5</f>
        <v>7.064012999999999</v>
      </c>
      <c r="G7" s="59">
        <f>'Commodity Tonnages'!G7*Pricing!G5</f>
        <v>0</v>
      </c>
      <c r="H7" s="59">
        <f>'Commodity Tonnages'!H7*Pricing!H5</f>
        <v>4.75456</v>
      </c>
      <c r="I7" s="59">
        <f>'Commodity Tonnages'!I7*Pricing!I5</f>
        <v>9.083629199999999</v>
      </c>
      <c r="J7" s="59">
        <f>'Commodity Tonnages'!J7*Pricing!J5</f>
        <v>9.083629199999999</v>
      </c>
      <c r="K7" s="59">
        <f>'Commodity Tonnages'!K7*Pricing!K5</f>
        <v>49.27336919999999</v>
      </c>
      <c r="L7" s="59">
        <f>'Commodity Tonnages'!L7*Pricing!L5</f>
        <v>-36.71346020000008</v>
      </c>
      <c r="M7" s="117">
        <f aca="true" t="shared" si="0" ref="M7:M17">SUM(C7:L7)</f>
        <v>65.6021639999999</v>
      </c>
      <c r="O7" s="134">
        <f aca="true" t="shared" si="1" ref="O7:O17">M7*P7</f>
        <v>32.80108199999995</v>
      </c>
      <c r="P7" s="148">
        <v>0.5</v>
      </c>
      <c r="Q7" s="58"/>
    </row>
    <row r="8" spans="1:17" ht="15.75" customHeight="1">
      <c r="A8" s="49">
        <f>+Pricing!A6</f>
        <v>43312</v>
      </c>
      <c r="B8" s="50"/>
      <c r="C8" s="55">
        <f>'Commodity Tonnages'!C8*Pricing!C6</f>
        <v>40.581453</v>
      </c>
      <c r="D8" s="59">
        <f>'Commodity Tonnages'!D8*Pricing!D6</f>
        <v>-3.2063740800000002</v>
      </c>
      <c r="E8" s="59">
        <f>'Commodity Tonnages'!E8*Pricing!E6</f>
        <v>0</v>
      </c>
      <c r="F8" s="59">
        <f>'Commodity Tonnages'!F8*Pricing!F6</f>
        <v>7.6326492</v>
      </c>
      <c r="G8" s="59">
        <f>'Commodity Tonnages'!G8*Pricing!G6</f>
        <v>0</v>
      </c>
      <c r="H8" s="59">
        <f>'Commodity Tonnages'!H8*Pricing!H6</f>
        <v>11.000191360000002</v>
      </c>
      <c r="I8" s="59">
        <f>'Commodity Tonnages'!I8*Pricing!I6</f>
        <v>12.457244580000001</v>
      </c>
      <c r="J8" s="59">
        <f>'Commodity Tonnages'!J8*Pricing!J6</f>
        <v>12.457244580000001</v>
      </c>
      <c r="K8" s="59">
        <f>'Commodity Tonnages'!K8*Pricing!K6</f>
        <v>61.90140527999999</v>
      </c>
      <c r="L8" s="59">
        <f>'Commodity Tonnages'!L8*Pricing!L6</f>
        <v>-40.544429960000095</v>
      </c>
      <c r="M8" s="117">
        <f t="shared" si="0"/>
        <v>102.27938395999993</v>
      </c>
      <c r="O8" s="134">
        <f t="shared" si="1"/>
        <v>51.13969197999997</v>
      </c>
      <c r="P8" s="148">
        <v>0.5</v>
      </c>
      <c r="Q8" s="58"/>
    </row>
    <row r="9" spans="1:17" ht="15.75" customHeight="1">
      <c r="A9" s="49">
        <f>+Pricing!A7</f>
        <v>43343</v>
      </c>
      <c r="B9" s="50"/>
      <c r="C9" s="55">
        <f>'Commodity Tonnages'!C9*Pricing!C7</f>
        <v>41.619954750000005</v>
      </c>
      <c r="D9" s="59">
        <f>'Commodity Tonnages'!D9*Pricing!D7</f>
        <v>0.68163472</v>
      </c>
      <c r="E9" s="59">
        <f>'Commodity Tonnages'!E9*Pricing!E7</f>
        <v>0</v>
      </c>
      <c r="F9" s="59">
        <f>'Commodity Tonnages'!F9*Pricing!F7</f>
        <v>5.31693525</v>
      </c>
      <c r="G9" s="59">
        <f>'Commodity Tonnages'!G9*Pricing!G7</f>
        <v>0</v>
      </c>
      <c r="H9" s="59">
        <f>'Commodity Tonnages'!H9*Pricing!H7</f>
        <v>22.67108576</v>
      </c>
      <c r="I9" s="59">
        <f>'Commodity Tonnages'!I9*Pricing!I7</f>
        <v>19.70851825</v>
      </c>
      <c r="J9" s="59">
        <f>'Commodity Tonnages'!J9*Pricing!J7</f>
        <v>19.70851825</v>
      </c>
      <c r="K9" s="59">
        <f>'Commodity Tonnages'!K9*Pricing!K7</f>
        <v>56.29951008</v>
      </c>
      <c r="L9" s="59">
        <f>'Commodity Tonnages'!L9*Pricing!L7</f>
        <v>-41.58198427000009</v>
      </c>
      <c r="M9" s="117">
        <f t="shared" si="0"/>
        <v>124.4241727899999</v>
      </c>
      <c r="O9" s="134">
        <f t="shared" si="1"/>
        <v>62.21208639499995</v>
      </c>
      <c r="P9" s="148">
        <v>0.5</v>
      </c>
      <c r="Q9" s="58"/>
    </row>
    <row r="10" spans="1:17" ht="15.75" customHeight="1">
      <c r="A10" s="49">
        <f>+Pricing!A8</f>
        <v>43373</v>
      </c>
      <c r="B10" s="50"/>
      <c r="C10" s="55">
        <f>'Commodity Tonnages'!C10*Pricing!C8</f>
        <v>28.7112045</v>
      </c>
      <c r="D10" s="59">
        <f>'Commodity Tonnages'!D10*Pricing!D8</f>
        <v>-10.527396880000001</v>
      </c>
      <c r="E10" s="59">
        <f>'Commodity Tonnages'!E10*Pricing!E8</f>
        <v>0</v>
      </c>
      <c r="F10" s="59">
        <f>'Commodity Tonnages'!F10*Pricing!F8</f>
        <v>4.677345750000001</v>
      </c>
      <c r="G10" s="59">
        <f>'Commodity Tonnages'!G10*Pricing!G8</f>
        <v>0</v>
      </c>
      <c r="H10" s="59">
        <f>'Commodity Tonnages'!H10*Pricing!H8</f>
        <v>56.58081440000001</v>
      </c>
      <c r="I10" s="59">
        <f>'Commodity Tonnages'!I10*Pricing!I8</f>
        <v>7.202815345</v>
      </c>
      <c r="J10" s="59">
        <f>'Commodity Tonnages'!J10*Pricing!J8</f>
        <v>7.202815345</v>
      </c>
      <c r="K10" s="59">
        <f>'Commodity Tonnages'!K10*Pricing!K8</f>
        <v>46.30874490000001</v>
      </c>
      <c r="L10" s="59">
        <f>'Commodity Tonnages'!L10*Pricing!L8</f>
        <v>-32.483431090000074</v>
      </c>
      <c r="M10" s="117">
        <f t="shared" si="0"/>
        <v>107.67291226999996</v>
      </c>
      <c r="O10" s="134">
        <f t="shared" si="1"/>
        <v>53.83645613499998</v>
      </c>
      <c r="P10" s="148">
        <v>0.5</v>
      </c>
      <c r="Q10" s="58"/>
    </row>
    <row r="11" spans="1:17" ht="15.75" customHeight="1">
      <c r="A11" s="49">
        <f>+Pricing!A9</f>
        <v>43404</v>
      </c>
      <c r="B11" s="50"/>
      <c r="C11" s="55">
        <f>'Commodity Tonnages'!C11*Pricing!C9</f>
        <v>31.954403999999997</v>
      </c>
      <c r="D11" s="59">
        <f>'Commodity Tonnages'!D11*Pricing!D9</f>
        <v>-13.67526784</v>
      </c>
      <c r="E11" s="59">
        <f>'Commodity Tonnages'!E11*Pricing!E9</f>
        <v>0</v>
      </c>
      <c r="F11" s="59">
        <f>'Commodity Tonnages'!F11*Pricing!F9</f>
        <v>5.985460800000001</v>
      </c>
      <c r="G11" s="59">
        <f>'Commodity Tonnages'!G11*Pricing!G9</f>
        <v>0</v>
      </c>
      <c r="H11" s="59">
        <f>'Commodity Tonnages'!H11*Pricing!H9</f>
        <v>61.79522304</v>
      </c>
      <c r="I11" s="59">
        <f>'Commodity Tonnages'!I11*Pricing!I9</f>
        <v>7.83968368</v>
      </c>
      <c r="J11" s="59">
        <f>'Commodity Tonnages'!J11*Pricing!J9</f>
        <v>7.83968368</v>
      </c>
      <c r="K11" s="59">
        <f>'Commodity Tonnages'!K11*Pricing!K9</f>
        <v>59.26846464</v>
      </c>
      <c r="L11" s="59">
        <f>'Commodity Tonnages'!L11*Pricing!L9</f>
        <v>-37.03270768000008</v>
      </c>
      <c r="M11" s="117">
        <f t="shared" si="0"/>
        <v>123.97494431999993</v>
      </c>
      <c r="O11" s="134">
        <f t="shared" si="1"/>
        <v>61.98747215999997</v>
      </c>
      <c r="P11" s="148">
        <v>0.5</v>
      </c>
      <c r="Q11" s="58"/>
    </row>
    <row r="12" spans="1:17" ht="15.75" customHeight="1">
      <c r="A12" s="49">
        <f>+Pricing!A10</f>
        <v>43434</v>
      </c>
      <c r="B12" s="50"/>
      <c r="C12" s="55">
        <f>'Commodity Tonnages'!C12*Pricing!C10</f>
        <v>0</v>
      </c>
      <c r="D12" s="59">
        <f>'Commodity Tonnages'!D12*Pricing!D10</f>
        <v>0</v>
      </c>
      <c r="E12" s="59">
        <f>'Commodity Tonnages'!E12*Pricing!E10</f>
        <v>0</v>
      </c>
      <c r="F12" s="59">
        <f>'Commodity Tonnages'!F12*Pricing!F10</f>
        <v>0</v>
      </c>
      <c r="G12" s="59">
        <f>'Commodity Tonnages'!G12*Pricing!G10</f>
        <v>0</v>
      </c>
      <c r="H12" s="59">
        <f>'Commodity Tonnages'!H12*Pricing!H10</f>
        <v>0</v>
      </c>
      <c r="I12" s="59">
        <f>'Commodity Tonnages'!I12*Pricing!I10</f>
        <v>0</v>
      </c>
      <c r="J12" s="59">
        <f>'Commodity Tonnages'!J12*Pricing!J10</f>
        <v>0</v>
      </c>
      <c r="K12" s="59">
        <f>'Commodity Tonnages'!K12*Pricing!K10</f>
        <v>0</v>
      </c>
      <c r="L12" s="59">
        <f>'Commodity Tonnages'!L12*Pricing!L10</f>
        <v>0</v>
      </c>
      <c r="M12" s="117">
        <f t="shared" si="0"/>
        <v>0</v>
      </c>
      <c r="O12" s="134">
        <f t="shared" si="1"/>
        <v>0</v>
      </c>
      <c r="P12" s="148">
        <v>0.5</v>
      </c>
      <c r="Q12" s="58"/>
    </row>
    <row r="13" spans="1:17" ht="15.75" customHeight="1">
      <c r="A13" s="49">
        <f>+Pricing!A11</f>
        <v>43465</v>
      </c>
      <c r="B13" s="50"/>
      <c r="C13" s="55">
        <f>'Commodity Tonnages'!C13*Pricing!C11</f>
        <v>0</v>
      </c>
      <c r="D13" s="59">
        <f>'Commodity Tonnages'!D13*Pricing!D11</f>
        <v>0</v>
      </c>
      <c r="E13" s="59">
        <f>'Commodity Tonnages'!E13*Pricing!E11</f>
        <v>0</v>
      </c>
      <c r="F13" s="59">
        <f>'Commodity Tonnages'!F13*Pricing!F11</f>
        <v>0</v>
      </c>
      <c r="G13" s="59">
        <f>'Commodity Tonnages'!G13*Pricing!G11</f>
        <v>0</v>
      </c>
      <c r="H13" s="59">
        <f>'Commodity Tonnages'!H13*Pricing!H11</f>
        <v>0</v>
      </c>
      <c r="I13" s="59">
        <f>'Commodity Tonnages'!I13*Pricing!I11</f>
        <v>0</v>
      </c>
      <c r="J13" s="59">
        <f>'Commodity Tonnages'!J13*Pricing!J11</f>
        <v>0</v>
      </c>
      <c r="K13" s="59">
        <f>'Commodity Tonnages'!K13*Pricing!K11</f>
        <v>0</v>
      </c>
      <c r="L13" s="59">
        <f>'Commodity Tonnages'!L13*Pricing!L11</f>
        <v>0</v>
      </c>
      <c r="M13" s="117">
        <f t="shared" si="0"/>
        <v>0</v>
      </c>
      <c r="O13" s="134">
        <f t="shared" si="1"/>
        <v>0</v>
      </c>
      <c r="P13" s="148">
        <v>0.5</v>
      </c>
      <c r="Q13" s="58"/>
    </row>
    <row r="14" spans="1:17" ht="15.75" customHeight="1">
      <c r="A14" s="49">
        <f>+Pricing!A12</f>
        <v>43496</v>
      </c>
      <c r="B14" s="50"/>
      <c r="C14" s="55">
        <f>'Commodity Tonnages'!C14*Pricing!C12</f>
        <v>0</v>
      </c>
      <c r="D14" s="59">
        <f>'Commodity Tonnages'!D14*Pricing!D12</f>
        <v>0</v>
      </c>
      <c r="E14" s="59">
        <f>'Commodity Tonnages'!E14*Pricing!E12</f>
        <v>0</v>
      </c>
      <c r="F14" s="59">
        <f>'Commodity Tonnages'!F14*Pricing!F12</f>
        <v>0</v>
      </c>
      <c r="G14" s="59">
        <f>'Commodity Tonnages'!G14*Pricing!G12</f>
        <v>0</v>
      </c>
      <c r="H14" s="59">
        <f>'Commodity Tonnages'!H14*Pricing!H12</f>
        <v>0</v>
      </c>
      <c r="I14" s="59">
        <f>'Commodity Tonnages'!I14*Pricing!I12</f>
        <v>0</v>
      </c>
      <c r="J14" s="59">
        <f>'Commodity Tonnages'!J14*Pricing!J12</f>
        <v>0</v>
      </c>
      <c r="K14" s="59">
        <f>'Commodity Tonnages'!K14*Pricing!K12</f>
        <v>0</v>
      </c>
      <c r="L14" s="59">
        <f>'Commodity Tonnages'!L14*Pricing!L12</f>
        <v>0</v>
      </c>
      <c r="M14" s="117">
        <f t="shared" si="0"/>
        <v>0</v>
      </c>
      <c r="O14" s="134">
        <f t="shared" si="1"/>
        <v>0</v>
      </c>
      <c r="P14" s="148">
        <v>0.5</v>
      </c>
      <c r="Q14" s="58"/>
    </row>
    <row r="15" spans="1:17" ht="15.75" customHeight="1">
      <c r="A15" s="49">
        <f>+Pricing!A13</f>
        <v>43524</v>
      </c>
      <c r="B15" s="50"/>
      <c r="C15" s="55">
        <f>'Commodity Tonnages'!C15*Pricing!C13</f>
        <v>0</v>
      </c>
      <c r="D15" s="59">
        <f>'Commodity Tonnages'!D15*Pricing!D13</f>
        <v>0</v>
      </c>
      <c r="E15" s="59">
        <f>'Commodity Tonnages'!E15*Pricing!E13</f>
        <v>0</v>
      </c>
      <c r="F15" s="59">
        <f>'Commodity Tonnages'!F15*Pricing!F13</f>
        <v>0</v>
      </c>
      <c r="G15" s="59">
        <f>'Commodity Tonnages'!G15*Pricing!G13</f>
        <v>0</v>
      </c>
      <c r="H15" s="59">
        <f>'Commodity Tonnages'!H15*Pricing!H13</f>
        <v>0</v>
      </c>
      <c r="I15" s="59">
        <f>'Commodity Tonnages'!I15*Pricing!I13</f>
        <v>0</v>
      </c>
      <c r="J15" s="59">
        <f>'Commodity Tonnages'!J15*Pricing!J13</f>
        <v>0</v>
      </c>
      <c r="K15" s="59">
        <f>'Commodity Tonnages'!K15*Pricing!K13</f>
        <v>0</v>
      </c>
      <c r="L15" s="59">
        <f>'Commodity Tonnages'!L15*Pricing!L13</f>
        <v>0</v>
      </c>
      <c r="M15" s="117">
        <f t="shared" si="0"/>
        <v>0</v>
      </c>
      <c r="O15" s="134">
        <f t="shared" si="1"/>
        <v>0</v>
      </c>
      <c r="P15" s="148">
        <v>0.5</v>
      </c>
      <c r="Q15" s="58"/>
    </row>
    <row r="16" spans="1:17" ht="15.75" customHeight="1">
      <c r="A16" s="49">
        <f>+Pricing!A14</f>
        <v>43555</v>
      </c>
      <c r="B16" s="50"/>
      <c r="C16" s="55">
        <f>'Commodity Tonnages'!C16*Pricing!C14</f>
        <v>0</v>
      </c>
      <c r="D16" s="59">
        <f>'Commodity Tonnages'!D16*Pricing!D14</f>
        <v>0</v>
      </c>
      <c r="E16" s="59">
        <f>'Commodity Tonnages'!E16*Pricing!E14</f>
        <v>0</v>
      </c>
      <c r="F16" s="59">
        <f>'Commodity Tonnages'!F16*Pricing!F14</f>
        <v>0</v>
      </c>
      <c r="G16" s="59">
        <f>'Commodity Tonnages'!G16*Pricing!G14</f>
        <v>0</v>
      </c>
      <c r="H16" s="59">
        <f>'Commodity Tonnages'!H16*Pricing!H14</f>
        <v>0</v>
      </c>
      <c r="I16" s="59">
        <f>'Commodity Tonnages'!I16*Pricing!I14</f>
        <v>0</v>
      </c>
      <c r="J16" s="59">
        <f>'Commodity Tonnages'!J16*Pricing!J14</f>
        <v>0</v>
      </c>
      <c r="K16" s="59">
        <f>'Commodity Tonnages'!K16*Pricing!K14</f>
        <v>0</v>
      </c>
      <c r="L16" s="59">
        <f>'Commodity Tonnages'!L16*Pricing!L14</f>
        <v>0</v>
      </c>
      <c r="M16" s="117">
        <f t="shared" si="0"/>
        <v>0</v>
      </c>
      <c r="O16" s="134">
        <f t="shared" si="1"/>
        <v>0</v>
      </c>
      <c r="P16" s="148">
        <v>0.5</v>
      </c>
      <c r="Q16" s="58"/>
    </row>
    <row r="17" spans="1:17" ht="15.75" customHeight="1">
      <c r="A17" s="49">
        <f>+Pricing!A15</f>
        <v>43585</v>
      </c>
      <c r="B17" s="50"/>
      <c r="C17" s="55">
        <f>'Commodity Tonnages'!C17*Pricing!C15</f>
        <v>0</v>
      </c>
      <c r="D17" s="59">
        <f>'Commodity Tonnages'!D17*Pricing!D15</f>
        <v>0</v>
      </c>
      <c r="E17" s="59">
        <f>'Commodity Tonnages'!E17*Pricing!E15</f>
        <v>0</v>
      </c>
      <c r="F17" s="59">
        <f>'Commodity Tonnages'!F17*Pricing!F15</f>
        <v>0</v>
      </c>
      <c r="G17" s="59">
        <f>'Commodity Tonnages'!G17*Pricing!G15</f>
        <v>0</v>
      </c>
      <c r="H17" s="59">
        <f>'Commodity Tonnages'!H17*Pricing!H15</f>
        <v>0</v>
      </c>
      <c r="I17" s="59">
        <f>'Commodity Tonnages'!I17*Pricing!I15</f>
        <v>0</v>
      </c>
      <c r="J17" s="59">
        <f>'Commodity Tonnages'!J17*Pricing!J15</f>
        <v>0</v>
      </c>
      <c r="K17" s="59">
        <f>'Commodity Tonnages'!K17*Pricing!K15</f>
        <v>0</v>
      </c>
      <c r="L17" s="59">
        <f>'Commodity Tonnages'!L17*Pricing!L15</f>
        <v>0</v>
      </c>
      <c r="M17" s="117">
        <f t="shared" si="0"/>
        <v>0</v>
      </c>
      <c r="O17" s="134">
        <f t="shared" si="1"/>
        <v>0</v>
      </c>
      <c r="P17" s="148">
        <v>0.5</v>
      </c>
      <c r="Q17" s="58"/>
    </row>
    <row r="18" spans="1:16" ht="15.75" customHeight="1">
      <c r="A18" s="53" t="s">
        <v>25</v>
      </c>
      <c r="B18" s="50"/>
      <c r="C18" s="115">
        <f aca="true" t="shared" si="2" ref="C18:L18">SUM(C6:C17)</f>
        <v>231.10308750000002</v>
      </c>
      <c r="D18" s="116">
        <f t="shared" si="2"/>
        <v>-69.57251496000002</v>
      </c>
      <c r="E18" s="116">
        <f t="shared" si="2"/>
        <v>0</v>
      </c>
      <c r="F18" s="115">
        <f t="shared" si="2"/>
        <v>39.8142756</v>
      </c>
      <c r="G18" s="115">
        <f t="shared" si="2"/>
        <v>0</v>
      </c>
      <c r="H18" s="115">
        <f t="shared" si="2"/>
        <v>111.61593168000002</v>
      </c>
      <c r="I18" s="115">
        <f t="shared" si="2"/>
        <v>70.07331072</v>
      </c>
      <c r="J18" s="115">
        <f t="shared" si="2"/>
        <v>70.07331072</v>
      </c>
      <c r="K18" s="115">
        <f t="shared" si="2"/>
        <v>320.43615714</v>
      </c>
      <c r="L18" s="116">
        <f t="shared" si="2"/>
        <v>-237.1210657700005</v>
      </c>
      <c r="M18" s="118">
        <f>SUM(C18:L18)</f>
        <v>536.4224926299994</v>
      </c>
      <c r="O18" s="133">
        <f>SUM(O6:O17)</f>
        <v>268.21124631499976</v>
      </c>
      <c r="P18" s="122">
        <f>+O18/M18</f>
        <v>0.5000000000000001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1" t="str">
        <f>"Multi-Family Tonnages by Commodity ("&amp;TEXT(A6,"mmmm yyyy")&amp;" through "&amp;TEXT(A11,"mmmm yyyy")&amp;")"</f>
        <v>Multi-Family Tonnages by Commodity (May 2018 through October 2018)</v>
      </c>
      <c r="B1" s="42"/>
    </row>
    <row r="2" spans="1:2" ht="12.75">
      <c r="A2" s="43" t="s">
        <v>59</v>
      </c>
      <c r="B2" s="43"/>
    </row>
    <row r="3" spans="1:14" ht="12.75">
      <c r="A3" s="42"/>
      <c r="B3" s="44"/>
      <c r="C3" s="45" t="s">
        <v>14</v>
      </c>
      <c r="D3" s="45" t="s">
        <v>15</v>
      </c>
      <c r="E3" s="45" t="s">
        <v>26</v>
      </c>
      <c r="F3" s="45" t="s">
        <v>16</v>
      </c>
      <c r="G3" s="45" t="s">
        <v>17</v>
      </c>
      <c r="H3" s="45" t="s">
        <v>18</v>
      </c>
      <c r="I3" s="45" t="s">
        <v>19</v>
      </c>
      <c r="J3" s="45" t="s">
        <v>20</v>
      </c>
      <c r="K3" s="45" t="s">
        <v>21</v>
      </c>
      <c r="L3" s="45" t="s">
        <v>22</v>
      </c>
      <c r="M3" s="45"/>
      <c r="N3" s="45" t="s">
        <v>23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24</v>
      </c>
    </row>
    <row r="6" spans="1:16" ht="12.75">
      <c r="A6" s="107">
        <f>Multi_Family!$C$6</f>
        <v>43221</v>
      </c>
      <c r="B6" s="50" t="s">
        <v>47</v>
      </c>
      <c r="C6" s="85">
        <f>Multi_Family!C32</f>
        <v>0.045825</v>
      </c>
      <c r="D6" s="86">
        <f>Multi_Family!C34</f>
        <v>1.080248</v>
      </c>
      <c r="E6" s="85">
        <f>Multi_Family!C35</f>
        <v>0</v>
      </c>
      <c r="F6" s="85">
        <f>Multi_Family!C30</f>
        <v>0.10081500000000002</v>
      </c>
      <c r="G6" s="85">
        <f>Multi_Family!C27</f>
        <v>0</v>
      </c>
      <c r="H6" s="85">
        <f>Multi_Family!C37</f>
        <v>3.1576480000000005</v>
      </c>
      <c r="I6" s="85">
        <f>Multi_Family!C31/2</f>
        <v>0.13716950000000003</v>
      </c>
      <c r="J6" s="85">
        <f>Multi_Family!C31/2</f>
        <v>0.13716950000000003</v>
      </c>
      <c r="K6" s="85">
        <f>Multi_Family!C28</f>
        <v>1.088802</v>
      </c>
      <c r="L6" s="85">
        <f>Multi_Family!C36</f>
        <v>0.36232300000000084</v>
      </c>
      <c r="M6" s="47"/>
      <c r="N6" s="108">
        <f aca="true" t="shared" si="0" ref="N6:N17">SUM(C6:L6)</f>
        <v>6.110000000000001</v>
      </c>
      <c r="O6" s="60"/>
      <c r="P6" s="52"/>
    </row>
    <row r="7" spans="1:16" ht="12.75">
      <c r="A7" s="49">
        <f aca="true" t="shared" si="1" ref="A7:A17">EOMONTH(A6,1)</f>
        <v>43281</v>
      </c>
      <c r="B7" s="50" t="s">
        <v>48</v>
      </c>
      <c r="C7" s="85">
        <f>Multi_Family!D32</f>
        <v>0.034499999999999996</v>
      </c>
      <c r="D7" s="86">
        <f>Multi_Family!D34</f>
        <v>0.81328</v>
      </c>
      <c r="E7" s="85">
        <f>Multi_Family!D35</f>
        <v>0</v>
      </c>
      <c r="F7" s="85">
        <f>Multi_Family!D30</f>
        <v>0.0759</v>
      </c>
      <c r="G7" s="85">
        <f>Multi_Family!D27</f>
        <v>0</v>
      </c>
      <c r="H7" s="85">
        <f>Multi_Family!D37</f>
        <v>2.37728</v>
      </c>
      <c r="I7" s="85">
        <f>Multi_Family!D31/2</f>
        <v>0.10327</v>
      </c>
      <c r="J7" s="85">
        <f>Multi_Family!D31/2</f>
        <v>0.10327</v>
      </c>
      <c r="K7" s="85">
        <f>Multi_Family!D28</f>
        <v>0.8197199999999999</v>
      </c>
      <c r="L7" s="85">
        <f>Multi_Family!D36</f>
        <v>0.2727800000000006</v>
      </c>
      <c r="M7" s="47"/>
      <c r="N7" s="108">
        <f t="shared" si="0"/>
        <v>4.600000000000001</v>
      </c>
      <c r="P7" s="52"/>
    </row>
    <row r="8" spans="1:16" ht="12.75">
      <c r="A8" s="49">
        <f t="shared" si="1"/>
        <v>43312</v>
      </c>
      <c r="B8" s="50" t="s">
        <v>49</v>
      </c>
      <c r="C8" s="85">
        <f>Multi_Family!E32</f>
        <v>0.0381</v>
      </c>
      <c r="D8" s="86">
        <f>Multi_Family!E34</f>
        <v>0.898144</v>
      </c>
      <c r="E8" s="85">
        <f>Multi_Family!E35</f>
        <v>0</v>
      </c>
      <c r="F8" s="85">
        <f>Multi_Family!E30</f>
        <v>0.08382</v>
      </c>
      <c r="G8" s="85">
        <f>Multi_Family!E27</f>
        <v>0</v>
      </c>
      <c r="H8" s="85">
        <f>Multi_Family!E37</f>
        <v>2.625344</v>
      </c>
      <c r="I8" s="85">
        <f>Multi_Family!E31/2</f>
        <v>0.11404600000000001</v>
      </c>
      <c r="J8" s="85">
        <f>Multi_Family!E31/2</f>
        <v>0.11404600000000001</v>
      </c>
      <c r="K8" s="85">
        <f>Multi_Family!E28</f>
        <v>0.905256</v>
      </c>
      <c r="L8" s="85">
        <f>Multi_Family!E36</f>
        <v>0.3012440000000007</v>
      </c>
      <c r="M8" s="47"/>
      <c r="N8" s="108">
        <f t="shared" si="0"/>
        <v>5.080000000000001</v>
      </c>
      <c r="P8" s="52"/>
    </row>
    <row r="9" spans="1:16" ht="12.75">
      <c r="A9" s="49">
        <f t="shared" si="1"/>
        <v>43343</v>
      </c>
      <c r="B9" s="50" t="s">
        <v>50</v>
      </c>
      <c r="C9" s="85">
        <f>Multi_Family!F32</f>
        <v>0.039075</v>
      </c>
      <c r="D9" s="86">
        <f>Multi_Family!F34</f>
        <v>0.9211280000000001</v>
      </c>
      <c r="E9" s="85">
        <f>Multi_Family!F35</f>
        <v>0</v>
      </c>
      <c r="F9" s="85">
        <f>Multi_Family!F30</f>
        <v>0.085965</v>
      </c>
      <c r="G9" s="85">
        <f>Multi_Family!F27</f>
        <v>0</v>
      </c>
      <c r="H9" s="85">
        <f>Multi_Family!F37</f>
        <v>2.6925280000000003</v>
      </c>
      <c r="I9" s="85">
        <f>Multi_Family!F31/2</f>
        <v>0.1169645</v>
      </c>
      <c r="J9" s="85">
        <f>Multi_Family!F31/2</f>
        <v>0.1169645</v>
      </c>
      <c r="K9" s="85">
        <f>Multi_Family!F28</f>
        <v>0.928422</v>
      </c>
      <c r="L9" s="85">
        <f>Multi_Family!F36</f>
        <v>0.3089530000000007</v>
      </c>
      <c r="M9" s="47"/>
      <c r="N9" s="108">
        <f t="shared" si="0"/>
        <v>5.210000000000001</v>
      </c>
      <c r="P9" s="52"/>
    </row>
    <row r="10" spans="1:16" ht="12.75">
      <c r="A10" s="49">
        <f t="shared" si="1"/>
        <v>43373</v>
      </c>
      <c r="B10" s="50" t="s">
        <v>51</v>
      </c>
      <c r="C10" s="85">
        <f>Multi_Family!G32</f>
        <v>0.030525</v>
      </c>
      <c r="D10" s="86">
        <f>Multi_Family!G34</f>
        <v>0.7195760000000001</v>
      </c>
      <c r="E10" s="85">
        <f>Multi_Family!G35</f>
        <v>0</v>
      </c>
      <c r="F10" s="85">
        <f>Multi_Family!G30</f>
        <v>0.067155</v>
      </c>
      <c r="G10" s="85">
        <f>Multi_Family!G27</f>
        <v>0</v>
      </c>
      <c r="H10" s="85">
        <f>Multi_Family!G37</f>
        <v>2.1033760000000004</v>
      </c>
      <c r="I10" s="85">
        <f>Multi_Family!G31/2</f>
        <v>0.09137150000000001</v>
      </c>
      <c r="J10" s="85">
        <f>Multi_Family!G31/2</f>
        <v>0.09137150000000001</v>
      </c>
      <c r="K10" s="85">
        <f>Multi_Family!G28</f>
        <v>0.7252740000000001</v>
      </c>
      <c r="L10" s="85">
        <f>Multi_Family!G36</f>
        <v>0.24135100000000054</v>
      </c>
      <c r="M10" s="47"/>
      <c r="N10" s="108">
        <f t="shared" si="0"/>
        <v>4.070000000000001</v>
      </c>
      <c r="P10" s="52"/>
    </row>
    <row r="11" spans="1:16" ht="12.75">
      <c r="A11" s="49">
        <f t="shared" si="1"/>
        <v>43404</v>
      </c>
      <c r="B11" s="50" t="s">
        <v>52</v>
      </c>
      <c r="C11" s="85">
        <f>Multi_Family!H32</f>
        <v>0.0348</v>
      </c>
      <c r="D11" s="86">
        <f>Multi_Family!H34</f>
        <v>0.820352</v>
      </c>
      <c r="E11" s="85">
        <f>Multi_Family!H35</f>
        <v>0</v>
      </c>
      <c r="F11" s="85">
        <f>Multi_Family!H30</f>
        <v>0.07656</v>
      </c>
      <c r="G11" s="85">
        <f>Multi_Family!H27</f>
        <v>0</v>
      </c>
      <c r="H11" s="85">
        <f>Multi_Family!H37</f>
        <v>2.397952</v>
      </c>
      <c r="I11" s="85">
        <f>Multi_Family!H31/2</f>
        <v>0.104168</v>
      </c>
      <c r="J11" s="85">
        <f>Multi_Family!H31/2</f>
        <v>0.104168</v>
      </c>
      <c r="K11" s="85">
        <f>Multi_Family!H28</f>
        <v>0.8268479999999999</v>
      </c>
      <c r="L11" s="85">
        <f>Multi_Family!H36</f>
        <v>0.27515200000000056</v>
      </c>
      <c r="M11" s="47"/>
      <c r="N11" s="108">
        <f t="shared" si="0"/>
        <v>4.640000000000001</v>
      </c>
      <c r="P11" s="52"/>
    </row>
    <row r="12" spans="1:16" ht="12.75">
      <c r="A12" s="49">
        <f t="shared" si="1"/>
        <v>43434</v>
      </c>
      <c r="B12" s="50" t="s">
        <v>53</v>
      </c>
      <c r="C12" s="85">
        <f>Multi_Family!I32</f>
        <v>0</v>
      </c>
      <c r="D12" s="86">
        <f>Multi_Family!I34</f>
        <v>0</v>
      </c>
      <c r="E12" s="85">
        <f>Multi_Family!I35</f>
        <v>0</v>
      </c>
      <c r="F12" s="85">
        <f>Multi_Family!I30</f>
        <v>0</v>
      </c>
      <c r="G12" s="85">
        <f>Multi_Family!I27</f>
        <v>0</v>
      </c>
      <c r="H12" s="85">
        <f>Multi_Family!I37</f>
        <v>0</v>
      </c>
      <c r="I12" s="85">
        <f>Multi_Family!I31/2</f>
        <v>0</v>
      </c>
      <c r="J12" s="85">
        <f>Multi_Family!I31/2</f>
        <v>0</v>
      </c>
      <c r="K12" s="85">
        <f>Multi_Family!I28</f>
        <v>0</v>
      </c>
      <c r="L12" s="85">
        <f>Multi_Family!I36</f>
        <v>0</v>
      </c>
      <c r="M12" s="47"/>
      <c r="N12" s="108">
        <f t="shared" si="0"/>
        <v>0</v>
      </c>
      <c r="P12" s="52"/>
    </row>
    <row r="13" spans="1:16" ht="12.75">
      <c r="A13" s="49">
        <f t="shared" si="1"/>
        <v>43465</v>
      </c>
      <c r="B13" s="50" t="s">
        <v>54</v>
      </c>
      <c r="C13" s="85">
        <f>Multi_Family!J32</f>
        <v>0</v>
      </c>
      <c r="D13" s="86">
        <f>Multi_Family!J34</f>
        <v>0</v>
      </c>
      <c r="E13" s="85">
        <f>Multi_Family!J35</f>
        <v>0</v>
      </c>
      <c r="F13" s="85">
        <f>Multi_Family!J30</f>
        <v>0</v>
      </c>
      <c r="G13" s="85">
        <f>Multi_Family!J27</f>
        <v>0</v>
      </c>
      <c r="H13" s="85">
        <f>Multi_Family!J37</f>
        <v>0</v>
      </c>
      <c r="I13" s="85">
        <f>Multi_Family!J31/2</f>
        <v>0</v>
      </c>
      <c r="J13" s="85">
        <f>Multi_Family!J31/2</f>
        <v>0</v>
      </c>
      <c r="K13" s="85">
        <f>Multi_Family!J28</f>
        <v>0</v>
      </c>
      <c r="L13" s="85">
        <f>Multi_Family!J36</f>
        <v>0</v>
      </c>
      <c r="M13" s="47"/>
      <c r="N13" s="108">
        <f t="shared" si="0"/>
        <v>0</v>
      </c>
      <c r="P13" s="52"/>
    </row>
    <row r="14" spans="1:16" ht="12.75">
      <c r="A14" s="49">
        <f t="shared" si="1"/>
        <v>43496</v>
      </c>
      <c r="B14" s="50" t="s">
        <v>55</v>
      </c>
      <c r="C14" s="85">
        <f>Multi_Family!K32</f>
        <v>0</v>
      </c>
      <c r="D14" s="86">
        <f>Multi_Family!K34</f>
        <v>0</v>
      </c>
      <c r="E14" s="85">
        <f>Multi_Family!K35</f>
        <v>0</v>
      </c>
      <c r="F14" s="85">
        <f>Multi_Family!K30</f>
        <v>0</v>
      </c>
      <c r="G14" s="85">
        <f>Multi_Family!K27</f>
        <v>0</v>
      </c>
      <c r="H14" s="85">
        <f>Multi_Family!K37</f>
        <v>0</v>
      </c>
      <c r="I14" s="85">
        <f>Multi_Family!K31/2</f>
        <v>0</v>
      </c>
      <c r="J14" s="85">
        <f>Multi_Family!K31/2</f>
        <v>0</v>
      </c>
      <c r="K14" s="85">
        <f>Multi_Family!K28</f>
        <v>0</v>
      </c>
      <c r="L14" s="85">
        <f>Multi_Family!K36</f>
        <v>0</v>
      </c>
      <c r="M14" s="47"/>
      <c r="N14" s="108">
        <f t="shared" si="0"/>
        <v>0</v>
      </c>
      <c r="P14" s="52"/>
    </row>
    <row r="15" spans="1:16" ht="12.75">
      <c r="A15" s="49">
        <f t="shared" si="1"/>
        <v>43524</v>
      </c>
      <c r="B15" s="50" t="s">
        <v>56</v>
      </c>
      <c r="C15" s="85">
        <f>Multi_Family!L32</f>
        <v>0</v>
      </c>
      <c r="D15" s="86">
        <f>Multi_Family!L34</f>
        <v>0</v>
      </c>
      <c r="E15" s="85">
        <f>Multi_Family!L35</f>
        <v>0</v>
      </c>
      <c r="F15" s="85">
        <f>Multi_Family!L30</f>
        <v>0</v>
      </c>
      <c r="G15" s="85">
        <f>Multi_Family!L27</f>
        <v>0</v>
      </c>
      <c r="H15" s="85">
        <f>Multi_Family!L37</f>
        <v>0</v>
      </c>
      <c r="I15" s="85">
        <f>Multi_Family!L31/2</f>
        <v>0</v>
      </c>
      <c r="J15" s="85">
        <f>Multi_Family!L31/2</f>
        <v>0</v>
      </c>
      <c r="K15" s="85">
        <f>Multi_Family!L28</f>
        <v>0</v>
      </c>
      <c r="L15" s="85">
        <f>Multi_Family!L36</f>
        <v>0</v>
      </c>
      <c r="M15" s="47"/>
      <c r="N15" s="108">
        <f t="shared" si="0"/>
        <v>0</v>
      </c>
      <c r="P15" s="52"/>
    </row>
    <row r="16" spans="1:16" ht="12.75">
      <c r="A16" s="49">
        <f t="shared" si="1"/>
        <v>43555</v>
      </c>
      <c r="B16" s="50" t="s">
        <v>57</v>
      </c>
      <c r="C16" s="85">
        <f>Multi_Family!M32</f>
        <v>0</v>
      </c>
      <c r="D16" s="86">
        <f>Multi_Family!M34</f>
        <v>0</v>
      </c>
      <c r="E16" s="85">
        <f>Multi_Family!M35</f>
        <v>0</v>
      </c>
      <c r="F16" s="85">
        <f>Multi_Family!M30</f>
        <v>0</v>
      </c>
      <c r="G16" s="85">
        <f>Multi_Family!M27</f>
        <v>0</v>
      </c>
      <c r="H16" s="85">
        <f>Multi_Family!M37</f>
        <v>0</v>
      </c>
      <c r="I16" s="85">
        <f>Multi_Family!M31/2</f>
        <v>0</v>
      </c>
      <c r="J16" s="85">
        <f>Multi_Family!M31/2</f>
        <v>0</v>
      </c>
      <c r="K16" s="85">
        <f>Multi_Family!M28</f>
        <v>0</v>
      </c>
      <c r="L16" s="85">
        <f>Multi_Family!M36</f>
        <v>0</v>
      </c>
      <c r="M16" s="47"/>
      <c r="N16" s="108">
        <f t="shared" si="0"/>
        <v>0</v>
      </c>
      <c r="P16" s="52"/>
    </row>
    <row r="17" spans="1:16" ht="12.75">
      <c r="A17" s="49">
        <f t="shared" si="1"/>
        <v>43585</v>
      </c>
      <c r="B17" s="50" t="s">
        <v>58</v>
      </c>
      <c r="C17" s="85">
        <f>Multi_Family!N32</f>
        <v>0</v>
      </c>
      <c r="D17" s="86">
        <f>Multi_Family!N34</f>
        <v>0</v>
      </c>
      <c r="E17" s="85">
        <f>Multi_Family!N35</f>
        <v>0</v>
      </c>
      <c r="F17" s="85">
        <f>Multi_Family!N30</f>
        <v>0</v>
      </c>
      <c r="G17" s="85">
        <f>Multi_Family!N27</f>
        <v>0</v>
      </c>
      <c r="H17" s="85">
        <f>Multi_Family!N37</f>
        <v>0</v>
      </c>
      <c r="I17" s="85">
        <f>Multi_Family!N31/2</f>
        <v>0</v>
      </c>
      <c r="J17" s="85">
        <f>Multi_Family!N31/2</f>
        <v>0</v>
      </c>
      <c r="K17" s="85">
        <f>Multi_Family!N28</f>
        <v>0</v>
      </c>
      <c r="L17" s="85">
        <f>Multi_Family!N36</f>
        <v>0</v>
      </c>
      <c r="M17" s="47"/>
      <c r="N17" s="108">
        <f t="shared" si="0"/>
        <v>0</v>
      </c>
      <c r="P17" s="52"/>
    </row>
    <row r="18" spans="1:15" ht="12.75">
      <c r="A18" s="53" t="s">
        <v>25</v>
      </c>
      <c r="B18" s="50"/>
      <c r="C18" s="119">
        <f aca="true" t="shared" si="2" ref="C18:L18">SUM(C6:C17)</f>
        <v>0.222825</v>
      </c>
      <c r="D18" s="119">
        <f t="shared" si="2"/>
        <v>5.252728</v>
      </c>
      <c r="E18" s="119">
        <f t="shared" si="2"/>
        <v>0</v>
      </c>
      <c r="F18" s="119">
        <f t="shared" si="2"/>
        <v>0.49021500000000007</v>
      </c>
      <c r="G18" s="119">
        <f t="shared" si="2"/>
        <v>0</v>
      </c>
      <c r="H18" s="119">
        <f t="shared" si="2"/>
        <v>15.354128000000003</v>
      </c>
      <c r="I18" s="119">
        <f t="shared" si="2"/>
        <v>0.6669895000000001</v>
      </c>
      <c r="J18" s="119">
        <f t="shared" si="2"/>
        <v>0.6669895000000001</v>
      </c>
      <c r="K18" s="119">
        <f t="shared" si="2"/>
        <v>5.294322</v>
      </c>
      <c r="L18" s="119">
        <f t="shared" si="2"/>
        <v>1.7618030000000038</v>
      </c>
      <c r="M18" s="47"/>
      <c r="N18" s="120">
        <f>SUM(N6:N17)</f>
        <v>29.710000000000004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28125" style="112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"&amp;TEXT(A9,"mmmm yyyy")&amp;")"</f>
        <v>Commodity Pricing (May 2018 through October 2018)</v>
      </c>
      <c r="B1" s="109"/>
    </row>
    <row r="2" spans="1:2" ht="12.75">
      <c r="A2" s="43" t="s">
        <v>60</v>
      </c>
      <c r="B2" s="110"/>
    </row>
    <row r="3" spans="2:13" ht="12.75">
      <c r="B3" s="111"/>
      <c r="C3" s="45" t="s">
        <v>14</v>
      </c>
      <c r="D3" s="45" t="s">
        <v>15</v>
      </c>
      <c r="E3" s="45" t="s">
        <v>26</v>
      </c>
      <c r="F3" s="45" t="s">
        <v>16</v>
      </c>
      <c r="G3" s="45" t="s">
        <v>17</v>
      </c>
      <c r="H3" s="45" t="s">
        <v>18</v>
      </c>
      <c r="I3" s="45" t="s">
        <v>19</v>
      </c>
      <c r="J3" s="45" t="s">
        <v>20</v>
      </c>
      <c r="K3" s="45" t="s">
        <v>21</v>
      </c>
      <c r="L3" s="45" t="s">
        <v>22</v>
      </c>
      <c r="M3" s="45"/>
    </row>
    <row r="4" spans="1:13" ht="15.75" customHeight="1">
      <c r="A4" s="107">
        <f>Multi_Family!$C$6</f>
        <v>43221</v>
      </c>
      <c r="B4" s="111" t="s">
        <v>47</v>
      </c>
      <c r="C4" s="121">
        <f>Multi_Family!C74</f>
        <v>1082.85</v>
      </c>
      <c r="D4" s="121">
        <f>Multi_Family!C76</f>
        <v>-25.26</v>
      </c>
      <c r="E4" s="121">
        <f>Multi_Family!C77</f>
        <v>0</v>
      </c>
      <c r="F4" s="121">
        <f>Multi_Family!C72</f>
        <v>90.64</v>
      </c>
      <c r="G4" s="121">
        <f>Multi_Family!C69</f>
        <v>0</v>
      </c>
      <c r="H4" s="121">
        <f>Multi_Family!C79</f>
        <v>-14.309999999999999</v>
      </c>
      <c r="I4" s="121">
        <f>Multi_Family!C73</f>
        <v>100.47</v>
      </c>
      <c r="J4" s="121">
        <f>Multi_Family!C73</f>
        <v>100.47</v>
      </c>
      <c r="K4" s="121">
        <f>Multi_Family!C70</f>
        <v>43.519999999999996</v>
      </c>
      <c r="L4" s="121">
        <f>Multi_Family!C78</f>
        <v>-134.59</v>
      </c>
      <c r="M4" s="135"/>
    </row>
    <row r="5" spans="1:13" ht="15.75" customHeight="1">
      <c r="A5" s="49">
        <f aca="true" t="shared" si="0" ref="A5:A15">EOMONTH(A4,1)</f>
        <v>43281</v>
      </c>
      <c r="B5" s="111" t="s">
        <v>48</v>
      </c>
      <c r="C5" s="121">
        <f>Multi_Family!D74</f>
        <v>1119.26</v>
      </c>
      <c r="D5" s="121">
        <f>Multi_Family!D76</f>
        <v>-19.13</v>
      </c>
      <c r="E5" s="121">
        <f>Multi_Family!D77</f>
        <v>0</v>
      </c>
      <c r="F5" s="121">
        <f>Multi_Family!D72</f>
        <v>93.07</v>
      </c>
      <c r="G5" s="121">
        <f>Multi_Family!D69</f>
        <v>0</v>
      </c>
      <c r="H5" s="121">
        <f>Multi_Family!D79</f>
        <v>2</v>
      </c>
      <c r="I5" s="121">
        <f>Multi_Family!D73</f>
        <v>87.96</v>
      </c>
      <c r="J5" s="121">
        <f>Multi_Family!D73</f>
        <v>87.96</v>
      </c>
      <c r="K5" s="121">
        <f>Multi_Family!D70</f>
        <v>60.11</v>
      </c>
      <c r="L5" s="121">
        <f>Multi_Family!D78</f>
        <v>-134.59</v>
      </c>
      <c r="M5" s="135"/>
    </row>
    <row r="6" spans="1:13" ht="15.75" customHeight="1">
      <c r="A6" s="49">
        <f t="shared" si="0"/>
        <v>43312</v>
      </c>
      <c r="B6" s="112" t="s">
        <v>49</v>
      </c>
      <c r="C6" s="121">
        <f>Multi_Family!E74</f>
        <v>1065.13</v>
      </c>
      <c r="D6" s="121">
        <f>Multi_Family!E76</f>
        <v>-3.5700000000000003</v>
      </c>
      <c r="E6" s="121">
        <f>Multi_Family!E77</f>
        <v>0</v>
      </c>
      <c r="F6" s="121">
        <f>Multi_Family!E72</f>
        <v>91.06</v>
      </c>
      <c r="G6" s="121">
        <f>Multi_Family!E69</f>
        <v>0</v>
      </c>
      <c r="H6" s="121">
        <f>Multi_Family!E79</f>
        <v>4.19</v>
      </c>
      <c r="I6" s="121">
        <f>Multi_Family!E73</f>
        <v>109.23</v>
      </c>
      <c r="J6" s="121">
        <f>Multi_Family!E73</f>
        <v>109.23</v>
      </c>
      <c r="K6" s="121">
        <f>Multi_Family!E70</f>
        <v>68.38</v>
      </c>
      <c r="L6" s="121">
        <f>Multi_Family!E78</f>
        <v>-134.59</v>
      </c>
      <c r="M6" s="135"/>
    </row>
    <row r="7" spans="1:13" ht="15.75" customHeight="1">
      <c r="A7" s="49">
        <f t="shared" si="0"/>
        <v>43343</v>
      </c>
      <c r="B7" s="112" t="s">
        <v>50</v>
      </c>
      <c r="C7" s="121">
        <f>Multi_Family!F74</f>
        <v>1065.13</v>
      </c>
      <c r="D7" s="121">
        <f>Multi_Family!F76</f>
        <v>0.74</v>
      </c>
      <c r="E7" s="121">
        <f>Multi_Family!F77</f>
        <v>0</v>
      </c>
      <c r="F7" s="121">
        <f>Multi_Family!F72</f>
        <v>61.85</v>
      </c>
      <c r="G7" s="121">
        <f>Multi_Family!F69</f>
        <v>0</v>
      </c>
      <c r="H7" s="121">
        <f>Multi_Family!F79</f>
        <v>8.42</v>
      </c>
      <c r="I7" s="121">
        <f>Multi_Family!F73</f>
        <v>168.5</v>
      </c>
      <c r="J7" s="121">
        <f>Multi_Family!F73</f>
        <v>168.5</v>
      </c>
      <c r="K7" s="121">
        <f>Multi_Family!F70</f>
        <v>60.64</v>
      </c>
      <c r="L7" s="121">
        <f>Multi_Family!F78</f>
        <v>-134.59</v>
      </c>
      <c r="M7" s="135"/>
    </row>
    <row r="8" spans="1:13" ht="15.75" customHeight="1">
      <c r="A8" s="49">
        <f t="shared" si="0"/>
        <v>43373</v>
      </c>
      <c r="B8" s="112" t="s">
        <v>51</v>
      </c>
      <c r="C8" s="121">
        <f>Multi_Family!G74</f>
        <v>940.58</v>
      </c>
      <c r="D8" s="121">
        <f>Multi_Family!G76</f>
        <v>-14.63</v>
      </c>
      <c r="E8" s="121">
        <f>Multi_Family!G77</f>
        <v>0</v>
      </c>
      <c r="F8" s="121">
        <f>Multi_Family!G72</f>
        <v>69.65</v>
      </c>
      <c r="G8" s="121">
        <f>Multi_Family!G69</f>
        <v>0</v>
      </c>
      <c r="H8" s="121">
        <f>Multi_Family!G79</f>
        <v>26.9</v>
      </c>
      <c r="I8" s="121">
        <f>Multi_Family!G73</f>
        <v>78.83</v>
      </c>
      <c r="J8" s="121">
        <f>Multi_Family!G73</f>
        <v>78.83</v>
      </c>
      <c r="K8" s="121">
        <f>Multi_Family!G70</f>
        <v>63.85</v>
      </c>
      <c r="L8" s="121">
        <f>Multi_Family!G78</f>
        <v>-134.59</v>
      </c>
      <c r="M8" s="135"/>
    </row>
    <row r="9" spans="1:13" ht="15.75" customHeight="1">
      <c r="A9" s="49">
        <f t="shared" si="0"/>
        <v>43404</v>
      </c>
      <c r="B9" s="112" t="s">
        <v>52</v>
      </c>
      <c r="C9" s="121">
        <f>Multi_Family!H74</f>
        <v>918.23</v>
      </c>
      <c r="D9" s="121">
        <f>Multi_Family!H76</f>
        <v>-16.67</v>
      </c>
      <c r="E9" s="121">
        <f>Multi_Family!H77</f>
        <v>0</v>
      </c>
      <c r="F9" s="121">
        <f>Multi_Family!H72</f>
        <v>78.18</v>
      </c>
      <c r="G9" s="121">
        <f>Multi_Family!H69</f>
        <v>0</v>
      </c>
      <c r="H9" s="121">
        <f>Multi_Family!H79</f>
        <v>25.77</v>
      </c>
      <c r="I9" s="121">
        <f>Multi_Family!H73</f>
        <v>75.26</v>
      </c>
      <c r="J9" s="121">
        <f>Multi_Family!H73</f>
        <v>75.26</v>
      </c>
      <c r="K9" s="121">
        <f>Multi_Family!H70</f>
        <v>71.68</v>
      </c>
      <c r="L9" s="121">
        <f>Multi_Family!H78</f>
        <v>-134.59</v>
      </c>
      <c r="M9" s="135"/>
    </row>
    <row r="10" spans="1:13" ht="15.75" customHeight="1">
      <c r="A10" s="49">
        <f t="shared" si="0"/>
        <v>43434</v>
      </c>
      <c r="B10" s="112" t="s">
        <v>53</v>
      </c>
      <c r="C10" s="121">
        <f>Multi_Family!I74</f>
        <v>0</v>
      </c>
      <c r="D10" s="121">
        <f>Multi_Family!I76</f>
        <v>0</v>
      </c>
      <c r="E10" s="121">
        <f>Multi_Family!G77</f>
        <v>0</v>
      </c>
      <c r="F10" s="121">
        <f>Multi_Family!I72</f>
        <v>0</v>
      </c>
      <c r="G10" s="121">
        <f>Multi_Family!I69</f>
        <v>0</v>
      </c>
      <c r="H10" s="121">
        <f>Multi_Family!I79</f>
        <v>0</v>
      </c>
      <c r="I10" s="121">
        <f>Multi_Family!I73</f>
        <v>0</v>
      </c>
      <c r="J10" s="121">
        <f>Multi_Family!I73</f>
        <v>0</v>
      </c>
      <c r="K10" s="121">
        <f>Multi_Family!I70</f>
        <v>0</v>
      </c>
      <c r="L10" s="121">
        <f>Multi_Family!I78</f>
        <v>0</v>
      </c>
      <c r="M10" s="135"/>
    </row>
    <row r="11" spans="1:13" ht="15.75" customHeight="1">
      <c r="A11" s="49">
        <f t="shared" si="0"/>
        <v>43465</v>
      </c>
      <c r="B11" s="112" t="s">
        <v>54</v>
      </c>
      <c r="C11" s="121">
        <f>Multi_Family!J74</f>
        <v>0</v>
      </c>
      <c r="D11" s="121">
        <f>Multi_Family!J76</f>
        <v>0</v>
      </c>
      <c r="E11" s="121">
        <f>Multi_Family!J77</f>
        <v>0</v>
      </c>
      <c r="F11" s="121">
        <f>Multi_Family!J72</f>
        <v>0</v>
      </c>
      <c r="G11" s="121">
        <f>Multi_Family!J69</f>
        <v>0</v>
      </c>
      <c r="H11" s="121">
        <f>Multi_Family!J79</f>
        <v>0</v>
      </c>
      <c r="I11" s="121">
        <f>Multi_Family!J73</f>
        <v>0</v>
      </c>
      <c r="J11" s="121">
        <f>Multi_Family!J73</f>
        <v>0</v>
      </c>
      <c r="K11" s="121">
        <f>Multi_Family!J70</f>
        <v>0</v>
      </c>
      <c r="L11" s="121">
        <f>Multi_Family!J78</f>
        <v>0</v>
      </c>
      <c r="M11" s="135"/>
    </row>
    <row r="12" spans="1:13" ht="15.75" customHeight="1">
      <c r="A12" s="49">
        <f t="shared" si="0"/>
        <v>43496</v>
      </c>
      <c r="B12" s="112" t="s">
        <v>55</v>
      </c>
      <c r="C12" s="121">
        <f>Multi_Family!K74</f>
        <v>0</v>
      </c>
      <c r="D12" s="121">
        <f>Multi_Family!K76</f>
        <v>0</v>
      </c>
      <c r="E12" s="121">
        <f>Multi_Family!K77</f>
        <v>0</v>
      </c>
      <c r="F12" s="121">
        <f>Multi_Family!K72</f>
        <v>0</v>
      </c>
      <c r="G12" s="121">
        <f>Multi_Family!K69</f>
        <v>0</v>
      </c>
      <c r="H12" s="121">
        <f>Multi_Family!K79</f>
        <v>0</v>
      </c>
      <c r="I12" s="121">
        <f>Multi_Family!K73</f>
        <v>0</v>
      </c>
      <c r="J12" s="121">
        <f>Multi_Family!K73</f>
        <v>0</v>
      </c>
      <c r="K12" s="121">
        <f>Multi_Family!K70</f>
        <v>0</v>
      </c>
      <c r="L12" s="121">
        <f>Multi_Family!K78</f>
        <v>0</v>
      </c>
      <c r="M12" s="135"/>
    </row>
    <row r="13" spans="1:13" ht="15.75" customHeight="1">
      <c r="A13" s="49">
        <f t="shared" si="0"/>
        <v>43524</v>
      </c>
      <c r="B13" s="112" t="s">
        <v>56</v>
      </c>
      <c r="C13" s="121">
        <f>Multi_Family!L74</f>
        <v>0</v>
      </c>
      <c r="D13" s="121">
        <f>Multi_Family!L76</f>
        <v>0</v>
      </c>
      <c r="E13" s="121">
        <f>Multi_Family!L77</f>
        <v>0</v>
      </c>
      <c r="F13" s="121">
        <f>Multi_Family!L72</f>
        <v>0</v>
      </c>
      <c r="G13" s="121">
        <f>Multi_Family!L69</f>
        <v>0</v>
      </c>
      <c r="H13" s="121">
        <f>Multi_Family!L79</f>
        <v>0</v>
      </c>
      <c r="I13" s="121">
        <f>Multi_Family!L73</f>
        <v>0</v>
      </c>
      <c r="J13" s="121">
        <f>Multi_Family!L73</f>
        <v>0</v>
      </c>
      <c r="K13" s="121">
        <f>Multi_Family!L70</f>
        <v>0</v>
      </c>
      <c r="L13" s="121">
        <f>Multi_Family!L78</f>
        <v>0</v>
      </c>
      <c r="M13" s="135"/>
    </row>
    <row r="14" spans="1:13" ht="15.75" customHeight="1">
      <c r="A14" s="49">
        <f t="shared" si="0"/>
        <v>43555</v>
      </c>
      <c r="B14" s="112" t="s">
        <v>57</v>
      </c>
      <c r="C14" s="121">
        <f>Multi_Family!M74</f>
        <v>0</v>
      </c>
      <c r="D14" s="121">
        <f>Multi_Family!M76</f>
        <v>0</v>
      </c>
      <c r="E14" s="121">
        <f>Multi_Family!M77</f>
        <v>0</v>
      </c>
      <c r="F14" s="121">
        <f>Multi_Family!M72</f>
        <v>0</v>
      </c>
      <c r="G14" s="121">
        <f>Multi_Family!M69</f>
        <v>0</v>
      </c>
      <c r="H14" s="121">
        <f>Multi_Family!M79</f>
        <v>0</v>
      </c>
      <c r="I14" s="121">
        <f>Multi_Family!M73</f>
        <v>0</v>
      </c>
      <c r="J14" s="121">
        <f>Multi_Family!M73</f>
        <v>0</v>
      </c>
      <c r="K14" s="121">
        <f>Multi_Family!M70</f>
        <v>0</v>
      </c>
      <c r="L14" s="121">
        <f>Multi_Family!M78</f>
        <v>0</v>
      </c>
      <c r="M14" s="135"/>
    </row>
    <row r="15" spans="1:13" ht="15.75" customHeight="1">
      <c r="A15" s="49">
        <f t="shared" si="0"/>
        <v>43585</v>
      </c>
      <c r="B15" s="112" t="s">
        <v>58</v>
      </c>
      <c r="C15" s="121">
        <f>Multi_Family!N74</f>
        <v>0</v>
      </c>
      <c r="D15" s="121">
        <f>Multi_Family!N76</f>
        <v>0</v>
      </c>
      <c r="E15" s="121">
        <f>Multi_Family!N77</f>
        <v>0</v>
      </c>
      <c r="F15" s="121">
        <f>Multi_Family!N72</f>
        <v>0</v>
      </c>
      <c r="G15" s="121">
        <f>Multi_Family!N69</f>
        <v>0</v>
      </c>
      <c r="H15" s="121">
        <f>Multi_Family!N79</f>
        <v>0</v>
      </c>
      <c r="I15" s="121">
        <f>Multi_Family!N73</f>
        <v>0</v>
      </c>
      <c r="J15" s="121">
        <f>Multi_Family!N73</f>
        <v>0</v>
      </c>
      <c r="K15" s="121">
        <f>Multi_Family!N70</f>
        <v>0</v>
      </c>
      <c r="L15" s="121">
        <f>Multi_Family!N78</f>
        <v>0</v>
      </c>
      <c r="M15" s="135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24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43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C13" sqref="C13:H23"/>
    </sheetView>
  </sheetViews>
  <sheetFormatPr defaultColWidth="9.140625" defaultRowHeight="12.75"/>
  <cols>
    <col min="1" max="1" width="6.00390625" style="50" customWidth="1"/>
    <col min="2" max="2" width="17.8515625" style="50" customWidth="1"/>
    <col min="3" max="4" width="9.8515625" style="50" customWidth="1"/>
    <col min="5" max="5" width="11.28125" style="50" customWidth="1"/>
    <col min="6" max="7" width="9.57421875" style="50" customWidth="1"/>
    <col min="8" max="8" width="9.8515625" style="50" customWidth="1"/>
    <col min="9" max="9" width="10.421875" style="50" customWidth="1"/>
    <col min="10" max="10" width="10.7109375" style="50" customWidth="1"/>
    <col min="11" max="14" width="9.140625" style="50" customWidth="1"/>
    <col min="15" max="15" width="10.7109375" style="50" bestFit="1" customWidth="1"/>
    <col min="16" max="16" width="9.140625" style="50" customWidth="1"/>
    <col min="17" max="18" width="9.7109375" style="50" bestFit="1" customWidth="1"/>
    <col min="19" max="16384" width="9.140625" style="50" customWidth="1"/>
  </cols>
  <sheetData>
    <row r="1" ht="11.25"/>
    <row r="2" spans="2:3" ht="11.25">
      <c r="B2" s="132" t="str">
        <f>+'WUTC_AW of Kent (SeaTac)_MF'!A1</f>
        <v>Rabanco Ltd (dba Allied Waste of Kent)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43221</v>
      </c>
      <c r="D6" s="68">
        <f aca="true" t="shared" si="0" ref="D6:N6">EOMONTH(C6,1)</f>
        <v>43281</v>
      </c>
      <c r="E6" s="68">
        <f t="shared" si="0"/>
        <v>43312</v>
      </c>
      <c r="F6" s="68">
        <f t="shared" si="0"/>
        <v>43343</v>
      </c>
      <c r="G6" s="68">
        <f t="shared" si="0"/>
        <v>43373</v>
      </c>
      <c r="H6" s="68">
        <f t="shared" si="0"/>
        <v>43404</v>
      </c>
      <c r="I6" s="68">
        <f t="shared" si="0"/>
        <v>43434</v>
      </c>
      <c r="J6" s="68">
        <f t="shared" si="0"/>
        <v>43465</v>
      </c>
      <c r="K6" s="68">
        <f t="shared" si="0"/>
        <v>43496</v>
      </c>
      <c r="L6" s="68">
        <f t="shared" si="0"/>
        <v>43524</v>
      </c>
      <c r="M6" s="68">
        <f t="shared" si="0"/>
        <v>43555</v>
      </c>
      <c r="N6" s="68">
        <f t="shared" si="0"/>
        <v>43585</v>
      </c>
    </row>
    <row r="7" spans="1:14" s="51" customFormat="1" ht="11.25">
      <c r="A7" s="69" t="s">
        <v>27</v>
      </c>
      <c r="C7" s="104">
        <v>6.11</v>
      </c>
      <c r="D7" s="104">
        <v>4.6</v>
      </c>
      <c r="E7" s="104">
        <v>5.08</v>
      </c>
      <c r="F7" s="104">
        <v>5.21</v>
      </c>
      <c r="G7" s="104">
        <v>4.07</v>
      </c>
      <c r="H7" s="149">
        <v>4.64</v>
      </c>
      <c r="I7" s="104"/>
      <c r="J7" s="104"/>
      <c r="K7" s="104"/>
      <c r="L7" s="104"/>
      <c r="M7" s="104"/>
      <c r="N7" s="104"/>
    </row>
    <row r="8" spans="1:14" ht="11.25">
      <c r="A8" s="50" t="s">
        <v>28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29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30</v>
      </c>
      <c r="C10" s="72">
        <f aca="true" t="shared" si="2" ref="C10:N10">+C7-C9</f>
        <v>6.11</v>
      </c>
      <c r="D10" s="72">
        <f t="shared" si="2"/>
        <v>4.6</v>
      </c>
      <c r="E10" s="72">
        <f t="shared" si="2"/>
        <v>5.08</v>
      </c>
      <c r="F10" s="72">
        <f t="shared" si="2"/>
        <v>5.21</v>
      </c>
      <c r="G10" s="72">
        <f t="shared" si="2"/>
        <v>4.07</v>
      </c>
      <c r="H10" s="72">
        <f t="shared" si="2"/>
        <v>4.64</v>
      </c>
      <c r="I10" s="72">
        <f t="shared" si="2"/>
        <v>0</v>
      </c>
      <c r="J10" s="72">
        <f t="shared" si="2"/>
        <v>0</v>
      </c>
      <c r="K10" s="72">
        <f t="shared" si="2"/>
        <v>0</v>
      </c>
      <c r="L10" s="72">
        <f t="shared" si="2"/>
        <v>0</v>
      </c>
      <c r="M10" s="72">
        <f t="shared" si="2"/>
        <v>0</v>
      </c>
      <c r="N10" s="72">
        <f t="shared" si="2"/>
        <v>0</v>
      </c>
    </row>
    <row r="11" ht="11.25"/>
    <row r="12" ht="11.25">
      <c r="A12" s="64" t="s">
        <v>31</v>
      </c>
    </row>
    <row r="13" spans="2:14" s="73" customFormat="1" ht="11.25">
      <c r="B13" s="73" t="s">
        <v>17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/>
      <c r="J13" s="105"/>
      <c r="K13" s="105"/>
      <c r="L13" s="105"/>
      <c r="M13" s="105"/>
      <c r="N13" s="105"/>
    </row>
    <row r="14" spans="2:14" s="73" customFormat="1" ht="11.25">
      <c r="B14" s="73" t="s">
        <v>21</v>
      </c>
      <c r="C14" s="105">
        <v>0.1782</v>
      </c>
      <c r="D14" s="105">
        <v>0.1782</v>
      </c>
      <c r="E14" s="105">
        <v>0.1782</v>
      </c>
      <c r="F14" s="105">
        <v>0.1782</v>
      </c>
      <c r="G14" s="105">
        <v>0.1782</v>
      </c>
      <c r="H14" s="105">
        <v>0.1782</v>
      </c>
      <c r="I14" s="105"/>
      <c r="J14" s="105"/>
      <c r="K14" s="105"/>
      <c r="L14" s="105"/>
      <c r="M14" s="105"/>
      <c r="N14" s="105"/>
    </row>
    <row r="15" spans="2:14" s="73" customFormat="1" ht="11.25">
      <c r="B15" s="73" t="s">
        <v>32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/>
      <c r="J15" s="105"/>
      <c r="K15" s="105"/>
      <c r="L15" s="105"/>
      <c r="M15" s="105"/>
      <c r="N15" s="105"/>
    </row>
    <row r="16" spans="2:14" s="73" customFormat="1" ht="11.25">
      <c r="B16" s="73" t="s">
        <v>33</v>
      </c>
      <c r="C16" s="105">
        <v>0.0165</v>
      </c>
      <c r="D16" s="105">
        <v>0.0165</v>
      </c>
      <c r="E16" s="105">
        <v>0.0165</v>
      </c>
      <c r="F16" s="105">
        <v>0.0165</v>
      </c>
      <c r="G16" s="105">
        <v>0.0165</v>
      </c>
      <c r="H16" s="105">
        <v>0.0165</v>
      </c>
      <c r="I16" s="105"/>
      <c r="J16" s="105"/>
      <c r="K16" s="105"/>
      <c r="L16" s="105"/>
      <c r="M16" s="105"/>
      <c r="N16" s="105"/>
    </row>
    <row r="17" spans="2:14" s="73" customFormat="1" ht="11.25">
      <c r="B17" s="73" t="s">
        <v>34</v>
      </c>
      <c r="C17" s="105">
        <v>0.0449</v>
      </c>
      <c r="D17" s="105">
        <v>0.0449</v>
      </c>
      <c r="E17" s="105">
        <v>0.0449</v>
      </c>
      <c r="F17" s="105">
        <v>0.0449</v>
      </c>
      <c r="G17" s="105">
        <v>0.0449</v>
      </c>
      <c r="H17" s="105">
        <v>0.0449</v>
      </c>
      <c r="I17" s="105"/>
      <c r="J17" s="105"/>
      <c r="K17" s="105"/>
      <c r="L17" s="105"/>
      <c r="M17" s="105"/>
      <c r="N17" s="105"/>
    </row>
    <row r="18" spans="2:14" s="73" customFormat="1" ht="11.25">
      <c r="B18" s="73" t="s">
        <v>35</v>
      </c>
      <c r="C18" s="105">
        <v>0.0075</v>
      </c>
      <c r="D18" s="105">
        <v>0.0075</v>
      </c>
      <c r="E18" s="105">
        <v>0.0075</v>
      </c>
      <c r="F18" s="105">
        <v>0.0075</v>
      </c>
      <c r="G18" s="105">
        <v>0.0075</v>
      </c>
      <c r="H18" s="105">
        <v>0.0075</v>
      </c>
      <c r="I18" s="105"/>
      <c r="J18" s="105"/>
      <c r="K18" s="105"/>
      <c r="L18" s="105"/>
      <c r="M18" s="105"/>
      <c r="N18" s="105"/>
    </row>
    <row r="19" spans="2:14" s="73" customFormat="1" ht="11.25">
      <c r="B19" s="50" t="s">
        <v>36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/>
      <c r="J19" s="105"/>
      <c r="K19" s="105"/>
      <c r="L19" s="105"/>
      <c r="M19" s="105"/>
      <c r="N19" s="105"/>
    </row>
    <row r="20" spans="2:14" s="73" customFormat="1" ht="11.25">
      <c r="B20" s="50" t="s">
        <v>15</v>
      </c>
      <c r="C20" s="105">
        <v>0.1768</v>
      </c>
      <c r="D20" s="105">
        <v>0.1768</v>
      </c>
      <c r="E20" s="105">
        <v>0.1768</v>
      </c>
      <c r="F20" s="105">
        <v>0.1768</v>
      </c>
      <c r="G20" s="105">
        <v>0.1768</v>
      </c>
      <c r="H20" s="105">
        <v>0.1768</v>
      </c>
      <c r="I20" s="105"/>
      <c r="J20" s="105"/>
      <c r="K20" s="105"/>
      <c r="L20" s="105"/>
      <c r="M20" s="105"/>
      <c r="N20" s="105"/>
    </row>
    <row r="21" spans="2:14" s="73" customFormat="1" ht="11.25">
      <c r="B21" s="73" t="s">
        <v>37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/>
      <c r="J21" s="105"/>
      <c r="K21" s="105"/>
      <c r="L21" s="105"/>
      <c r="M21" s="105"/>
      <c r="N21" s="105"/>
    </row>
    <row r="22" spans="2:14" s="73" customFormat="1" ht="11.25">
      <c r="B22" s="73" t="s">
        <v>38</v>
      </c>
      <c r="C22" s="105">
        <v>0.05930000000000013</v>
      </c>
      <c r="D22" s="105">
        <v>0.05930000000000013</v>
      </c>
      <c r="E22" s="105">
        <v>0.05930000000000013</v>
      </c>
      <c r="F22" s="105">
        <v>0.05930000000000013</v>
      </c>
      <c r="G22" s="105">
        <v>0.05930000000000013</v>
      </c>
      <c r="H22" s="105">
        <v>0.05930000000000013</v>
      </c>
      <c r="I22" s="105"/>
      <c r="J22" s="105"/>
      <c r="K22" s="105"/>
      <c r="L22" s="105"/>
      <c r="M22" s="105"/>
      <c r="N22" s="105"/>
    </row>
    <row r="23" spans="2:14" s="73" customFormat="1" ht="11.25">
      <c r="B23" s="73" t="s">
        <v>39</v>
      </c>
      <c r="C23" s="106">
        <v>0.5168</v>
      </c>
      <c r="D23" s="105">
        <v>0.5168</v>
      </c>
      <c r="E23" s="105">
        <v>0.5168</v>
      </c>
      <c r="F23" s="105">
        <v>0.5168</v>
      </c>
      <c r="G23" s="105">
        <v>0.5168</v>
      </c>
      <c r="H23" s="105">
        <v>0.5168</v>
      </c>
      <c r="I23" s="105"/>
      <c r="J23" s="105"/>
      <c r="K23" s="105"/>
      <c r="L23" s="105"/>
      <c r="M23" s="105"/>
      <c r="N23" s="105"/>
    </row>
    <row r="24" spans="3:14" ht="11.2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11.25">
      <c r="A26" s="64" t="s">
        <v>40</v>
      </c>
    </row>
    <row r="27" spans="2:14" ht="11.25">
      <c r="B27" s="50" t="s">
        <v>17</v>
      </c>
      <c r="C27" s="60">
        <f aca="true" t="shared" si="3" ref="C27:C37">+C$10*C13</f>
        <v>0</v>
      </c>
      <c r="D27" s="60">
        <f aca="true" t="shared" si="4" ref="D27:N27">+D$10*D13</f>
        <v>0</v>
      </c>
      <c r="E27" s="60">
        <f t="shared" si="4"/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0</v>
      </c>
    </row>
    <row r="28" spans="2:14" ht="11.25">
      <c r="B28" s="50" t="s">
        <v>21</v>
      </c>
      <c r="C28" s="60">
        <f t="shared" si="3"/>
        <v>1.088802</v>
      </c>
      <c r="D28" s="60">
        <f aca="true" t="shared" si="5" ref="D28:N28">+D$10*D14</f>
        <v>0.8197199999999999</v>
      </c>
      <c r="E28" s="60">
        <f t="shared" si="5"/>
        <v>0.905256</v>
      </c>
      <c r="F28" s="60">
        <f t="shared" si="5"/>
        <v>0.928422</v>
      </c>
      <c r="G28" s="60">
        <f t="shared" si="5"/>
        <v>0.7252740000000001</v>
      </c>
      <c r="H28" s="60">
        <f t="shared" si="5"/>
        <v>0.8268479999999999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</row>
    <row r="29" spans="2:14" ht="11.25">
      <c r="B29" s="50" t="s">
        <v>32</v>
      </c>
      <c r="C29" s="60">
        <f t="shared" si="3"/>
        <v>0</v>
      </c>
      <c r="D29" s="60">
        <f aca="true" t="shared" si="6" ref="D29:N29">+D$10*D15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60">
        <f t="shared" si="6"/>
        <v>0</v>
      </c>
      <c r="N29" s="60">
        <f t="shared" si="6"/>
        <v>0</v>
      </c>
    </row>
    <row r="30" spans="2:14" ht="11.25">
      <c r="B30" s="50" t="s">
        <v>33</v>
      </c>
      <c r="C30" s="60">
        <f t="shared" si="3"/>
        <v>0.10081500000000002</v>
      </c>
      <c r="D30" s="60">
        <f aca="true" t="shared" si="7" ref="D30:N30">+D$10*D16</f>
        <v>0.0759</v>
      </c>
      <c r="E30" s="60">
        <f t="shared" si="7"/>
        <v>0.08382</v>
      </c>
      <c r="F30" s="60">
        <f t="shared" si="7"/>
        <v>0.085965</v>
      </c>
      <c r="G30" s="60">
        <f t="shared" si="7"/>
        <v>0.067155</v>
      </c>
      <c r="H30" s="60">
        <f t="shared" si="7"/>
        <v>0.07656</v>
      </c>
      <c r="I30" s="60">
        <f t="shared" si="7"/>
        <v>0</v>
      </c>
      <c r="J30" s="60">
        <f t="shared" si="7"/>
        <v>0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</row>
    <row r="31" spans="2:14" ht="11.25">
      <c r="B31" s="50" t="s">
        <v>34</v>
      </c>
      <c r="C31" s="60">
        <f t="shared" si="3"/>
        <v>0.27433900000000006</v>
      </c>
      <c r="D31" s="60">
        <f aca="true" t="shared" si="8" ref="D31:N31">+D$10*D17</f>
        <v>0.20654</v>
      </c>
      <c r="E31" s="60">
        <f t="shared" si="8"/>
        <v>0.22809200000000002</v>
      </c>
      <c r="F31" s="60">
        <f t="shared" si="8"/>
        <v>0.233929</v>
      </c>
      <c r="G31" s="60">
        <f t="shared" si="8"/>
        <v>0.18274300000000002</v>
      </c>
      <c r="H31" s="60">
        <f t="shared" si="8"/>
        <v>0.208336</v>
      </c>
      <c r="I31" s="60">
        <f t="shared" si="8"/>
        <v>0</v>
      </c>
      <c r="J31" s="60">
        <f t="shared" si="8"/>
        <v>0</v>
      </c>
      <c r="K31" s="60">
        <f t="shared" si="8"/>
        <v>0</v>
      </c>
      <c r="L31" s="60">
        <f t="shared" si="8"/>
        <v>0</v>
      </c>
      <c r="M31" s="60">
        <f t="shared" si="8"/>
        <v>0</v>
      </c>
      <c r="N31" s="60">
        <f t="shared" si="8"/>
        <v>0</v>
      </c>
    </row>
    <row r="32" spans="2:14" ht="11.25">
      <c r="B32" s="50" t="s">
        <v>35</v>
      </c>
      <c r="C32" s="60">
        <f t="shared" si="3"/>
        <v>0.045825</v>
      </c>
      <c r="D32" s="60">
        <f aca="true" t="shared" si="9" ref="D32:N32">+D$10*D18</f>
        <v>0.034499999999999996</v>
      </c>
      <c r="E32" s="60">
        <f t="shared" si="9"/>
        <v>0.0381</v>
      </c>
      <c r="F32" s="60">
        <f t="shared" si="9"/>
        <v>0.039075</v>
      </c>
      <c r="G32" s="60">
        <f t="shared" si="9"/>
        <v>0.030525</v>
      </c>
      <c r="H32" s="60">
        <f t="shared" si="9"/>
        <v>0.0348</v>
      </c>
      <c r="I32" s="60">
        <f t="shared" si="9"/>
        <v>0</v>
      </c>
      <c r="J32" s="60">
        <f t="shared" si="9"/>
        <v>0</v>
      </c>
      <c r="K32" s="60">
        <f t="shared" si="9"/>
        <v>0</v>
      </c>
      <c r="L32" s="60">
        <f t="shared" si="9"/>
        <v>0</v>
      </c>
      <c r="M32" s="60">
        <f t="shared" si="9"/>
        <v>0</v>
      </c>
      <c r="N32" s="60">
        <f t="shared" si="9"/>
        <v>0</v>
      </c>
    </row>
    <row r="33" spans="2:14" ht="11.25">
      <c r="B33" s="50" t="s">
        <v>36</v>
      </c>
      <c r="C33" s="60">
        <f t="shared" si="3"/>
        <v>0</v>
      </c>
      <c r="D33" s="60">
        <f aca="true" t="shared" si="10" ref="D33:N33">+D$10*D19</f>
        <v>0</v>
      </c>
      <c r="E33" s="60">
        <f t="shared" si="10"/>
        <v>0</v>
      </c>
      <c r="F33" s="60">
        <f t="shared" si="10"/>
        <v>0</v>
      </c>
      <c r="G33" s="60">
        <f t="shared" si="10"/>
        <v>0</v>
      </c>
      <c r="H33" s="60">
        <f t="shared" si="10"/>
        <v>0</v>
      </c>
      <c r="I33" s="60">
        <f t="shared" si="10"/>
        <v>0</v>
      </c>
      <c r="J33" s="60">
        <f t="shared" si="10"/>
        <v>0</v>
      </c>
      <c r="K33" s="60">
        <f t="shared" si="10"/>
        <v>0</v>
      </c>
      <c r="L33" s="60">
        <f t="shared" si="10"/>
        <v>0</v>
      </c>
      <c r="M33" s="60">
        <f t="shared" si="10"/>
        <v>0</v>
      </c>
      <c r="N33" s="60">
        <f t="shared" si="10"/>
        <v>0</v>
      </c>
    </row>
    <row r="34" spans="2:14" ht="11.25">
      <c r="B34" s="50" t="s">
        <v>15</v>
      </c>
      <c r="C34" s="60">
        <f t="shared" si="3"/>
        <v>1.080248</v>
      </c>
      <c r="D34" s="60">
        <f aca="true" t="shared" si="11" ref="D34:N34">+D$10*D20</f>
        <v>0.81328</v>
      </c>
      <c r="E34" s="60">
        <f t="shared" si="11"/>
        <v>0.898144</v>
      </c>
      <c r="F34" s="60">
        <f t="shared" si="11"/>
        <v>0.9211280000000001</v>
      </c>
      <c r="G34" s="60">
        <f t="shared" si="11"/>
        <v>0.7195760000000001</v>
      </c>
      <c r="H34" s="60">
        <f t="shared" si="11"/>
        <v>0.820352</v>
      </c>
      <c r="I34" s="60">
        <f t="shared" si="11"/>
        <v>0</v>
      </c>
      <c r="J34" s="60">
        <f t="shared" si="11"/>
        <v>0</v>
      </c>
      <c r="K34" s="60">
        <f t="shared" si="11"/>
        <v>0</v>
      </c>
      <c r="L34" s="60">
        <f t="shared" si="11"/>
        <v>0</v>
      </c>
      <c r="M34" s="60">
        <f t="shared" si="11"/>
        <v>0</v>
      </c>
      <c r="N34" s="60">
        <f t="shared" si="11"/>
        <v>0</v>
      </c>
    </row>
    <row r="35" spans="2:14" ht="11.25">
      <c r="B35" s="50" t="s">
        <v>37</v>
      </c>
      <c r="C35" s="60">
        <f t="shared" si="3"/>
        <v>0</v>
      </c>
      <c r="D35" s="60">
        <f aca="true" t="shared" si="12" ref="D35:N35">+D$10*D21</f>
        <v>0</v>
      </c>
      <c r="E35" s="60">
        <f t="shared" si="12"/>
        <v>0</v>
      </c>
      <c r="F35" s="60">
        <f t="shared" si="12"/>
        <v>0</v>
      </c>
      <c r="G35" s="60">
        <f t="shared" si="12"/>
        <v>0</v>
      </c>
      <c r="H35" s="60">
        <f t="shared" si="12"/>
        <v>0</v>
      </c>
      <c r="I35" s="60">
        <f t="shared" si="12"/>
        <v>0</v>
      </c>
      <c r="J35" s="60">
        <f t="shared" si="12"/>
        <v>0</v>
      </c>
      <c r="K35" s="60">
        <f t="shared" si="12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</row>
    <row r="36" spans="2:14" ht="11.25">
      <c r="B36" s="50" t="s">
        <v>38</v>
      </c>
      <c r="C36" s="60">
        <f t="shared" si="3"/>
        <v>0.36232300000000084</v>
      </c>
      <c r="D36" s="60">
        <f aca="true" t="shared" si="13" ref="D36:N36">+D$10*D22</f>
        <v>0.2727800000000006</v>
      </c>
      <c r="E36" s="60">
        <f t="shared" si="13"/>
        <v>0.3012440000000007</v>
      </c>
      <c r="F36" s="60">
        <f t="shared" si="13"/>
        <v>0.3089530000000007</v>
      </c>
      <c r="G36" s="60">
        <f t="shared" si="13"/>
        <v>0.24135100000000054</v>
      </c>
      <c r="H36" s="60">
        <f t="shared" si="13"/>
        <v>0.27515200000000056</v>
      </c>
      <c r="I36" s="60">
        <f t="shared" si="13"/>
        <v>0</v>
      </c>
      <c r="J36" s="60">
        <f t="shared" si="13"/>
        <v>0</v>
      </c>
      <c r="K36" s="60">
        <f t="shared" si="13"/>
        <v>0</v>
      </c>
      <c r="L36" s="60">
        <f t="shared" si="13"/>
        <v>0</v>
      </c>
      <c r="M36" s="60">
        <f t="shared" si="13"/>
        <v>0</v>
      </c>
      <c r="N36" s="60">
        <f t="shared" si="13"/>
        <v>0</v>
      </c>
    </row>
    <row r="37" spans="2:14" ht="11.25">
      <c r="B37" s="50" t="s">
        <v>39</v>
      </c>
      <c r="C37" s="71">
        <f t="shared" si="3"/>
        <v>3.1576480000000005</v>
      </c>
      <c r="D37" s="71">
        <f aca="true" t="shared" si="14" ref="D37:N37">+D$10*D23</f>
        <v>2.37728</v>
      </c>
      <c r="E37" s="71">
        <f t="shared" si="14"/>
        <v>2.625344</v>
      </c>
      <c r="F37" s="71">
        <f t="shared" si="14"/>
        <v>2.6925280000000003</v>
      </c>
      <c r="G37" s="71">
        <f t="shared" si="14"/>
        <v>2.1033760000000004</v>
      </c>
      <c r="H37" s="71">
        <f t="shared" si="14"/>
        <v>2.397952</v>
      </c>
      <c r="I37" s="71">
        <f t="shared" si="14"/>
        <v>0</v>
      </c>
      <c r="J37" s="71">
        <f t="shared" si="14"/>
        <v>0</v>
      </c>
      <c r="K37" s="71">
        <f t="shared" si="14"/>
        <v>0</v>
      </c>
      <c r="L37" s="71">
        <f t="shared" si="14"/>
        <v>0</v>
      </c>
      <c r="M37" s="71">
        <f t="shared" si="14"/>
        <v>0</v>
      </c>
      <c r="N37" s="71">
        <f t="shared" si="14"/>
        <v>0</v>
      </c>
    </row>
    <row r="38" spans="3:14" ht="11.25">
      <c r="C38" s="60">
        <f>SUM(C27:C37)</f>
        <v>6.110000000000001</v>
      </c>
      <c r="D38" s="60">
        <f aca="true" t="shared" si="15" ref="D38:N38">SUM(D27:D37)</f>
        <v>4.6</v>
      </c>
      <c r="E38" s="60">
        <f t="shared" si="15"/>
        <v>5.080000000000001</v>
      </c>
      <c r="F38" s="60">
        <f t="shared" si="15"/>
        <v>5.210000000000001</v>
      </c>
      <c r="G38" s="60">
        <f t="shared" si="15"/>
        <v>4.070000000000001</v>
      </c>
      <c r="H38" s="60">
        <f t="shared" si="15"/>
        <v>4.640000000000001</v>
      </c>
      <c r="I38" s="60">
        <f t="shared" si="15"/>
        <v>0</v>
      </c>
      <c r="J38" s="60">
        <f t="shared" si="15"/>
        <v>0</v>
      </c>
      <c r="K38" s="60">
        <f t="shared" si="15"/>
        <v>0</v>
      </c>
      <c r="L38" s="60">
        <f t="shared" si="15"/>
        <v>0</v>
      </c>
      <c r="M38" s="60">
        <f t="shared" si="15"/>
        <v>0</v>
      </c>
      <c r="N38" s="60">
        <f t="shared" si="15"/>
        <v>0</v>
      </c>
    </row>
    <row r="40" ht="11.25">
      <c r="A40" s="64" t="s">
        <v>41</v>
      </c>
    </row>
    <row r="41" spans="2:14" ht="11.25">
      <c r="B41" s="50" t="s">
        <v>17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11.25">
      <c r="B42" s="50" t="s">
        <v>21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11.25">
      <c r="B43" s="50" t="s">
        <v>32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11.25">
      <c r="B44" s="50" t="s">
        <v>33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11.25">
      <c r="B45" s="50" t="s">
        <v>34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11.25">
      <c r="B46" s="50" t="s">
        <v>35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11.25">
      <c r="B47" s="50" t="s">
        <v>36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11.25">
      <c r="B48" s="50" t="s">
        <v>15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11.25">
      <c r="B49" s="50" t="s">
        <v>37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11.25">
      <c r="B50" s="50" t="s">
        <v>38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1.25">
      <c r="A52" s="50" t="s">
        <v>39</v>
      </c>
      <c r="C52" s="74">
        <f>+C65/C37</f>
        <v>0.9999999999999996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11.25">
      <c r="L53" s="74"/>
      <c r="N53" s="76"/>
    </row>
    <row r="54" spans="1:14" ht="11.25">
      <c r="A54" s="64" t="s">
        <v>42</v>
      </c>
      <c r="L54" s="74"/>
      <c r="N54" s="76"/>
    </row>
    <row r="55" spans="2:14" ht="11.25">
      <c r="B55" s="50" t="s">
        <v>17</v>
      </c>
      <c r="C55" s="60">
        <f>+C27*C41</f>
        <v>0</v>
      </c>
      <c r="D55" s="60">
        <f aca="true" t="shared" si="16" ref="D55:N55">+D27*D41</f>
        <v>0</v>
      </c>
      <c r="E55" s="60">
        <f t="shared" si="16"/>
        <v>0</v>
      </c>
      <c r="F55" s="60">
        <f t="shared" si="16"/>
        <v>0</v>
      </c>
      <c r="G55" s="60">
        <f t="shared" si="16"/>
        <v>0</v>
      </c>
      <c r="H55" s="60">
        <f t="shared" si="16"/>
        <v>0</v>
      </c>
      <c r="I55" s="60">
        <f t="shared" si="16"/>
        <v>0</v>
      </c>
      <c r="J55" s="60">
        <f t="shared" si="16"/>
        <v>0</v>
      </c>
      <c r="K55" s="60">
        <f t="shared" si="16"/>
        <v>0</v>
      </c>
      <c r="L55" s="60">
        <f t="shared" si="16"/>
        <v>0</v>
      </c>
      <c r="M55" s="60">
        <f t="shared" si="16"/>
        <v>0</v>
      </c>
      <c r="N55" s="60">
        <f t="shared" si="16"/>
        <v>0</v>
      </c>
    </row>
    <row r="56" spans="2:14" ht="11.25">
      <c r="B56" s="50" t="s">
        <v>21</v>
      </c>
      <c r="C56" s="60">
        <f aca="true" t="shared" si="17" ref="C56:N56">+C28*C42</f>
        <v>1.088802</v>
      </c>
      <c r="D56" s="60">
        <f t="shared" si="17"/>
        <v>0.8197199999999999</v>
      </c>
      <c r="E56" s="60">
        <f t="shared" si="17"/>
        <v>0.905256</v>
      </c>
      <c r="F56" s="60">
        <f t="shared" si="17"/>
        <v>0.928422</v>
      </c>
      <c r="G56" s="60">
        <f t="shared" si="17"/>
        <v>0.7252740000000001</v>
      </c>
      <c r="H56" s="60">
        <f t="shared" si="17"/>
        <v>0.8268479999999999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</row>
    <row r="57" spans="2:14" ht="11.25">
      <c r="B57" s="50" t="s">
        <v>32</v>
      </c>
      <c r="C57" s="60">
        <f aca="true" t="shared" si="18" ref="C57:N57">+C29*C43</f>
        <v>0</v>
      </c>
      <c r="D57" s="60">
        <f t="shared" si="18"/>
        <v>0</v>
      </c>
      <c r="E57" s="60">
        <f t="shared" si="18"/>
        <v>0</v>
      </c>
      <c r="F57" s="60">
        <f t="shared" si="18"/>
        <v>0</v>
      </c>
      <c r="G57" s="60">
        <f t="shared" si="18"/>
        <v>0</v>
      </c>
      <c r="H57" s="60">
        <f t="shared" si="18"/>
        <v>0</v>
      </c>
      <c r="I57" s="60">
        <f t="shared" si="18"/>
        <v>0</v>
      </c>
      <c r="J57" s="60">
        <f t="shared" si="18"/>
        <v>0</v>
      </c>
      <c r="K57" s="60">
        <f t="shared" si="18"/>
        <v>0</v>
      </c>
      <c r="L57" s="60">
        <f t="shared" si="18"/>
        <v>0</v>
      </c>
      <c r="M57" s="60">
        <f t="shared" si="18"/>
        <v>0</v>
      </c>
      <c r="N57" s="60">
        <f t="shared" si="18"/>
        <v>0</v>
      </c>
    </row>
    <row r="58" spans="2:16" ht="12.75">
      <c r="B58" s="50" t="s">
        <v>33</v>
      </c>
      <c r="C58" s="60">
        <f aca="true" t="shared" si="19" ref="C58:N58">+C30*C44</f>
        <v>0.10081500000000002</v>
      </c>
      <c r="D58" s="60">
        <f t="shared" si="19"/>
        <v>0.0759</v>
      </c>
      <c r="E58" s="60">
        <f t="shared" si="19"/>
        <v>0.08382</v>
      </c>
      <c r="F58" s="60">
        <f t="shared" si="19"/>
        <v>0.085965</v>
      </c>
      <c r="G58" s="60">
        <f t="shared" si="19"/>
        <v>0.067155</v>
      </c>
      <c r="H58" s="60">
        <f t="shared" si="19"/>
        <v>0.07656</v>
      </c>
      <c r="I58" s="60">
        <f t="shared" si="19"/>
        <v>0</v>
      </c>
      <c r="J58" s="60">
        <f t="shared" si="19"/>
        <v>0</v>
      </c>
      <c r="K58" s="60">
        <f t="shared" si="19"/>
        <v>0</v>
      </c>
      <c r="L58" s="60">
        <f t="shared" si="19"/>
        <v>0</v>
      </c>
      <c r="M58" s="60">
        <f t="shared" si="19"/>
        <v>0</v>
      </c>
      <c r="N58" s="60">
        <f t="shared" si="19"/>
        <v>0</v>
      </c>
      <c r="P58" s="42"/>
    </row>
    <row r="59" spans="2:16" ht="12.75">
      <c r="B59" s="50" t="s">
        <v>34</v>
      </c>
      <c r="C59" s="60">
        <f aca="true" t="shared" si="20" ref="C59:N59">+C31*C45</f>
        <v>0.27433900000000006</v>
      </c>
      <c r="D59" s="60">
        <f t="shared" si="20"/>
        <v>0.20654</v>
      </c>
      <c r="E59" s="60">
        <f t="shared" si="20"/>
        <v>0.22809200000000002</v>
      </c>
      <c r="F59" s="60">
        <f t="shared" si="20"/>
        <v>0.233929</v>
      </c>
      <c r="G59" s="60">
        <f t="shared" si="20"/>
        <v>0.18274300000000002</v>
      </c>
      <c r="H59" s="60">
        <f t="shared" si="20"/>
        <v>0.208336</v>
      </c>
      <c r="I59" s="60">
        <f t="shared" si="20"/>
        <v>0</v>
      </c>
      <c r="J59" s="60">
        <f t="shared" si="20"/>
        <v>0</v>
      </c>
      <c r="K59" s="60">
        <f t="shared" si="20"/>
        <v>0</v>
      </c>
      <c r="L59" s="60">
        <f t="shared" si="20"/>
        <v>0</v>
      </c>
      <c r="M59" s="60">
        <f t="shared" si="20"/>
        <v>0</v>
      </c>
      <c r="N59" s="60">
        <f t="shared" si="20"/>
        <v>0</v>
      </c>
      <c r="P59" s="42"/>
    </row>
    <row r="60" spans="2:16" ht="12.75">
      <c r="B60" s="50" t="s">
        <v>35</v>
      </c>
      <c r="C60" s="77">
        <f aca="true" t="shared" si="21" ref="C60:N60">+C32*C46</f>
        <v>0.045825</v>
      </c>
      <c r="D60" s="77">
        <f t="shared" si="21"/>
        <v>0.034499999999999996</v>
      </c>
      <c r="E60" s="77">
        <f t="shared" si="21"/>
        <v>0.0381</v>
      </c>
      <c r="F60" s="77">
        <f t="shared" si="21"/>
        <v>0.039075</v>
      </c>
      <c r="G60" s="77">
        <f t="shared" si="21"/>
        <v>0.030525</v>
      </c>
      <c r="H60" s="77">
        <f t="shared" si="21"/>
        <v>0.0348</v>
      </c>
      <c r="I60" s="77">
        <f t="shared" si="21"/>
        <v>0</v>
      </c>
      <c r="J60" s="77">
        <f t="shared" si="21"/>
        <v>0</v>
      </c>
      <c r="K60" s="77">
        <f t="shared" si="21"/>
        <v>0</v>
      </c>
      <c r="L60" s="77">
        <f t="shared" si="21"/>
        <v>0</v>
      </c>
      <c r="M60" s="77">
        <f t="shared" si="21"/>
        <v>0</v>
      </c>
      <c r="N60" s="77">
        <f t="shared" si="21"/>
        <v>0</v>
      </c>
      <c r="P60" s="42"/>
    </row>
    <row r="61" spans="2:16" ht="12.75">
      <c r="B61" s="50" t="s">
        <v>36</v>
      </c>
      <c r="C61" s="60">
        <f aca="true" t="shared" si="22" ref="C61:N61">+C33*C47</f>
        <v>0</v>
      </c>
      <c r="D61" s="60">
        <f t="shared" si="22"/>
        <v>0</v>
      </c>
      <c r="E61" s="60">
        <f t="shared" si="22"/>
        <v>0</v>
      </c>
      <c r="F61" s="60">
        <f t="shared" si="22"/>
        <v>0</v>
      </c>
      <c r="G61" s="60">
        <f t="shared" si="22"/>
        <v>0</v>
      </c>
      <c r="H61" s="60">
        <f t="shared" si="22"/>
        <v>0</v>
      </c>
      <c r="I61" s="60">
        <f t="shared" si="22"/>
        <v>0</v>
      </c>
      <c r="J61" s="60">
        <f t="shared" si="22"/>
        <v>0</v>
      </c>
      <c r="K61" s="60">
        <f t="shared" si="22"/>
        <v>0</v>
      </c>
      <c r="L61" s="60">
        <f t="shared" si="22"/>
        <v>0</v>
      </c>
      <c r="M61" s="60">
        <f t="shared" si="22"/>
        <v>0</v>
      </c>
      <c r="N61" s="60">
        <f t="shared" si="22"/>
        <v>0</v>
      </c>
      <c r="P61" s="42"/>
    </row>
    <row r="62" spans="2:16" ht="12.75">
      <c r="B62" s="50" t="s">
        <v>29</v>
      </c>
      <c r="C62" s="60">
        <f aca="true" t="shared" si="23" ref="C62:N62">+C34*C48</f>
        <v>1.080248</v>
      </c>
      <c r="D62" s="60">
        <f t="shared" si="23"/>
        <v>0.81328</v>
      </c>
      <c r="E62" s="60">
        <f t="shared" si="23"/>
        <v>0.898144</v>
      </c>
      <c r="F62" s="60">
        <f t="shared" si="23"/>
        <v>0.9211280000000001</v>
      </c>
      <c r="G62" s="60">
        <f t="shared" si="23"/>
        <v>0.7195760000000001</v>
      </c>
      <c r="H62" s="60">
        <f t="shared" si="23"/>
        <v>0.820352</v>
      </c>
      <c r="I62" s="60">
        <f t="shared" si="23"/>
        <v>0</v>
      </c>
      <c r="J62" s="60">
        <f t="shared" si="23"/>
        <v>0</v>
      </c>
      <c r="K62" s="60">
        <f t="shared" si="23"/>
        <v>0</v>
      </c>
      <c r="L62" s="60">
        <f t="shared" si="23"/>
        <v>0</v>
      </c>
      <c r="M62" s="60">
        <f t="shared" si="23"/>
        <v>0</v>
      </c>
      <c r="N62" s="60">
        <f t="shared" si="23"/>
        <v>0</v>
      </c>
      <c r="P62" s="42"/>
    </row>
    <row r="63" spans="2:16" ht="12.75">
      <c r="B63" s="50" t="s">
        <v>37</v>
      </c>
      <c r="C63" s="60">
        <f aca="true" t="shared" si="24" ref="C63:N63">+C35*C49</f>
        <v>0</v>
      </c>
      <c r="D63" s="60">
        <f t="shared" si="24"/>
        <v>0</v>
      </c>
      <c r="E63" s="60">
        <f t="shared" si="24"/>
        <v>0</v>
      </c>
      <c r="F63" s="60">
        <f t="shared" si="24"/>
        <v>0</v>
      </c>
      <c r="G63" s="60">
        <f t="shared" si="24"/>
        <v>0</v>
      </c>
      <c r="H63" s="60">
        <f t="shared" si="24"/>
        <v>0</v>
      </c>
      <c r="I63" s="60">
        <f t="shared" si="24"/>
        <v>0</v>
      </c>
      <c r="J63" s="60">
        <f t="shared" si="24"/>
        <v>0</v>
      </c>
      <c r="K63" s="60">
        <f t="shared" si="24"/>
        <v>0</v>
      </c>
      <c r="L63" s="60">
        <f t="shared" si="24"/>
        <v>0</v>
      </c>
      <c r="M63" s="60">
        <f t="shared" si="24"/>
        <v>0</v>
      </c>
      <c r="N63" s="60">
        <f t="shared" si="24"/>
        <v>0</v>
      </c>
      <c r="P63" s="42"/>
    </row>
    <row r="64" spans="2:16" ht="12.75">
      <c r="B64" s="50" t="s">
        <v>38</v>
      </c>
      <c r="C64" s="60">
        <f aca="true" t="shared" si="25" ref="C64:N64">+C36*C50</f>
        <v>0.36232300000000084</v>
      </c>
      <c r="D64" s="60">
        <f t="shared" si="25"/>
        <v>0.2727800000000006</v>
      </c>
      <c r="E64" s="60">
        <f t="shared" si="25"/>
        <v>0.3012440000000007</v>
      </c>
      <c r="F64" s="60">
        <f t="shared" si="25"/>
        <v>0.3089530000000007</v>
      </c>
      <c r="G64" s="60">
        <f t="shared" si="25"/>
        <v>0.24135100000000054</v>
      </c>
      <c r="H64" s="60">
        <f t="shared" si="25"/>
        <v>0.27515200000000056</v>
      </c>
      <c r="I64" s="60">
        <f t="shared" si="25"/>
        <v>0</v>
      </c>
      <c r="J64" s="60">
        <f t="shared" si="25"/>
        <v>0</v>
      </c>
      <c r="K64" s="60">
        <f t="shared" si="25"/>
        <v>0</v>
      </c>
      <c r="L64" s="60">
        <f t="shared" si="25"/>
        <v>0</v>
      </c>
      <c r="M64" s="60">
        <f t="shared" si="25"/>
        <v>0</v>
      </c>
      <c r="N64" s="60">
        <f t="shared" si="25"/>
        <v>0</v>
      </c>
      <c r="P64" s="42"/>
    </row>
    <row r="65" spans="2:16" ht="12.75">
      <c r="B65" s="50" t="s">
        <v>39</v>
      </c>
      <c r="C65" s="71">
        <f aca="true" t="shared" si="26" ref="C65:N65">+C7-SUM(C55:C64)</f>
        <v>3.157647999999999</v>
      </c>
      <c r="D65" s="71">
        <f t="shared" si="26"/>
        <v>2.3772799999999994</v>
      </c>
      <c r="E65" s="71">
        <f t="shared" si="26"/>
        <v>2.6253439999999992</v>
      </c>
      <c r="F65" s="71">
        <f t="shared" si="26"/>
        <v>2.6925279999999994</v>
      </c>
      <c r="G65" s="71">
        <f t="shared" si="26"/>
        <v>2.103376</v>
      </c>
      <c r="H65" s="71">
        <f t="shared" si="26"/>
        <v>2.397951999999999</v>
      </c>
      <c r="I65" s="71">
        <f t="shared" si="26"/>
        <v>0</v>
      </c>
      <c r="J65" s="71">
        <f t="shared" si="26"/>
        <v>0</v>
      </c>
      <c r="K65" s="71">
        <f t="shared" si="26"/>
        <v>0</v>
      </c>
      <c r="L65" s="71">
        <f t="shared" si="26"/>
        <v>0</v>
      </c>
      <c r="M65" s="71">
        <f t="shared" si="26"/>
        <v>0</v>
      </c>
      <c r="N65" s="71">
        <f t="shared" si="26"/>
        <v>0</v>
      </c>
      <c r="P65" s="42"/>
    </row>
    <row r="66" spans="3:14" ht="11.25">
      <c r="C66" s="60">
        <f aca="true" t="shared" si="27" ref="C66:N66">SUM(C55:C65)</f>
        <v>6.11</v>
      </c>
      <c r="D66" s="60">
        <f t="shared" si="27"/>
        <v>4.6</v>
      </c>
      <c r="E66" s="60">
        <f t="shared" si="27"/>
        <v>5.08</v>
      </c>
      <c r="F66" s="60">
        <f t="shared" si="27"/>
        <v>5.21</v>
      </c>
      <c r="G66" s="60">
        <f t="shared" si="27"/>
        <v>4.07</v>
      </c>
      <c r="H66" s="60">
        <f t="shared" si="27"/>
        <v>4.64</v>
      </c>
      <c r="I66" s="60">
        <f t="shared" si="27"/>
        <v>0</v>
      </c>
      <c r="J66" s="60">
        <f t="shared" si="27"/>
        <v>0</v>
      </c>
      <c r="K66" s="60">
        <f t="shared" si="27"/>
        <v>0</v>
      </c>
      <c r="L66" s="60">
        <f t="shared" si="27"/>
        <v>0</v>
      </c>
      <c r="M66" s="60">
        <f t="shared" si="27"/>
        <v>0</v>
      </c>
      <c r="N66" s="60">
        <f t="shared" si="27"/>
        <v>0</v>
      </c>
    </row>
    <row r="67" ht="7.5" customHeight="1"/>
    <row r="68" spans="1:5" ht="11.25">
      <c r="A68" s="78" t="s">
        <v>43</v>
      </c>
      <c r="E68" s="50" t="s">
        <v>66</v>
      </c>
    </row>
    <row r="69" spans="2:14" ht="11.25">
      <c r="B69" s="50" t="s">
        <v>17</v>
      </c>
      <c r="C69" s="138"/>
      <c r="D69" s="138"/>
      <c r="E69" s="138"/>
      <c r="F69" s="138"/>
      <c r="G69" s="139"/>
      <c r="H69" s="139"/>
      <c r="I69" s="138"/>
      <c r="J69" s="138"/>
      <c r="K69" s="138"/>
      <c r="L69" s="140"/>
      <c r="M69" s="140"/>
      <c r="N69" s="138"/>
    </row>
    <row r="70" spans="2:14" ht="11.25">
      <c r="B70" s="50" t="s">
        <v>21</v>
      </c>
      <c r="C70" s="138">
        <v>43.519999999999996</v>
      </c>
      <c r="D70" s="138">
        <v>60.11</v>
      </c>
      <c r="E70" s="138">
        <v>68.38</v>
      </c>
      <c r="F70" s="138">
        <v>60.64</v>
      </c>
      <c r="G70" s="139">
        <v>63.85</v>
      </c>
      <c r="H70" s="139">
        <v>71.68</v>
      </c>
      <c r="I70" s="138"/>
      <c r="J70" s="138"/>
      <c r="K70" s="138"/>
      <c r="L70" s="138"/>
      <c r="M70" s="138"/>
      <c r="N70" s="147"/>
    </row>
    <row r="71" spans="2:14" ht="11.25">
      <c r="B71" s="50" t="s">
        <v>32</v>
      </c>
      <c r="C71" s="138"/>
      <c r="D71" s="138"/>
      <c r="E71" s="138"/>
      <c r="F71" s="138"/>
      <c r="G71" s="139"/>
      <c r="H71" s="139"/>
      <c r="I71" s="138"/>
      <c r="J71" s="138"/>
      <c r="K71" s="138"/>
      <c r="L71" s="138"/>
      <c r="M71" s="138"/>
      <c r="N71" s="138"/>
    </row>
    <row r="72" spans="2:14" ht="11.25">
      <c r="B72" s="50" t="s">
        <v>33</v>
      </c>
      <c r="C72" s="138">
        <v>90.64</v>
      </c>
      <c r="D72" s="138">
        <v>93.07</v>
      </c>
      <c r="E72" s="138">
        <v>91.06</v>
      </c>
      <c r="F72" s="138">
        <v>61.85</v>
      </c>
      <c r="G72" s="139">
        <v>69.65</v>
      </c>
      <c r="H72" s="139">
        <v>78.18</v>
      </c>
      <c r="I72" s="138"/>
      <c r="J72" s="138"/>
      <c r="K72" s="138"/>
      <c r="L72" s="138"/>
      <c r="M72" s="138"/>
      <c r="N72" s="147"/>
    </row>
    <row r="73" spans="2:14" ht="11.25">
      <c r="B73" s="50" t="s">
        <v>34</v>
      </c>
      <c r="C73" s="138">
        <v>100.47</v>
      </c>
      <c r="D73" s="138">
        <v>87.96</v>
      </c>
      <c r="E73" s="138">
        <v>109.23</v>
      </c>
      <c r="F73" s="138">
        <v>168.5</v>
      </c>
      <c r="G73" s="139">
        <v>78.83</v>
      </c>
      <c r="H73" s="139">
        <v>75.26</v>
      </c>
      <c r="I73" s="138"/>
      <c r="J73" s="138"/>
      <c r="K73" s="138"/>
      <c r="L73" s="138"/>
      <c r="M73" s="138"/>
      <c r="N73" s="147"/>
    </row>
    <row r="74" spans="2:14" ht="11.25">
      <c r="B74" s="50" t="s">
        <v>35</v>
      </c>
      <c r="C74" s="138">
        <v>1082.85</v>
      </c>
      <c r="D74" s="138">
        <v>1119.26</v>
      </c>
      <c r="E74" s="138">
        <v>1065.13</v>
      </c>
      <c r="F74" s="138">
        <v>1065.13</v>
      </c>
      <c r="G74" s="139">
        <v>940.58</v>
      </c>
      <c r="H74" s="139">
        <v>918.23</v>
      </c>
      <c r="I74" s="138"/>
      <c r="J74" s="138"/>
      <c r="K74" s="138"/>
      <c r="L74" s="138"/>
      <c r="M74" s="138"/>
      <c r="N74" s="147"/>
    </row>
    <row r="75" spans="2:14" ht="11.25">
      <c r="B75" s="50" t="s">
        <v>36</v>
      </c>
      <c r="C75" s="138"/>
      <c r="D75" s="138"/>
      <c r="E75" s="138"/>
      <c r="F75" s="138"/>
      <c r="G75" s="139"/>
      <c r="H75" s="139"/>
      <c r="I75" s="138"/>
      <c r="J75" s="138"/>
      <c r="K75" s="138"/>
      <c r="L75" s="138"/>
      <c r="M75" s="138"/>
      <c r="N75" s="138"/>
    </row>
    <row r="76" spans="2:14" ht="11.25">
      <c r="B76" s="50" t="s">
        <v>29</v>
      </c>
      <c r="C76" s="138">
        <v>-25.26</v>
      </c>
      <c r="D76" s="138">
        <v>-19.13</v>
      </c>
      <c r="E76" s="138">
        <v>-3.5700000000000003</v>
      </c>
      <c r="F76" s="138">
        <v>0.74</v>
      </c>
      <c r="G76" s="139">
        <v>-14.63</v>
      </c>
      <c r="H76" s="139">
        <v>-16.67</v>
      </c>
      <c r="I76" s="138"/>
      <c r="J76" s="138"/>
      <c r="K76" s="138"/>
      <c r="L76" s="138"/>
      <c r="M76" s="138"/>
      <c r="N76" s="138"/>
    </row>
    <row r="77" spans="2:14" ht="11.25">
      <c r="B77" s="50" t="s">
        <v>37</v>
      </c>
      <c r="C77" s="140"/>
      <c r="D77" s="140"/>
      <c r="E77" s="140"/>
      <c r="F77" s="140"/>
      <c r="G77" s="141"/>
      <c r="H77" s="141"/>
      <c r="I77" s="140"/>
      <c r="J77" s="140"/>
      <c r="K77" s="140"/>
      <c r="L77" s="140"/>
      <c r="M77" s="140"/>
      <c r="N77" s="147"/>
    </row>
    <row r="78" spans="2:14" ht="11.25">
      <c r="B78" s="50" t="s">
        <v>38</v>
      </c>
      <c r="C78" s="140">
        <v>-134.59</v>
      </c>
      <c r="D78" s="140">
        <v>-134.59</v>
      </c>
      <c r="E78" s="140">
        <v>-134.59</v>
      </c>
      <c r="F78" s="140">
        <v>-134.59</v>
      </c>
      <c r="G78" s="141">
        <v>-134.59</v>
      </c>
      <c r="H78" s="141">
        <v>-134.59</v>
      </c>
      <c r="I78" s="140"/>
      <c r="J78" s="140"/>
      <c r="K78" s="140"/>
      <c r="L78" s="140"/>
      <c r="M78" s="140"/>
      <c r="N78" s="147"/>
    </row>
    <row r="79" spans="2:15" ht="11.25">
      <c r="B79" s="50" t="s">
        <v>39</v>
      </c>
      <c r="C79" s="138">
        <v>-14.309999999999999</v>
      </c>
      <c r="D79" s="138">
        <v>2</v>
      </c>
      <c r="E79" s="138">
        <v>4.19</v>
      </c>
      <c r="F79" s="138">
        <v>8.42</v>
      </c>
      <c r="G79" s="139">
        <v>26.9</v>
      </c>
      <c r="H79" s="139">
        <v>25.77</v>
      </c>
      <c r="I79" s="138"/>
      <c r="J79" s="138"/>
      <c r="K79" s="138"/>
      <c r="L79" s="140"/>
      <c r="M79" s="140"/>
      <c r="N79" s="147"/>
      <c r="O79" s="88">
        <f>SUM(C69:N79)</f>
        <v>6830.9699999999975</v>
      </c>
    </row>
    <row r="80" ht="7.5" customHeight="1"/>
    <row r="81" ht="11.25">
      <c r="A81" s="64" t="s">
        <v>44</v>
      </c>
    </row>
    <row r="82" spans="2:15" ht="11.25">
      <c r="B82" s="50" t="s">
        <v>17</v>
      </c>
      <c r="C82" s="60">
        <f aca="true" t="shared" si="28" ref="C82:I82">C69*C55</f>
        <v>0</v>
      </c>
      <c r="D82" s="60">
        <f t="shared" si="28"/>
        <v>0</v>
      </c>
      <c r="E82" s="60">
        <f t="shared" si="28"/>
        <v>0</v>
      </c>
      <c r="F82" s="60">
        <f t="shared" si="28"/>
        <v>0</v>
      </c>
      <c r="G82" s="60">
        <f t="shared" si="28"/>
        <v>0</v>
      </c>
      <c r="H82" s="60">
        <f t="shared" si="28"/>
        <v>0</v>
      </c>
      <c r="I82" s="60">
        <f t="shared" si="28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29" ref="O82:O92">SUM(C82:N82)</f>
        <v>0</v>
      </c>
    </row>
    <row r="83" spans="2:15" ht="11.25">
      <c r="B83" s="50" t="s">
        <v>21</v>
      </c>
      <c r="C83" s="60">
        <f aca="true" t="shared" si="30" ref="C83:C92">C70*C56</f>
        <v>47.38466304</v>
      </c>
      <c r="D83" s="60">
        <f aca="true" t="shared" si="31" ref="D83:D92">D70*D56</f>
        <v>49.27336919999999</v>
      </c>
      <c r="E83" s="60">
        <f aca="true" t="shared" si="32" ref="E83:F92">E70*E56</f>
        <v>61.90140527999999</v>
      </c>
      <c r="F83" s="60">
        <f t="shared" si="32"/>
        <v>56.29951008</v>
      </c>
      <c r="G83" s="60">
        <f aca="true" t="shared" si="33" ref="G83:G90">G70*G56</f>
        <v>46.30874490000001</v>
      </c>
      <c r="H83" s="60">
        <f aca="true" t="shared" si="34" ref="H83:H92">H70*H56</f>
        <v>59.26846464</v>
      </c>
      <c r="I83" s="60">
        <f aca="true" t="shared" si="35" ref="I83:I92">I70*I56</f>
        <v>0</v>
      </c>
      <c r="J83" s="60">
        <f aca="true" t="shared" si="36" ref="J83:N92">+J70*J56</f>
        <v>0</v>
      </c>
      <c r="K83" s="60">
        <f t="shared" si="36"/>
        <v>0</v>
      </c>
      <c r="L83" s="60">
        <f t="shared" si="36"/>
        <v>0</v>
      </c>
      <c r="M83" s="60">
        <f t="shared" si="36"/>
        <v>0</v>
      </c>
      <c r="N83" s="60">
        <f t="shared" si="36"/>
        <v>0</v>
      </c>
      <c r="O83" s="88">
        <f t="shared" si="29"/>
        <v>320.43615714</v>
      </c>
    </row>
    <row r="84" spans="2:15" ht="11.25">
      <c r="B84" s="50" t="s">
        <v>32</v>
      </c>
      <c r="C84" s="60">
        <f t="shared" si="30"/>
        <v>0</v>
      </c>
      <c r="D84" s="60">
        <f t="shared" si="31"/>
        <v>0</v>
      </c>
      <c r="E84" s="60">
        <f t="shared" si="32"/>
        <v>0</v>
      </c>
      <c r="F84" s="60">
        <f t="shared" si="32"/>
        <v>0</v>
      </c>
      <c r="G84" s="60">
        <f t="shared" si="33"/>
        <v>0</v>
      </c>
      <c r="H84" s="60">
        <f t="shared" si="34"/>
        <v>0</v>
      </c>
      <c r="I84" s="60"/>
      <c r="J84" s="60">
        <f t="shared" si="36"/>
        <v>0</v>
      </c>
      <c r="K84" s="60">
        <f t="shared" si="36"/>
        <v>0</v>
      </c>
      <c r="L84" s="60">
        <f t="shared" si="36"/>
        <v>0</v>
      </c>
      <c r="M84" s="60">
        <f t="shared" si="36"/>
        <v>0</v>
      </c>
      <c r="N84" s="60">
        <f t="shared" si="36"/>
        <v>0</v>
      </c>
      <c r="O84" s="88">
        <f t="shared" si="29"/>
        <v>0</v>
      </c>
    </row>
    <row r="85" spans="2:15" ht="11.25">
      <c r="B85" s="50" t="s">
        <v>33</v>
      </c>
      <c r="C85" s="60">
        <f t="shared" si="30"/>
        <v>9.137871600000002</v>
      </c>
      <c r="D85" s="60">
        <f t="shared" si="31"/>
        <v>7.064012999999999</v>
      </c>
      <c r="E85" s="60">
        <f t="shared" si="32"/>
        <v>7.6326492</v>
      </c>
      <c r="F85" s="60">
        <f t="shared" si="32"/>
        <v>5.31693525</v>
      </c>
      <c r="G85" s="60">
        <f t="shared" si="33"/>
        <v>4.677345750000001</v>
      </c>
      <c r="H85" s="60">
        <f t="shared" si="34"/>
        <v>5.985460800000001</v>
      </c>
      <c r="I85" s="60">
        <f t="shared" si="35"/>
        <v>0</v>
      </c>
      <c r="J85" s="60">
        <f t="shared" si="36"/>
        <v>0</v>
      </c>
      <c r="K85" s="60">
        <f t="shared" si="36"/>
        <v>0</v>
      </c>
      <c r="L85" s="60">
        <f t="shared" si="36"/>
        <v>0</v>
      </c>
      <c r="M85" s="60">
        <f t="shared" si="36"/>
        <v>0</v>
      </c>
      <c r="N85" s="60">
        <f t="shared" si="36"/>
        <v>0</v>
      </c>
      <c r="O85" s="88">
        <f t="shared" si="29"/>
        <v>39.8142756</v>
      </c>
    </row>
    <row r="86" spans="2:15" ht="11.25">
      <c r="B86" s="50" t="s">
        <v>34</v>
      </c>
      <c r="C86" s="60">
        <f t="shared" si="30"/>
        <v>27.562839330000006</v>
      </c>
      <c r="D86" s="60">
        <f t="shared" si="31"/>
        <v>18.167258399999998</v>
      </c>
      <c r="E86" s="60">
        <f t="shared" si="32"/>
        <v>24.914489160000002</v>
      </c>
      <c r="F86" s="60">
        <f t="shared" si="32"/>
        <v>39.4170365</v>
      </c>
      <c r="G86" s="60">
        <f t="shared" si="33"/>
        <v>14.40563069</v>
      </c>
      <c r="H86" s="60">
        <f t="shared" si="34"/>
        <v>15.67936736</v>
      </c>
      <c r="I86" s="60">
        <f t="shared" si="35"/>
        <v>0</v>
      </c>
      <c r="J86" s="60">
        <f t="shared" si="36"/>
        <v>0</v>
      </c>
      <c r="K86" s="60">
        <f t="shared" si="36"/>
        <v>0</v>
      </c>
      <c r="L86" s="60">
        <f t="shared" si="36"/>
        <v>0</v>
      </c>
      <c r="M86" s="60">
        <f t="shared" si="36"/>
        <v>0</v>
      </c>
      <c r="N86" s="60">
        <f t="shared" si="36"/>
        <v>0</v>
      </c>
      <c r="O86" s="88">
        <f t="shared" si="29"/>
        <v>140.14662144</v>
      </c>
    </row>
    <row r="87" spans="2:15" ht="11.25">
      <c r="B87" s="50" t="s">
        <v>35</v>
      </c>
      <c r="C87" s="60">
        <f t="shared" si="30"/>
        <v>49.62160124999999</v>
      </c>
      <c r="D87" s="60">
        <f t="shared" si="31"/>
        <v>38.61447</v>
      </c>
      <c r="E87" s="60">
        <f t="shared" si="32"/>
        <v>40.581453</v>
      </c>
      <c r="F87" s="60">
        <f t="shared" si="32"/>
        <v>41.619954750000005</v>
      </c>
      <c r="G87" s="60">
        <f t="shared" si="33"/>
        <v>28.7112045</v>
      </c>
      <c r="H87" s="60">
        <f t="shared" si="34"/>
        <v>31.954403999999997</v>
      </c>
      <c r="I87" s="60">
        <f t="shared" si="35"/>
        <v>0</v>
      </c>
      <c r="J87" s="60">
        <f t="shared" si="36"/>
        <v>0</v>
      </c>
      <c r="K87" s="60">
        <f t="shared" si="36"/>
        <v>0</v>
      </c>
      <c r="L87" s="60">
        <f t="shared" si="36"/>
        <v>0</v>
      </c>
      <c r="M87" s="60">
        <f t="shared" si="36"/>
        <v>0</v>
      </c>
      <c r="N87" s="60">
        <f t="shared" si="36"/>
        <v>0</v>
      </c>
      <c r="O87" s="88">
        <f t="shared" si="29"/>
        <v>231.10308750000002</v>
      </c>
    </row>
    <row r="88" spans="2:15" ht="11.25">
      <c r="B88" s="50" t="s">
        <v>36</v>
      </c>
      <c r="C88" s="60">
        <f t="shared" si="30"/>
        <v>0</v>
      </c>
      <c r="D88" s="60">
        <f t="shared" si="31"/>
        <v>0</v>
      </c>
      <c r="E88" s="60">
        <f t="shared" si="32"/>
        <v>0</v>
      </c>
      <c r="F88" s="60">
        <f t="shared" si="32"/>
        <v>0</v>
      </c>
      <c r="G88" s="60">
        <f t="shared" si="33"/>
        <v>0</v>
      </c>
      <c r="H88" s="60">
        <f t="shared" si="34"/>
        <v>0</v>
      </c>
      <c r="I88" s="60"/>
      <c r="J88" s="60">
        <f t="shared" si="36"/>
        <v>0</v>
      </c>
      <c r="K88" s="60">
        <f t="shared" si="36"/>
        <v>0</v>
      </c>
      <c r="L88" s="60">
        <f t="shared" si="36"/>
        <v>0</v>
      </c>
      <c r="M88" s="60">
        <f t="shared" si="36"/>
        <v>0</v>
      </c>
      <c r="N88" s="60">
        <f t="shared" si="36"/>
        <v>0</v>
      </c>
      <c r="O88" s="88">
        <f t="shared" si="29"/>
        <v>0</v>
      </c>
    </row>
    <row r="89" spans="2:15" ht="11.25">
      <c r="B89" s="50" t="s">
        <v>29</v>
      </c>
      <c r="C89" s="60">
        <f t="shared" si="30"/>
        <v>-27.287064480000005</v>
      </c>
      <c r="D89" s="60">
        <f t="shared" si="31"/>
        <v>-15.558046399999998</v>
      </c>
      <c r="E89" s="60">
        <f t="shared" si="32"/>
        <v>-3.2063740800000002</v>
      </c>
      <c r="F89" s="60">
        <f t="shared" si="32"/>
        <v>0.68163472</v>
      </c>
      <c r="G89" s="60">
        <f t="shared" si="33"/>
        <v>-10.527396880000001</v>
      </c>
      <c r="H89" s="60">
        <f t="shared" si="34"/>
        <v>-13.67526784</v>
      </c>
      <c r="I89" s="60">
        <f t="shared" si="35"/>
        <v>0</v>
      </c>
      <c r="J89" s="60">
        <f t="shared" si="36"/>
        <v>0</v>
      </c>
      <c r="K89" s="60">
        <f t="shared" si="36"/>
        <v>0</v>
      </c>
      <c r="L89" s="60">
        <f t="shared" si="36"/>
        <v>0</v>
      </c>
      <c r="M89" s="60">
        <f t="shared" si="36"/>
        <v>0</v>
      </c>
      <c r="N89" s="60">
        <f t="shared" si="36"/>
        <v>0</v>
      </c>
      <c r="O89" s="88">
        <f t="shared" si="29"/>
        <v>-69.57251496000002</v>
      </c>
    </row>
    <row r="90" spans="2:15" ht="11.25">
      <c r="B90" s="50" t="s">
        <v>37</v>
      </c>
      <c r="C90" s="60">
        <f t="shared" si="30"/>
        <v>0</v>
      </c>
      <c r="D90" s="60">
        <f t="shared" si="31"/>
        <v>0</v>
      </c>
      <c r="E90" s="60">
        <f t="shared" si="32"/>
        <v>0</v>
      </c>
      <c r="F90" s="60">
        <f t="shared" si="32"/>
        <v>0</v>
      </c>
      <c r="G90" s="60">
        <f t="shared" si="33"/>
        <v>0</v>
      </c>
      <c r="H90" s="60">
        <f t="shared" si="34"/>
        <v>0</v>
      </c>
      <c r="I90" s="60">
        <f t="shared" si="35"/>
        <v>0</v>
      </c>
      <c r="J90" s="60">
        <f t="shared" si="36"/>
        <v>0</v>
      </c>
      <c r="K90" s="60">
        <f t="shared" si="36"/>
        <v>0</v>
      </c>
      <c r="L90" s="60">
        <f t="shared" si="36"/>
        <v>0</v>
      </c>
      <c r="M90" s="60">
        <f t="shared" si="36"/>
        <v>0</v>
      </c>
      <c r="N90" s="60">
        <f t="shared" si="36"/>
        <v>0</v>
      </c>
      <c r="O90" s="88">
        <f t="shared" si="29"/>
        <v>0</v>
      </c>
    </row>
    <row r="91" spans="2:15" ht="11.25">
      <c r="B91" s="50" t="s">
        <v>38</v>
      </c>
      <c r="C91" s="60">
        <f t="shared" si="30"/>
        <v>-48.765052570000115</v>
      </c>
      <c r="D91" s="60">
        <f t="shared" si="31"/>
        <v>-36.71346020000008</v>
      </c>
      <c r="E91" s="60">
        <f t="shared" si="32"/>
        <v>-40.544429960000095</v>
      </c>
      <c r="F91" s="60">
        <f t="shared" si="32"/>
        <v>-41.58198427000009</v>
      </c>
      <c r="G91" s="60">
        <f>+G78*G64</f>
        <v>-32.483431090000074</v>
      </c>
      <c r="H91" s="60">
        <f t="shared" si="34"/>
        <v>-37.03270768000008</v>
      </c>
      <c r="I91" s="60">
        <f t="shared" si="35"/>
        <v>0</v>
      </c>
      <c r="J91" s="60">
        <f t="shared" si="36"/>
        <v>0</v>
      </c>
      <c r="K91" s="60">
        <f t="shared" si="36"/>
        <v>0</v>
      </c>
      <c r="L91" s="60">
        <f t="shared" si="36"/>
        <v>0</v>
      </c>
      <c r="M91" s="60">
        <f t="shared" si="36"/>
        <v>0</v>
      </c>
      <c r="N91" s="60">
        <f t="shared" si="36"/>
        <v>0</v>
      </c>
      <c r="O91" s="88">
        <f t="shared" si="29"/>
        <v>-237.1210657700005</v>
      </c>
    </row>
    <row r="92" spans="2:15" ht="11.25">
      <c r="B92" s="50" t="s">
        <v>39</v>
      </c>
      <c r="C92" s="60">
        <f t="shared" si="30"/>
        <v>-45.185942879999985</v>
      </c>
      <c r="D92" s="60">
        <f t="shared" si="31"/>
        <v>4.754559999999999</v>
      </c>
      <c r="E92" s="60">
        <f t="shared" si="32"/>
        <v>11.000191359999997</v>
      </c>
      <c r="F92" s="60">
        <f t="shared" si="32"/>
        <v>22.671085759999993</v>
      </c>
      <c r="G92" s="60">
        <f>+G79*G65</f>
        <v>56.580814399999994</v>
      </c>
      <c r="H92" s="60">
        <f t="shared" si="34"/>
        <v>61.795223039999975</v>
      </c>
      <c r="I92" s="60">
        <f t="shared" si="35"/>
        <v>0</v>
      </c>
      <c r="J92" s="71">
        <f t="shared" si="36"/>
        <v>0</v>
      </c>
      <c r="K92" s="60">
        <f t="shared" si="36"/>
        <v>0</v>
      </c>
      <c r="L92" s="60">
        <f t="shared" si="36"/>
        <v>0</v>
      </c>
      <c r="M92" s="60">
        <f t="shared" si="36"/>
        <v>0</v>
      </c>
      <c r="N92" s="60">
        <f t="shared" si="36"/>
        <v>0</v>
      </c>
      <c r="O92" s="88">
        <f t="shared" si="29"/>
        <v>111.61593167999996</v>
      </c>
    </row>
    <row r="93" spans="1:16" ht="11.25">
      <c r="A93" s="64" t="s">
        <v>45</v>
      </c>
      <c r="B93" s="64"/>
      <c r="C93" s="79">
        <f aca="true" t="shared" si="37" ref="C93:N93">SUM(C82:C92)</f>
        <v>12.468915289999906</v>
      </c>
      <c r="D93" s="80">
        <f t="shared" si="37"/>
        <v>65.60216399999992</v>
      </c>
      <c r="E93" s="80">
        <f t="shared" si="37"/>
        <v>102.27938395999993</v>
      </c>
      <c r="F93" s="80">
        <f t="shared" si="37"/>
        <v>124.42417278999991</v>
      </c>
      <c r="G93" s="80">
        <f t="shared" si="37"/>
        <v>107.67291226999993</v>
      </c>
      <c r="H93" s="80">
        <f>SUM(H82:H92)</f>
        <v>123.97494431999989</v>
      </c>
      <c r="I93" s="80">
        <f>SUM(I82:I92)</f>
        <v>0</v>
      </c>
      <c r="J93" s="80">
        <f t="shared" si="37"/>
        <v>0</v>
      </c>
      <c r="K93" s="87">
        <f t="shared" si="37"/>
        <v>0</v>
      </c>
      <c r="L93" s="87">
        <f t="shared" si="37"/>
        <v>0</v>
      </c>
      <c r="M93" s="87">
        <f t="shared" si="37"/>
        <v>0</v>
      </c>
      <c r="N93" s="87">
        <f t="shared" si="37"/>
        <v>0</v>
      </c>
      <c r="O93" s="88">
        <f>SUM(C93:N93)</f>
        <v>536.4224926299995</v>
      </c>
      <c r="P93" s="88">
        <f>O93/2</f>
        <v>268.21124631499976</v>
      </c>
    </row>
    <row r="94" spans="1:15" ht="11.25">
      <c r="A94" s="64" t="s">
        <v>46</v>
      </c>
      <c r="B94" s="64"/>
      <c r="C94" s="79">
        <f aca="true" t="shared" si="38" ref="C94:N94">+C93/C66</f>
        <v>2.0407389999999843</v>
      </c>
      <c r="D94" s="80">
        <f t="shared" si="38"/>
        <v>14.261339999999983</v>
      </c>
      <c r="E94" s="80">
        <f t="shared" si="38"/>
        <v>20.133736999999986</v>
      </c>
      <c r="F94" s="80">
        <f t="shared" si="38"/>
        <v>23.881798999999983</v>
      </c>
      <c r="G94" s="80">
        <f t="shared" si="38"/>
        <v>26.45526099999998</v>
      </c>
      <c r="H94" s="80">
        <f t="shared" si="38"/>
        <v>26.718737999999977</v>
      </c>
      <c r="I94" s="80" t="e">
        <f>+I93/I66</f>
        <v>#DIV/0!</v>
      </c>
      <c r="J94" s="80" t="e">
        <f t="shared" si="38"/>
        <v>#DIV/0!</v>
      </c>
      <c r="K94" s="108" t="e">
        <f t="shared" si="38"/>
        <v>#DIV/0!</v>
      </c>
      <c r="L94" s="108" t="e">
        <f t="shared" si="38"/>
        <v>#DIV/0!</v>
      </c>
      <c r="M94" s="108" t="e">
        <f t="shared" si="38"/>
        <v>#DIV/0!</v>
      </c>
      <c r="N94" s="108" t="e">
        <f t="shared" si="38"/>
        <v>#DIV/0!</v>
      </c>
      <c r="O94" s="88"/>
    </row>
    <row r="95" spans="3:14" ht="13.5" customHeight="1">
      <c r="C95" s="88">
        <f>C94/2</f>
        <v>1.0203694999999922</v>
      </c>
      <c r="D95" s="88">
        <f aca="true" t="shared" si="39" ref="D95:N95">D94/2</f>
        <v>7.130669999999991</v>
      </c>
      <c r="E95" s="88">
        <f t="shared" si="39"/>
        <v>10.066868499999993</v>
      </c>
      <c r="F95" s="88">
        <f t="shared" si="39"/>
        <v>11.940899499999992</v>
      </c>
      <c r="G95" s="88">
        <f t="shared" si="39"/>
        <v>13.22763049999999</v>
      </c>
      <c r="H95" s="88">
        <f t="shared" si="39"/>
        <v>13.359368999999989</v>
      </c>
      <c r="I95" s="88" t="e">
        <f t="shared" si="39"/>
        <v>#DIV/0!</v>
      </c>
      <c r="J95" s="88" t="e">
        <f t="shared" si="39"/>
        <v>#DIV/0!</v>
      </c>
      <c r="K95" s="88" t="e">
        <f t="shared" si="39"/>
        <v>#DIV/0!</v>
      </c>
      <c r="L95" s="88" t="e">
        <f t="shared" si="39"/>
        <v>#DIV/0!</v>
      </c>
      <c r="M95" s="88" t="e">
        <f t="shared" si="39"/>
        <v>#DIV/0!</v>
      </c>
      <c r="N95" s="88" t="e">
        <f t="shared" si="39"/>
        <v>#DIV/0!</v>
      </c>
    </row>
    <row r="96" spans="1:14" ht="11.25">
      <c r="A96" s="64"/>
      <c r="C96" s="88">
        <f>C94*0.7</f>
        <v>1.4285172999999889</v>
      </c>
      <c r="D96" s="88">
        <f aca="true" t="shared" si="40" ref="D96:N96">D94*0.7</f>
        <v>9.982937999999987</v>
      </c>
      <c r="E96" s="88">
        <f t="shared" si="40"/>
        <v>14.093615899999989</v>
      </c>
      <c r="F96" s="88">
        <f t="shared" si="40"/>
        <v>16.717259299999988</v>
      </c>
      <c r="G96" s="88">
        <f t="shared" si="40"/>
        <v>18.518682699999985</v>
      </c>
      <c r="H96" s="88">
        <f t="shared" si="40"/>
        <v>18.703116599999984</v>
      </c>
      <c r="I96" s="88" t="e">
        <f t="shared" si="40"/>
        <v>#DIV/0!</v>
      </c>
      <c r="J96" s="88" t="e">
        <f t="shared" si="40"/>
        <v>#DIV/0!</v>
      </c>
      <c r="K96" s="88" t="e">
        <f t="shared" si="40"/>
        <v>#DIV/0!</v>
      </c>
      <c r="L96" s="88" t="e">
        <f t="shared" si="40"/>
        <v>#DIV/0!</v>
      </c>
      <c r="M96" s="88" t="e">
        <f t="shared" si="40"/>
        <v>#DIV/0!</v>
      </c>
      <c r="N96" s="88" t="e">
        <f t="shared" si="40"/>
        <v>#DIV/0!</v>
      </c>
    </row>
    <row r="97" spans="3:14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0" ht="11.25">
      <c r="A98" s="64"/>
      <c r="B98" s="64"/>
      <c r="C98" s="79"/>
      <c r="D98" s="79"/>
      <c r="E98" s="79"/>
      <c r="F98" s="79"/>
      <c r="G98" s="79"/>
      <c r="H98" s="79"/>
      <c r="I98" s="79"/>
      <c r="J98" s="83"/>
    </row>
    <row r="99" spans="3:10" ht="7.5" customHeight="1">
      <c r="C99" s="82"/>
      <c r="D99" s="82"/>
      <c r="E99" s="82"/>
      <c r="F99" s="82"/>
      <c r="G99" s="82"/>
      <c r="H99" s="82"/>
      <c r="I99" s="82"/>
      <c r="J99" s="82"/>
    </row>
    <row r="100" spans="1:10" ht="11.25">
      <c r="A100" s="64"/>
      <c r="B100" s="64"/>
      <c r="C100" s="83"/>
      <c r="D100" s="83"/>
      <c r="E100" s="83"/>
      <c r="F100" s="83"/>
      <c r="G100" s="83"/>
      <c r="H100" s="83"/>
      <c r="I100" s="83"/>
      <c r="J100" s="83"/>
    </row>
    <row r="101" spans="3:10" ht="7.5" customHeight="1">
      <c r="C101" s="82"/>
      <c r="D101" s="82"/>
      <c r="E101" s="82"/>
      <c r="F101" s="82"/>
      <c r="G101" s="82"/>
      <c r="H101" s="82"/>
      <c r="I101" s="82"/>
      <c r="J101" s="82"/>
    </row>
    <row r="102" spans="1:10" ht="11.25">
      <c r="A102" s="64"/>
      <c r="C102" s="81"/>
      <c r="D102" s="81"/>
      <c r="E102" s="81"/>
      <c r="F102" s="81"/>
      <c r="G102" s="81"/>
      <c r="H102" s="81"/>
      <c r="I102" s="81"/>
      <c r="J102" s="84"/>
    </row>
    <row r="105" ht="11.25">
      <c r="B105" s="50" t="str">
        <f ca="1">CELL("filename")</f>
        <v>S:\District\~WUTC Files~\1. RSA\2017-2019 Plan Year\UTC Filing 12-2018\SeaTac Tariff 26\[SeaTac Multi Family Commodity Credit Template - Dec 2018.xls]WUTC_AW of Kent (SeaTac)_MF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Cramer, Diane</cp:lastModifiedBy>
  <cp:lastPrinted>2018-12-04T16:49:59Z</cp:lastPrinted>
  <dcterms:created xsi:type="dcterms:W3CDTF">2008-05-23T15:47:44Z</dcterms:created>
  <dcterms:modified xsi:type="dcterms:W3CDTF">2018-12-04T16:50:00Z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181019</vt:lpwstr>
  </property>
  <property fmtid="{D5CDD505-2E9C-101B-9397-08002B2CF9AE}" pid="10" name="Dat">
    <vt:lpwstr>2018-12-05T00:00:00Z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2018-12-05T00:00:00Z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