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28\"/>
    </mc:Choice>
  </mc:AlternateContent>
  <bookViews>
    <workbookView xWindow="15" yWindow="1620" windowWidth="28800" windowHeight="13035" tabRatio="837"/>
  </bookViews>
  <sheets>
    <sheet name="Rate Impacts" sheetId="9" r:id="rId1"/>
    <sheet name="Typical Res Bill" sheetId="5" r:id="rId2"/>
    <sheet name="Schedule 132 Revenue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1">0</definedName>
    <definedName name="_Order1">255</definedName>
    <definedName name="_Order2" localSheetId="1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ast_Row" localSheetId="2">IF('Schedule 132 Revenue'!Values_Entered,Header_Row+'Schedule 132 Revenue'!Number_of_Payments,Header_Row)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2">[37]!menu1_Button5_Click</definedName>
    <definedName name="menu1_Button5_Click">[37]!menu1_Button5_Click</definedName>
    <definedName name="menu1_Button6_Click" localSheetId="2">[37]!menu1_Button6_Click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 localSheetId="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'Rate Impacts'!$B$1:$U$43</definedName>
    <definedName name="_xlnm.Print_Area" localSheetId="1">'Typical Res Bill'!$B$1:$H$39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'[57]Input Tab'!$B$11</definedName>
    <definedName name="WinterPeak">'[58]Load Data'!$D$9:$H$12,'[58]Load Data'!$D$20:$H$22</definedName>
    <definedName name="WUTC_Docket_No._UG_11____">'[6]MJS-6'!$F$2</definedName>
    <definedName name="WUTC_FILING_FEE">'[6]MJS-7'!$O$15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52511"/>
</workbook>
</file>

<file path=xl/calcChain.xml><?xml version="1.0" encoding="utf-8"?>
<calcChain xmlns="http://schemas.openxmlformats.org/spreadsheetml/2006/main">
  <c r="G26" i="5" l="1"/>
  <c r="G21" i="5"/>
  <c r="G23" i="26" l="1"/>
  <c r="T25" i="9" l="1"/>
  <c r="G17" i="5"/>
  <c r="G24" i="5" l="1"/>
  <c r="E31" i="9" l="1"/>
  <c r="D31" i="9"/>
  <c r="F17" i="9"/>
  <c r="F16" i="9"/>
  <c r="G29" i="5" l="1"/>
  <c r="G28" i="5"/>
  <c r="G20" i="5" l="1"/>
  <c r="C7" i="26" l="1"/>
  <c r="G9" i="26" l="1"/>
  <c r="T11" i="9" s="1"/>
  <c r="F9" i="26"/>
  <c r="H9" i="26" l="1"/>
  <c r="F25" i="9" l="1"/>
  <c r="G19" i="5" l="1"/>
  <c r="G18" i="5"/>
  <c r="F23" i="26" l="1"/>
  <c r="H23" i="26" s="1"/>
  <c r="H25" i="9"/>
  <c r="T39" i="9" l="1"/>
  <c r="S25" i="9" l="1"/>
  <c r="U25" i="9" l="1"/>
  <c r="F22" i="9"/>
  <c r="F21" i="9"/>
  <c r="F20" i="9"/>
  <c r="F19" i="9"/>
  <c r="F18" i="9"/>
  <c r="F15" i="9"/>
  <c r="F14" i="9"/>
  <c r="F13" i="9"/>
  <c r="F12" i="9"/>
  <c r="F11" i="9"/>
  <c r="H11" i="9" s="1"/>
  <c r="S11" i="9" s="1"/>
  <c r="U11" i="9" s="1"/>
  <c r="F10" i="9"/>
  <c r="D30" i="5" l="1"/>
  <c r="E30" i="5" s="1"/>
  <c r="H26" i="5"/>
  <c r="E26" i="5"/>
  <c r="E24" i="5"/>
  <c r="D22" i="5"/>
  <c r="E22" i="5" s="1"/>
  <c r="G16" i="5"/>
  <c r="D13" i="5"/>
  <c r="G12" i="5"/>
  <c r="H12" i="5" s="1"/>
  <c r="E12" i="5"/>
  <c r="G11" i="5"/>
  <c r="H11" i="5" s="1"/>
  <c r="H13" i="5" s="1"/>
  <c r="E11" i="5"/>
  <c r="E39" i="9"/>
  <c r="E36" i="9"/>
  <c r="D36" i="9"/>
  <c r="E35" i="9"/>
  <c r="D35" i="9"/>
  <c r="E34" i="9"/>
  <c r="D34" i="9"/>
  <c r="E33" i="9"/>
  <c r="D33" i="9"/>
  <c r="E32" i="9"/>
  <c r="D32" i="9"/>
  <c r="E30" i="9"/>
  <c r="D30" i="9"/>
  <c r="E23" i="9"/>
  <c r="D23" i="9"/>
  <c r="E13" i="5" l="1"/>
  <c r="G13" i="5"/>
  <c r="D37" i="5"/>
  <c r="G30" i="5"/>
  <c r="H30" i="5" s="1"/>
  <c r="E26" i="9"/>
  <c r="F23" i="9"/>
  <c r="D37" i="9"/>
  <c r="D40" i="9" s="1"/>
  <c r="E37" i="9"/>
  <c r="E40" i="9" s="1"/>
  <c r="D31" i="5"/>
  <c r="E31" i="5"/>
  <c r="E33" i="5" s="1"/>
  <c r="H20" i="9" l="1"/>
  <c r="H18" i="9"/>
  <c r="H16" i="9"/>
  <c r="H14" i="9"/>
  <c r="H13" i="9"/>
  <c r="H12" i="9"/>
  <c r="H15" i="9"/>
  <c r="H19" i="9"/>
  <c r="H21" i="9"/>
  <c r="H22" i="9"/>
  <c r="H36" i="9" s="1"/>
  <c r="H39" i="9"/>
  <c r="G22" i="5"/>
  <c r="H22" i="5" s="1"/>
  <c r="F10" i="26" l="1"/>
  <c r="G10" i="26"/>
  <c r="T12" i="9" s="1"/>
  <c r="G12" i="26"/>
  <c r="T14" i="9" s="1"/>
  <c r="F12" i="26"/>
  <c r="F15" i="26"/>
  <c r="G15" i="26"/>
  <c r="T17" i="9" s="1"/>
  <c r="G16" i="26"/>
  <c r="T18" i="9" s="1"/>
  <c r="F16" i="26"/>
  <c r="F11" i="26"/>
  <c r="G11" i="26"/>
  <c r="T13" i="9" s="1"/>
  <c r="F14" i="26"/>
  <c r="G14" i="26"/>
  <c r="T16" i="9" s="1"/>
  <c r="F18" i="26"/>
  <c r="G18" i="26"/>
  <c r="T20" i="9" s="1"/>
  <c r="F19" i="26"/>
  <c r="G19" i="26"/>
  <c r="T21" i="9" s="1"/>
  <c r="F17" i="26"/>
  <c r="G17" i="26"/>
  <c r="T19" i="9" s="1"/>
  <c r="F13" i="26"/>
  <c r="G13" i="26"/>
  <c r="T15" i="9" s="1"/>
  <c r="F20" i="26"/>
  <c r="G20" i="26"/>
  <c r="T22" i="9" s="1"/>
  <c r="G8" i="26"/>
  <c r="T10" i="9" s="1"/>
  <c r="F8" i="26"/>
  <c r="C21" i="26"/>
  <c r="H35" i="9"/>
  <c r="H33" i="9"/>
  <c r="H10" i="9"/>
  <c r="H17" i="9"/>
  <c r="H34" i="9"/>
  <c r="H32" i="9"/>
  <c r="S39" i="9"/>
  <c r="U39" i="9" s="1"/>
  <c r="G23" i="9"/>
  <c r="T36" i="9" l="1"/>
  <c r="T23" i="9"/>
  <c r="S20" i="9"/>
  <c r="U20" i="9" s="1"/>
  <c r="T30" i="9"/>
  <c r="T32" i="9"/>
  <c r="T35" i="9"/>
  <c r="T33" i="9"/>
  <c r="T34" i="9"/>
  <c r="T31" i="9"/>
  <c r="H20" i="26"/>
  <c r="H11" i="26"/>
  <c r="H16" i="26"/>
  <c r="H19" i="26"/>
  <c r="S22" i="9"/>
  <c r="S36" i="9" s="1"/>
  <c r="H15" i="26"/>
  <c r="R23" i="9"/>
  <c r="R26" i="9" s="1"/>
  <c r="H17" i="26"/>
  <c r="N23" i="9"/>
  <c r="N26" i="9" s="1"/>
  <c r="H12" i="26"/>
  <c r="F21" i="26"/>
  <c r="F24" i="26" s="1"/>
  <c r="M23" i="9"/>
  <c r="M26" i="9" s="1"/>
  <c r="K23" i="9"/>
  <c r="K26" i="9" s="1"/>
  <c r="J23" i="9"/>
  <c r="J26" i="9" s="1"/>
  <c r="I23" i="9"/>
  <c r="I26" i="9" s="1"/>
  <c r="G21" i="26"/>
  <c r="H8" i="26"/>
  <c r="L23" i="9"/>
  <c r="L26" i="9" s="1"/>
  <c r="H13" i="26"/>
  <c r="H18" i="26"/>
  <c r="H14" i="26"/>
  <c r="H10" i="26"/>
  <c r="H31" i="9"/>
  <c r="H30" i="9"/>
  <c r="H23" i="9"/>
  <c r="H26" i="9" s="1"/>
  <c r="H24" i="5"/>
  <c r="H31" i="5" s="1"/>
  <c r="H33" i="5" s="1"/>
  <c r="H34" i="5" s="1"/>
  <c r="H35" i="5" s="1"/>
  <c r="G31" i="5"/>
  <c r="G37" i="5"/>
  <c r="S12" i="9" l="1"/>
  <c r="U12" i="9" s="1"/>
  <c r="S18" i="9"/>
  <c r="U18" i="9" s="1"/>
  <c r="U36" i="9"/>
  <c r="U22" i="9"/>
  <c r="H37" i="9"/>
  <c r="H40" i="9" s="1"/>
  <c r="S19" i="9"/>
  <c r="U19" i="9" s="1"/>
  <c r="S17" i="9"/>
  <c r="U17" i="9" s="1"/>
  <c r="O23" i="9"/>
  <c r="O26" i="9" s="1"/>
  <c r="S21" i="9"/>
  <c r="U21" i="9" s="1"/>
  <c r="S15" i="9"/>
  <c r="U15" i="9" s="1"/>
  <c r="S10" i="9"/>
  <c r="U10" i="9" s="1"/>
  <c r="S14" i="9"/>
  <c r="U14" i="9" s="1"/>
  <c r="S13" i="9"/>
  <c r="G24" i="26"/>
  <c r="H24" i="26" s="1"/>
  <c r="H21" i="26"/>
  <c r="S16" i="9"/>
  <c r="U16" i="9" s="1"/>
  <c r="Q23" i="9" l="1"/>
  <c r="Q26" i="9" s="1"/>
  <c r="U13" i="9"/>
  <c r="S31" i="9"/>
  <c r="U31" i="9" s="1"/>
  <c r="S34" i="9"/>
  <c r="U34" i="9" s="1"/>
  <c r="P23" i="9"/>
  <c r="P26" i="9" s="1"/>
  <c r="S30" i="9"/>
  <c r="S35" i="9"/>
  <c r="U35" i="9" s="1"/>
  <c r="S23" i="9"/>
  <c r="S32" i="9"/>
  <c r="S33" i="9"/>
  <c r="U33" i="9" s="1"/>
  <c r="U32" i="9" l="1"/>
  <c r="T26" i="9"/>
  <c r="U23" i="9"/>
  <c r="T37" i="9"/>
  <c r="U30" i="9"/>
  <c r="S37" i="9"/>
  <c r="S40" i="9" s="1"/>
  <c r="S26" i="9"/>
  <c r="U26" i="9" l="1"/>
  <c r="U37" i="9"/>
  <c r="T40" i="9"/>
  <c r="U40" i="9" s="1"/>
</calcChain>
</file>

<file path=xl/sharedStrings.xml><?xml version="1.0" encoding="utf-8"?>
<sst xmlns="http://schemas.openxmlformats.org/spreadsheetml/2006/main" count="182" uniqueCount="116">
  <si>
    <t>Puget Sound Energy</t>
  </si>
  <si>
    <t>Proposed</t>
  </si>
  <si>
    <t>Revenue</t>
  </si>
  <si>
    <t>Volume (Therms)</t>
  </si>
  <si>
    <t>Rate Class</t>
  </si>
  <si>
    <t>Total</t>
  </si>
  <si>
    <t>Residential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</si>
  <si>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</si>
  <si>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</si>
  <si>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</si>
  <si>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</si>
  <si>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</si>
  <si>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</si>
  <si>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Subtotal</t>
  </si>
  <si>
    <t>Forecasted</t>
  </si>
  <si>
    <t>Sched 140</t>
  </si>
  <si>
    <t>Rate</t>
  </si>
  <si>
    <t>Volume</t>
  </si>
  <si>
    <t>Margin</t>
  </si>
  <si>
    <t>Margin Rate</t>
  </si>
  <si>
    <t>Sched 101</t>
  </si>
  <si>
    <t>Sched 106</t>
  </si>
  <si>
    <t>Percent</t>
  </si>
  <si>
    <t>Schedule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</si>
  <si>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</si>
  <si>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</si>
  <si>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</si>
  <si>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Rates</t>
  </si>
  <si>
    <t>Current Rates</t>
  </si>
  <si>
    <t>Change</t>
  </si>
  <si>
    <t>A</t>
  </si>
  <si>
    <t>B</t>
  </si>
  <si>
    <t>C</t>
  </si>
  <si>
    <t>D</t>
  </si>
  <si>
    <t>J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</si>
  <si>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</si>
  <si>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</si>
  <si>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</si>
  <si>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</si>
  <si>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</si>
  <si>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</si>
  <si>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</si>
  <si>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</si>
  <si>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</si>
  <si>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</si>
  <si>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</si>
  <si>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</si>
  <si>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</si>
  <si>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</si>
  <si>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</si>
  <si>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</si>
  <si>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</si>
  <si>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</si>
  <si>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</si>
  <si>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Sched 120</t>
  </si>
  <si>
    <t>K</t>
  </si>
  <si>
    <r>
      <t>Rates</t>
    </r>
    <r>
      <rPr>
        <vertAlign val="superscript"/>
        <sz val="11"/>
        <rFont val="Calibri"/>
        <family val="2"/>
      </rPr>
      <t xml:space="preserve"> (1)</t>
    </r>
  </si>
  <si>
    <t>Charges</t>
  </si>
  <si>
    <t>Volume (therms)</t>
  </si>
  <si>
    <t>Customer charge ($/month)</t>
  </si>
  <si>
    <t>Basic charge</t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</si>
  <si>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</si>
  <si>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</si>
  <si>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</si>
  <si>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</si>
  <si>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</si>
  <si>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</si>
  <si>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</si>
  <si>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</si>
  <si>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</si>
  <si>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</si>
  <si>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</si>
  <si>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</si>
  <si>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</si>
  <si>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</si>
  <si>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</si>
  <si>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Decoupling</t>
  </si>
  <si>
    <t>Sched 149</t>
  </si>
  <si>
    <t>H</t>
  </si>
  <si>
    <t>L</t>
  </si>
  <si>
    <t>N</t>
  </si>
  <si>
    <t>Sched 132</t>
  </si>
  <si>
    <t>Sched 129</t>
  </si>
  <si>
    <t>Total Forecasted</t>
  </si>
  <si>
    <t>Existing</t>
  </si>
  <si>
    <r>
      <t>Rentals</t>
    </r>
    <r>
      <rPr>
        <vertAlign val="superscript"/>
        <sz val="11"/>
        <rFont val="Calibri"/>
        <family val="2"/>
      </rPr>
      <t>(2)</t>
    </r>
  </si>
  <si>
    <t>Sched 141 ERF</t>
  </si>
  <si>
    <t>Margin Revenue</t>
  </si>
  <si>
    <t>E=D/C</t>
  </si>
  <si>
    <t xml:space="preserve">F </t>
  </si>
  <si>
    <t xml:space="preserve">G=E*F </t>
  </si>
  <si>
    <t>I</t>
  </si>
  <si>
    <t>M</t>
  </si>
  <si>
    <t>O</t>
  </si>
  <si>
    <t>P</t>
  </si>
  <si>
    <t>Q</t>
  </si>
  <si>
    <t xml:space="preserve">R </t>
  </si>
  <si>
    <t xml:space="preserve">S </t>
  </si>
  <si>
    <t>Merger Rate Credit (Schedule 132)</t>
  </si>
  <si>
    <t>Rentals</t>
  </si>
  <si>
    <t>Rate Plan</t>
  </si>
  <si>
    <t>Sched 142</t>
  </si>
  <si>
    <t>T= S/R</t>
  </si>
  <si>
    <r>
      <t>ERF</t>
    </r>
    <r>
      <rPr>
        <sz val="11"/>
        <rFont val="Calibri"/>
        <family val="2"/>
        <scheme val="minor"/>
      </rPr>
      <t xml:space="preserve"> adjusting charge (Schedule 141)</t>
    </r>
  </si>
  <si>
    <t>Typical Residential Bill Impacts</t>
  </si>
  <si>
    <t>Rate Change Impacts by Rate Schedule</t>
  </si>
  <si>
    <t>UG-180283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</si>
  <si>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September 2016, at approved rates from UG-180283 Tax Reform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</si>
  <si>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rental counts calculated using actual July 2018 count.</t>
    </r>
  </si>
  <si>
    <t>Proposed Rates Effective January 1, 2019</t>
  </si>
  <si>
    <t>Jan 19 - Dec 19</t>
  </si>
  <si>
    <t>12ME Dec 2019</t>
  </si>
  <si>
    <t>Proposed Effective January 1, 2019</t>
  </si>
  <si>
    <t>2018 Gas Merger Rate Credit Filing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</si>
  <si>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  <scheme val="minor"/>
      </rPr>
      <t>Rates for Schedule 23 customers in effect November 1, 2018</t>
    </r>
  </si>
  <si>
    <t>Schedule 132 Rate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</si>
</sst>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???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_(&quot;$&quot;* #,##0_);_(&quot;$&quot;* \(#,##0\);_(&quot;$&quot;* &quot;-&quot;?????_);_(@_)"/>
  </numFmts>
  <fonts count="15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21"/>
      <name val="Calibri"/>
      <family val="2"/>
    </font>
    <font>
      <sz val="11"/>
      <color rgb="FF0000FF"/>
      <name val="Calibri"/>
      <family val="2"/>
    </font>
    <font>
      <b/>
      <sz val="11"/>
      <name val="Calibri"/>
      <family val="2"/>
    </font>
    <font>
      <sz val="10"/>
      <color indexed="12"/>
      <name val="Arial"/>
      <family val="2"/>
    </font>
    <font>
      <vertAlign val="superscript"/>
      <sz val="11"/>
      <name val="Calibri"/>
      <family val="2"/>
    </font>
    <font>
      <sz val="11"/>
      <color indexed="12"/>
      <name val="Calibri"/>
      <family val="2"/>
      <scheme val="minor"/>
    </font>
    <font>
      <sz val="10"/>
      <color theme="1"/>
      <name val="Arial"/>
      <family val="2"/>
    </font>
    <font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164" fontId="0" fillId="0" borderId="0" xfId="0" applyNumberFormat="1" applyFont="1"/>
    <xf numFmtId="164" fontId="0" fillId="0" borderId="2" xfId="0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65" fontId="1" fillId="0" borderId="0" xfId="0" applyNumberFormat="1" applyFont="1" applyFill="1"/>
    <xf numFmtId="42" fontId="0" fillId="0" borderId="0" xfId="0" applyNumberFormat="1"/>
    <xf numFmtId="165" fontId="0" fillId="0" borderId="1" xfId="0" applyNumberFormat="1" applyBorder="1"/>
    <xf numFmtId="165" fontId="1" fillId="0" borderId="1" xfId="0" applyNumberFormat="1" applyFont="1" applyBorder="1"/>
    <xf numFmtId="3" fontId="0" fillId="0" borderId="2" xfId="0" applyNumberFormat="1" applyBorder="1"/>
    <xf numFmtId="42" fontId="0" fillId="0" borderId="2" xfId="0" applyNumberFormat="1" applyBorder="1"/>
    <xf numFmtId="0" fontId="6" fillId="0" borderId="0" xfId="0" applyFont="1" applyBorder="1" applyAlignment="1">
      <alignment horizontal="left"/>
    </xf>
    <xf numFmtId="3" fontId="6" fillId="0" borderId="0" xfId="0" applyNumberFormat="1" applyFont="1" applyFill="1" applyBorder="1"/>
    <xf numFmtId="42" fontId="6" fillId="0" borderId="0" xfId="0" applyNumberFormat="1" applyFont="1" applyFill="1" applyBorder="1"/>
    <xf numFmtId="166" fontId="6" fillId="0" borderId="0" xfId="0" applyNumberFormat="1" applyFont="1" applyFill="1" applyBorder="1"/>
    <xf numFmtId="166" fontId="6" fillId="0" borderId="0" xfId="0" applyNumberFormat="1" applyFont="1" applyFill="1"/>
    <xf numFmtId="166" fontId="7" fillId="0" borderId="0" xfId="0" applyNumberFormat="1" applyFont="1"/>
    <xf numFmtId="42" fontId="6" fillId="0" borderId="0" xfId="0" applyNumberFormat="1" applyFont="1" applyBorder="1"/>
    <xf numFmtId="164" fontId="6" fillId="0" borderId="0" xfId="0" applyNumberFormat="1" applyFont="1"/>
    <xf numFmtId="0" fontId="6" fillId="0" borderId="0" xfId="0" applyFont="1"/>
    <xf numFmtId="37" fontId="6" fillId="0" borderId="0" xfId="0" applyNumberFormat="1" applyFont="1"/>
    <xf numFmtId="10" fontId="6" fillId="0" borderId="0" xfId="0" applyNumberFormat="1" applyFont="1"/>
    <xf numFmtId="37" fontId="6" fillId="0" borderId="0" xfId="0" applyNumberFormat="1" applyFont="1" applyFill="1"/>
    <xf numFmtId="0" fontId="6" fillId="0" borderId="0" xfId="0" applyFont="1" applyAlignment="1">
      <alignment horizontal="left"/>
    </xf>
    <xf numFmtId="3" fontId="6" fillId="0" borderId="0" xfId="0" applyNumberFormat="1" applyFont="1" applyBorder="1"/>
    <xf numFmtId="42" fontId="6" fillId="0" borderId="2" xfId="0" applyNumberFormat="1" applyFont="1" applyFill="1" applyBorder="1"/>
    <xf numFmtId="0" fontId="6" fillId="0" borderId="0" xfId="0" applyFont="1" applyFill="1"/>
    <xf numFmtId="3" fontId="0" fillId="0" borderId="0" xfId="0" applyNumberFormat="1"/>
    <xf numFmtId="0" fontId="9" fillId="0" borderId="0" xfId="0" applyFont="1" applyAlignment="1">
      <alignment horizontal="left"/>
    </xf>
    <xf numFmtId="42" fontId="6" fillId="0" borderId="0" xfId="0" applyNumberFormat="1" applyFont="1"/>
    <xf numFmtId="168" fontId="6" fillId="0" borderId="0" xfId="0" applyNumberFormat="1" applyFont="1" applyFill="1"/>
    <xf numFmtId="169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textRotation="180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8" fontId="6" fillId="0" borderId="2" xfId="0" applyNumberFormat="1" applyFont="1" applyFill="1" applyBorder="1"/>
    <xf numFmtId="169" fontId="6" fillId="0" borderId="2" xfId="0" applyNumberFormat="1" applyFont="1" applyFill="1" applyBorder="1"/>
    <xf numFmtId="44" fontId="6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/>
    <xf numFmtId="170" fontId="3" fillId="0" borderId="0" xfId="0" applyNumberFormat="1" applyFont="1"/>
    <xf numFmtId="0" fontId="12" fillId="0" borderId="0" xfId="0" applyFont="1" applyBorder="1"/>
    <xf numFmtId="44" fontId="12" fillId="0" borderId="0" xfId="0" applyNumberFormat="1" applyFont="1"/>
    <xf numFmtId="44" fontId="12" fillId="0" borderId="0" xfId="0" applyNumberFormat="1" applyFont="1" applyBorder="1"/>
    <xf numFmtId="44" fontId="3" fillId="0" borderId="0" xfId="0" applyNumberFormat="1" applyFont="1"/>
    <xf numFmtId="44" fontId="12" fillId="0" borderId="1" xfId="0" applyNumberFormat="1" applyFont="1" applyBorder="1"/>
    <xf numFmtId="170" fontId="3" fillId="0" borderId="1" xfId="0" applyNumberFormat="1" applyFont="1" applyBorder="1"/>
    <xf numFmtId="44" fontId="3" fillId="0" borderId="1" xfId="0" applyNumberFormat="1" applyFont="1" applyBorder="1"/>
    <xf numFmtId="166" fontId="12" fillId="0" borderId="0" xfId="0" applyNumberFormat="1" applyFont="1" applyBorder="1"/>
    <xf numFmtId="166" fontId="3" fillId="0" borderId="0" xfId="0" applyNumberFormat="1" applyFont="1"/>
    <xf numFmtId="166" fontId="3" fillId="0" borderId="2" xfId="0" applyNumberFormat="1" applyFont="1" applyBorder="1"/>
    <xf numFmtId="170" fontId="3" fillId="0" borderId="2" xfId="0" applyNumberFormat="1" applyFont="1" applyBorder="1"/>
    <xf numFmtId="166" fontId="3" fillId="0" borderId="0" xfId="0" applyNumberFormat="1" applyFont="1" applyBorder="1"/>
    <xf numFmtId="44" fontId="3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0" xfId="0" applyFont="1" applyFill="1" applyAlignment="1"/>
    <xf numFmtId="0" fontId="3" fillId="0" borderId="0" xfId="0" applyFont="1" applyAlignment="1"/>
    <xf numFmtId="166" fontId="14" fillId="0" borderId="0" xfId="0" applyNumberFormat="1" applyFont="1"/>
    <xf numFmtId="166" fontId="14" fillId="0" borderId="0" xfId="0" applyNumberFormat="1" applyFont="1" applyFill="1"/>
    <xf numFmtId="166" fontId="12" fillId="0" borderId="0" xfId="0" applyNumberFormat="1" applyFont="1" applyFill="1"/>
    <xf numFmtId="167" fontId="8" fillId="0" borderId="0" xfId="0" applyNumberFormat="1" applyFont="1" applyFill="1"/>
    <xf numFmtId="42" fontId="2" fillId="0" borderId="0" xfId="0" applyNumberFormat="1" applyFont="1"/>
    <xf numFmtId="42" fontId="3" fillId="0" borderId="0" xfId="0" applyNumberFormat="1" applyFont="1"/>
    <xf numFmtId="42" fontId="3" fillId="0" borderId="2" xfId="0" applyNumberFormat="1" applyFont="1" applyBorder="1"/>
    <xf numFmtId="169" fontId="0" fillId="0" borderId="0" xfId="0" applyNumberFormat="1"/>
    <xf numFmtId="0" fontId="0" fillId="0" borderId="0" xfId="0" quotePrefix="1"/>
    <xf numFmtId="169" fontId="6" fillId="0" borderId="0" xfId="0" applyNumberFormat="1" applyFont="1" applyFill="1" applyBorder="1"/>
    <xf numFmtId="167" fontId="6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166" fontId="10" fillId="0" borderId="0" xfId="0" applyNumberFormat="1" applyFont="1"/>
    <xf numFmtId="166" fontId="5" fillId="0" borderId="0" xfId="0" applyNumberFormat="1" applyFont="1"/>
    <xf numFmtId="42" fontId="1" fillId="0" borderId="0" xfId="0" applyNumberFormat="1" applyFont="1"/>
    <xf numFmtId="10" fontId="0" fillId="0" borderId="0" xfId="0" applyNumberFormat="1" applyFont="1"/>
    <xf numFmtId="10" fontId="0" fillId="0" borderId="2" xfId="0" applyNumberFormat="1" applyFont="1" applyBorder="1"/>
    <xf numFmtId="10" fontId="0" fillId="0" borderId="0" xfId="0" applyNumberFormat="1"/>
    <xf numFmtId="0" fontId="0" fillId="0" borderId="0" xfId="0" applyAlignment="1">
      <alignment horizontal="center"/>
    </xf>
    <xf numFmtId="3" fontId="8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6" fontId="0" fillId="0" borderId="0" xfId="0" applyNumberFormat="1" applyFont="1"/>
    <xf numFmtId="0" fontId="1" fillId="0" borderId="0" xfId="0" applyFont="1" applyBorder="1" applyAlignment="1">
      <alignment horizontal="center"/>
    </xf>
    <xf numFmtId="166" fontId="0" fillId="0" borderId="0" xfId="0" applyNumberFormat="1" applyFont="1" applyFill="1"/>
    <xf numFmtId="10" fontId="3" fillId="0" borderId="0" xfId="0" applyNumberFormat="1" applyFont="1"/>
    <xf numFmtId="166" fontId="2" fillId="0" borderId="0" xfId="0" applyNumberFormat="1" applyFont="1"/>
    <xf numFmtId="3" fontId="1" fillId="0" borderId="0" xfId="0" applyNumberFormat="1" applyFont="1"/>
    <xf numFmtId="42" fontId="8" fillId="0" borderId="0" xfId="0" applyNumberFormat="1" applyFont="1" applyFill="1" applyBorder="1"/>
    <xf numFmtId="166" fontId="8" fillId="0" borderId="0" xfId="0" applyNumberFormat="1" applyFont="1" applyFill="1"/>
    <xf numFmtId="171" fontId="8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 16 2" xfId="1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4"/>
  <sheetViews>
    <sheetView tabSelected="1" zoomScale="90" zoomScaleNormal="90" workbookViewId="0">
      <pane xSplit="3" ySplit="8" topLeftCell="D29" activePane="bottomRight" state="frozenSplit"/>
      <selection activeCell="K30" sqref="K30"/>
      <selection pane="topRight" activeCell="K30" sqref="K30"/>
      <selection pane="bottomLeft" activeCell="K30" sqref="K30"/>
      <selection pane="bottomRight" activeCell="E46" sqref="E46"/>
    </sheetView>
  </sheetViews>
  <sheetFormatPr defaultRowHeight="15" x14ac:dyDescent="0.25"/>
  <cols>
    <col min="1" max="1" width="2.85546875" customWidth="1"/>
    <col min="2" max="2" width="38.7109375" customWidth="1"/>
    <col min="3" max="3" width="9.140625" bestFit="1" customWidth="1"/>
    <col min="4" max="4" width="15" bestFit="1" customWidth="1"/>
    <col min="5" max="5" width="14.5703125" bestFit="1" customWidth="1"/>
    <col min="6" max="6" width="11.7109375" bestFit="1" customWidth="1"/>
    <col min="7" max="7" width="16.5703125" bestFit="1" customWidth="1"/>
    <col min="8" max="8" width="15.5703125" bestFit="1" customWidth="1"/>
    <col min="9" max="9" width="14.5703125" bestFit="1" customWidth="1"/>
    <col min="10" max="10" width="14" bestFit="1" customWidth="1"/>
    <col min="11" max="11" width="13.28515625" bestFit="1" customWidth="1"/>
    <col min="12" max="12" width="12.140625" bestFit="1" customWidth="1"/>
    <col min="13" max="13" width="12.85546875" bestFit="1" customWidth="1"/>
    <col min="14" max="14" width="13.28515625" bestFit="1" customWidth="1"/>
    <col min="15" max="15" width="13.42578125" bestFit="1" customWidth="1"/>
    <col min="16" max="16" width="10" bestFit="1" customWidth="1"/>
    <col min="17" max="18" width="13.28515625" bestFit="1" customWidth="1"/>
    <col min="19" max="19" width="15.7109375" bestFit="1" customWidth="1"/>
    <col min="20" max="20" width="12.140625" bestFit="1" customWidth="1"/>
    <col min="21" max="21" width="7.85546875" bestFit="1" customWidth="1"/>
    <col min="22" max="22" width="13.7109375" bestFit="1" customWidth="1"/>
  </cols>
  <sheetData>
    <row r="1" spans="2:2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2:21" x14ac:dyDescent="0.25">
      <c r="B2" s="102" t="s">
        <v>113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2:21" x14ac:dyDescent="0.25">
      <c r="B3" s="103" t="s">
        <v>105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2:21" x14ac:dyDescent="0.25">
      <c r="B4" s="103" t="s">
        <v>109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</row>
    <row r="5" spans="2:21" x14ac:dyDescent="0.25">
      <c r="F5" s="3"/>
      <c r="N5" s="3"/>
      <c r="R5" s="3"/>
    </row>
    <row r="6" spans="2:21" x14ac:dyDescent="0.25">
      <c r="B6" s="4"/>
      <c r="C6" s="4"/>
      <c r="D6" s="4" t="s">
        <v>106</v>
      </c>
      <c r="E6" s="4" t="s">
        <v>106</v>
      </c>
      <c r="F6" s="4"/>
      <c r="G6" s="4" t="s">
        <v>14</v>
      </c>
      <c r="H6" s="3"/>
      <c r="I6" s="4"/>
      <c r="J6" s="4"/>
      <c r="K6" s="4"/>
      <c r="L6" s="4"/>
      <c r="M6" s="4"/>
      <c r="N6" s="4"/>
      <c r="O6" s="4"/>
      <c r="P6" s="4" t="s">
        <v>101</v>
      </c>
      <c r="Q6" s="4" t="s">
        <v>101</v>
      </c>
      <c r="R6" s="4"/>
      <c r="S6" s="94" t="s">
        <v>111</v>
      </c>
      <c r="T6" s="94" t="s">
        <v>81</v>
      </c>
      <c r="U6" s="4"/>
    </row>
    <row r="7" spans="2:21" x14ac:dyDescent="0.25">
      <c r="B7" s="4"/>
      <c r="C7" s="4" t="s">
        <v>16</v>
      </c>
      <c r="D7" s="4" t="s">
        <v>17</v>
      </c>
      <c r="E7" s="4" t="s">
        <v>18</v>
      </c>
      <c r="F7" s="4" t="s">
        <v>19</v>
      </c>
      <c r="G7" s="4" t="s">
        <v>3</v>
      </c>
      <c r="H7" s="90" t="s">
        <v>14</v>
      </c>
      <c r="I7" s="4" t="s">
        <v>20</v>
      </c>
      <c r="J7" s="4" t="s">
        <v>21</v>
      </c>
      <c r="K7" s="4" t="s">
        <v>54</v>
      </c>
      <c r="L7" s="4" t="s">
        <v>82</v>
      </c>
      <c r="M7" s="4" t="s">
        <v>81</v>
      </c>
      <c r="N7" s="4" t="s">
        <v>15</v>
      </c>
      <c r="O7" s="4" t="s">
        <v>86</v>
      </c>
      <c r="P7" s="4" t="s">
        <v>100</v>
      </c>
      <c r="Q7" s="4" t="s">
        <v>76</v>
      </c>
      <c r="R7" s="4" t="s">
        <v>77</v>
      </c>
      <c r="S7" s="4" t="s">
        <v>83</v>
      </c>
      <c r="T7" s="4" t="s">
        <v>2</v>
      </c>
      <c r="U7" s="4" t="s">
        <v>22</v>
      </c>
    </row>
    <row r="8" spans="2:21" ht="17.25" x14ac:dyDescent="0.25">
      <c r="B8" s="5" t="s">
        <v>4</v>
      </c>
      <c r="C8" s="5" t="s">
        <v>23</v>
      </c>
      <c r="D8" s="5" t="s">
        <v>24</v>
      </c>
      <c r="E8" s="5" t="s">
        <v>25</v>
      </c>
      <c r="F8" s="5" t="s">
        <v>26</v>
      </c>
      <c r="G8" s="92" t="s">
        <v>110</v>
      </c>
      <c r="H8" s="5" t="s">
        <v>87</v>
      </c>
      <c r="I8" s="5" t="s">
        <v>2</v>
      </c>
      <c r="J8" s="5" t="s">
        <v>2</v>
      </c>
      <c r="K8" s="5" t="s">
        <v>2</v>
      </c>
      <c r="L8" s="5" t="s">
        <v>2</v>
      </c>
      <c r="M8" s="5" t="s">
        <v>2</v>
      </c>
      <c r="N8" s="5" t="s">
        <v>2</v>
      </c>
      <c r="O8" s="5" t="s">
        <v>2</v>
      </c>
      <c r="P8" s="5" t="s">
        <v>2</v>
      </c>
      <c r="Q8" s="5" t="s">
        <v>2</v>
      </c>
      <c r="R8" s="5" t="s">
        <v>2</v>
      </c>
      <c r="S8" s="5" t="s">
        <v>2</v>
      </c>
      <c r="T8" s="5" t="s">
        <v>29</v>
      </c>
      <c r="U8" s="5" t="s">
        <v>29</v>
      </c>
    </row>
    <row r="9" spans="2:21" x14ac:dyDescent="0.25">
      <c r="B9" s="4" t="s">
        <v>30</v>
      </c>
      <c r="C9" s="4" t="s">
        <v>31</v>
      </c>
      <c r="D9" s="6" t="s">
        <v>32</v>
      </c>
      <c r="E9" s="7" t="s">
        <v>33</v>
      </c>
      <c r="F9" s="4" t="s">
        <v>88</v>
      </c>
      <c r="G9" s="4" t="s">
        <v>89</v>
      </c>
      <c r="H9" s="4" t="s">
        <v>90</v>
      </c>
      <c r="I9" s="4" t="s">
        <v>78</v>
      </c>
      <c r="J9" s="4" t="s">
        <v>91</v>
      </c>
      <c r="K9" s="4" t="s">
        <v>34</v>
      </c>
      <c r="L9" s="7" t="s">
        <v>55</v>
      </c>
      <c r="M9" s="4" t="s">
        <v>79</v>
      </c>
      <c r="N9" s="4" t="s">
        <v>92</v>
      </c>
      <c r="O9" s="7" t="s">
        <v>80</v>
      </c>
      <c r="P9" s="7" t="s">
        <v>93</v>
      </c>
      <c r="Q9" s="7" t="s">
        <v>94</v>
      </c>
      <c r="R9" s="4" t="s">
        <v>95</v>
      </c>
      <c r="S9" s="7" t="s">
        <v>96</v>
      </c>
      <c r="T9" s="4" t="s">
        <v>97</v>
      </c>
      <c r="U9" s="4" t="s">
        <v>102</v>
      </c>
    </row>
    <row r="10" spans="2:21" x14ac:dyDescent="0.25">
      <c r="B10" t="s">
        <v>6</v>
      </c>
      <c r="C10" s="8" t="s">
        <v>35</v>
      </c>
      <c r="D10" s="98">
        <v>577531400.48799992</v>
      </c>
      <c r="E10" s="86">
        <v>299349526.67167699</v>
      </c>
      <c r="F10" s="9">
        <f t="shared" ref="F10:F15" si="0">(E10)/D10</f>
        <v>0.51832597572830497</v>
      </c>
      <c r="G10" s="98">
        <v>632840552</v>
      </c>
      <c r="H10" s="11">
        <f>F10*G10</f>
        <v>328017696.59583914</v>
      </c>
      <c r="I10" s="86">
        <v>206717366.31</v>
      </c>
      <c r="J10" s="86">
        <v>-36881947.369999997</v>
      </c>
      <c r="K10" s="86">
        <v>10777274.60056</v>
      </c>
      <c r="L10" s="86">
        <v>3398353.7642399999</v>
      </c>
      <c r="M10" s="86">
        <v>-2265569.1761599998</v>
      </c>
      <c r="N10" s="86">
        <v>15491936.712960001</v>
      </c>
      <c r="O10" s="86">
        <v>0</v>
      </c>
      <c r="P10" s="86"/>
      <c r="Q10" s="86">
        <v>51608147.020000003</v>
      </c>
      <c r="R10" s="86">
        <v>7094142.5879199998</v>
      </c>
      <c r="S10" s="77">
        <f>SUM(H10:R10)</f>
        <v>583957401.04535913</v>
      </c>
      <c r="T10" s="76">
        <f>'Schedule 132 Revenue'!G8</f>
        <v>2265569.1761599998</v>
      </c>
      <c r="U10" s="87">
        <f>T10/S10</f>
        <v>3.8796822715224406E-3</v>
      </c>
    </row>
    <row r="11" spans="2:21" x14ac:dyDescent="0.25">
      <c r="B11" t="s">
        <v>36</v>
      </c>
      <c r="C11" s="8">
        <v>16</v>
      </c>
      <c r="D11" s="98">
        <v>9689.9889999999996</v>
      </c>
      <c r="E11" s="86">
        <v>4941.8900000000003</v>
      </c>
      <c r="F11" s="9">
        <f t="shared" si="0"/>
        <v>0.50999954695511007</v>
      </c>
      <c r="G11" s="98">
        <v>9719</v>
      </c>
      <c r="H11" s="11">
        <f t="shared" ref="H11:H22" si="1">F11*G11</f>
        <v>4956.6855968567152</v>
      </c>
      <c r="I11" s="86">
        <v>3174.71</v>
      </c>
      <c r="J11" s="86">
        <v>-566.41999999999996</v>
      </c>
      <c r="K11" s="86">
        <v>165.51456999999999</v>
      </c>
      <c r="L11" s="86">
        <v>0</v>
      </c>
      <c r="M11" s="86">
        <v>-34.794019999999996</v>
      </c>
      <c r="N11" s="86">
        <v>237.92112000000003</v>
      </c>
      <c r="O11" s="86">
        <v>0</v>
      </c>
      <c r="P11" s="86">
        <v>0</v>
      </c>
      <c r="Q11" s="86"/>
      <c r="R11" s="86">
        <v>108.94999</v>
      </c>
      <c r="S11" s="77">
        <f t="shared" ref="S11:S22" si="2">SUM(H11:R11)</f>
        <v>8042.5672568567152</v>
      </c>
      <c r="T11" s="76">
        <f>'Schedule 132 Revenue'!G9</f>
        <v>34.794019999999996</v>
      </c>
      <c r="U11" s="87">
        <f t="shared" ref="U11:U23" si="3">T11/S11</f>
        <v>4.3262330159982492E-3</v>
      </c>
    </row>
    <row r="12" spans="2:21" x14ac:dyDescent="0.25">
      <c r="B12" t="s">
        <v>7</v>
      </c>
      <c r="C12" s="8">
        <v>31</v>
      </c>
      <c r="D12" s="98">
        <v>214564223.29299998</v>
      </c>
      <c r="E12" s="86">
        <v>86991648.090000004</v>
      </c>
      <c r="F12" s="9">
        <f t="shared" si="0"/>
        <v>0.40543407822098948</v>
      </c>
      <c r="G12" s="98">
        <v>237425329</v>
      </c>
      <c r="H12" s="11">
        <f t="shared" si="1"/>
        <v>96260319.409430161</v>
      </c>
      <c r="I12" s="86">
        <v>75674575.109999999</v>
      </c>
      <c r="J12" s="86">
        <v>-13834773.92</v>
      </c>
      <c r="K12" s="86">
        <v>4043353.3528700001</v>
      </c>
      <c r="L12" s="86">
        <v>1016180.40812</v>
      </c>
      <c r="M12" s="86">
        <v>-588814.81591999996</v>
      </c>
      <c r="N12" s="86">
        <v>6260905.9257300003</v>
      </c>
      <c r="O12" s="86">
        <v>0</v>
      </c>
      <c r="P12" s="86"/>
      <c r="Q12" s="86">
        <v>1723707.8900000001</v>
      </c>
      <c r="R12" s="86">
        <v>2583187.5795200001</v>
      </c>
      <c r="S12" s="77">
        <f t="shared" si="2"/>
        <v>173138640.93975013</v>
      </c>
      <c r="T12" s="76">
        <f>'Schedule 132 Revenue'!G10</f>
        <v>588814.81591999996</v>
      </c>
      <c r="U12" s="87">
        <f t="shared" si="3"/>
        <v>3.4008284501025939E-3</v>
      </c>
    </row>
    <row r="13" spans="2:21" x14ac:dyDescent="0.25">
      <c r="B13" t="s">
        <v>8</v>
      </c>
      <c r="C13" s="8">
        <v>41</v>
      </c>
      <c r="D13" s="98">
        <v>65990650.213</v>
      </c>
      <c r="E13" s="86">
        <v>14627826.099797169</v>
      </c>
      <c r="F13" s="9">
        <f t="shared" si="0"/>
        <v>0.22166513062960427</v>
      </c>
      <c r="G13" s="98">
        <v>67506245</v>
      </c>
      <c r="H13" s="11">
        <f t="shared" si="1"/>
        <v>14963780.616239071</v>
      </c>
      <c r="I13" s="86">
        <v>19340523.340499997</v>
      </c>
      <c r="J13" s="86">
        <v>-3929538.52</v>
      </c>
      <c r="K13" s="86">
        <v>1149631.3523500001</v>
      </c>
      <c r="L13" s="86">
        <v>151889.05124999999</v>
      </c>
      <c r="M13" s="86">
        <v>-168090.55004999999</v>
      </c>
      <c r="N13" s="86">
        <v>615656.95439999993</v>
      </c>
      <c r="O13" s="86">
        <v>0</v>
      </c>
      <c r="P13" s="86"/>
      <c r="Q13" s="86">
        <v>1292434.58</v>
      </c>
      <c r="R13" s="86">
        <v>419888.84389999998</v>
      </c>
      <c r="S13" s="77">
        <f t="shared" si="2"/>
        <v>33836175.66858907</v>
      </c>
      <c r="T13" s="76">
        <f>'Schedule 132 Revenue'!G11</f>
        <v>168090.55004999999</v>
      </c>
      <c r="U13" s="87">
        <f t="shared" si="3"/>
        <v>4.9677762551056399E-3</v>
      </c>
    </row>
    <row r="14" spans="2:21" x14ac:dyDescent="0.25">
      <c r="B14" t="s">
        <v>9</v>
      </c>
      <c r="C14" s="8">
        <v>85</v>
      </c>
      <c r="D14" s="98">
        <v>17139795.438999999</v>
      </c>
      <c r="E14" s="86">
        <v>1690709.47</v>
      </c>
      <c r="F14" s="9">
        <f t="shared" si="0"/>
        <v>9.864233654463278E-2</v>
      </c>
      <c r="G14" s="98">
        <v>15951431</v>
      </c>
      <c r="H14" s="11">
        <f t="shared" si="1"/>
        <v>1573486.4250704881</v>
      </c>
      <c r="I14" s="86">
        <v>4425818.1961000003</v>
      </c>
      <c r="J14" s="86">
        <v>-928213.77</v>
      </c>
      <c r="K14" s="86">
        <v>238154.86483000001</v>
      </c>
      <c r="L14" s="86">
        <v>17181.257957417412</v>
      </c>
      <c r="M14" s="86">
        <v>-7656.6868800000002</v>
      </c>
      <c r="N14" s="86">
        <v>70345.810709999991</v>
      </c>
      <c r="O14" s="86">
        <v>0</v>
      </c>
      <c r="P14" s="86">
        <v>0</v>
      </c>
      <c r="Q14" s="86"/>
      <c r="R14" s="86">
        <v>52799.23661</v>
      </c>
      <c r="S14" s="77">
        <f t="shared" si="2"/>
        <v>5441915.3343979055</v>
      </c>
      <c r="T14" s="76">
        <f>'Schedule 132 Revenue'!G12</f>
        <v>7656.6868800000002</v>
      </c>
      <c r="U14" s="87">
        <f t="shared" si="3"/>
        <v>1.4069838300501854E-3</v>
      </c>
    </row>
    <row r="15" spans="2:21" x14ac:dyDescent="0.25">
      <c r="B15" t="s">
        <v>10</v>
      </c>
      <c r="C15" s="8">
        <v>86</v>
      </c>
      <c r="D15" s="98">
        <v>9926029.5299999993</v>
      </c>
      <c r="E15" s="86">
        <v>2102083.46</v>
      </c>
      <c r="F15" s="9">
        <f t="shared" si="0"/>
        <v>0.21177485455254333</v>
      </c>
      <c r="G15" s="98">
        <v>9223542</v>
      </c>
      <c r="H15" s="11">
        <f t="shared" si="1"/>
        <v>1953314.2655092746</v>
      </c>
      <c r="I15" s="86">
        <v>2560185.3368699998</v>
      </c>
      <c r="J15" s="86">
        <v>-536717.91</v>
      </c>
      <c r="K15" s="86">
        <v>137707.48206000001</v>
      </c>
      <c r="L15" s="86">
        <v>20199.556980000001</v>
      </c>
      <c r="M15" s="86">
        <v>-23335.561260000002</v>
      </c>
      <c r="N15" s="86">
        <v>78676.813259999995</v>
      </c>
      <c r="O15" s="86">
        <v>0</v>
      </c>
      <c r="P15" s="86"/>
      <c r="Q15" s="86">
        <v>181056.41999999998</v>
      </c>
      <c r="R15" s="86">
        <v>38277.6993</v>
      </c>
      <c r="S15" s="77">
        <f t="shared" si="2"/>
        <v>4409364.1027192753</v>
      </c>
      <c r="T15" s="76">
        <f>'Schedule 132 Revenue'!G13</f>
        <v>23335.561260000002</v>
      </c>
      <c r="U15" s="87">
        <f t="shared" si="3"/>
        <v>5.2922736059852378E-3</v>
      </c>
    </row>
    <row r="16" spans="2:21" x14ac:dyDescent="0.25">
      <c r="B16" t="s">
        <v>11</v>
      </c>
      <c r="C16" s="8">
        <v>87</v>
      </c>
      <c r="D16" s="98">
        <v>23311381.287999999</v>
      </c>
      <c r="E16" s="86">
        <v>1129405.5499999998</v>
      </c>
      <c r="F16" s="9">
        <f>(E16)/D16</f>
        <v>4.8448675608140992E-2</v>
      </c>
      <c r="G16" s="98">
        <v>22109141</v>
      </c>
      <c r="H16" s="11">
        <f t="shared" si="1"/>
        <v>1071158.60028365</v>
      </c>
      <c r="I16" s="86">
        <v>5979196.0920400005</v>
      </c>
      <c r="J16" s="86">
        <v>-1286088.73</v>
      </c>
      <c r="K16" s="86">
        <v>330089.47513000004</v>
      </c>
      <c r="L16" s="86">
        <v>9917.5201607049348</v>
      </c>
      <c r="M16" s="86">
        <v>-8401.4735799999999</v>
      </c>
      <c r="N16" s="86">
        <v>65000.874539999997</v>
      </c>
      <c r="O16" s="86">
        <v>0</v>
      </c>
      <c r="P16" s="86">
        <v>0</v>
      </c>
      <c r="Q16" s="86"/>
      <c r="R16" s="86">
        <v>44660.464820000001</v>
      </c>
      <c r="S16" s="77">
        <f t="shared" si="2"/>
        <v>6205532.8233943563</v>
      </c>
      <c r="T16" s="76">
        <f>'Schedule 132 Revenue'!G14</f>
        <v>8401.4735799999999</v>
      </c>
      <c r="U16" s="87">
        <f t="shared" si="3"/>
        <v>1.3538682042462374E-3</v>
      </c>
    </row>
    <row r="17" spans="2:24" x14ac:dyDescent="0.25">
      <c r="B17" t="s">
        <v>37</v>
      </c>
      <c r="C17" s="8" t="s">
        <v>38</v>
      </c>
      <c r="D17" s="98">
        <v>22880.93</v>
      </c>
      <c r="E17" s="86">
        <v>14880.86</v>
      </c>
      <c r="F17" s="9">
        <f>(E17)/D17</f>
        <v>0.65036080264220031</v>
      </c>
      <c r="G17" s="98">
        <v>23064</v>
      </c>
      <c r="H17" s="11">
        <f t="shared" si="1"/>
        <v>14999.921552139707</v>
      </c>
      <c r="I17" s="86"/>
      <c r="J17" s="86"/>
      <c r="K17" s="86"/>
      <c r="L17" s="86">
        <v>98.713920000000002</v>
      </c>
      <c r="M17" s="86">
        <v>-57.198720000000002</v>
      </c>
      <c r="N17" s="86">
        <v>608.19767999999999</v>
      </c>
      <c r="O17" s="86">
        <v>0</v>
      </c>
      <c r="P17" s="86"/>
      <c r="Q17" s="86">
        <v>162.83000000000001</v>
      </c>
      <c r="R17" s="86">
        <v>250.93632000000002</v>
      </c>
      <c r="S17" s="77">
        <f t="shared" si="2"/>
        <v>16063.400752139707</v>
      </c>
      <c r="T17" s="76">
        <f>'Schedule 132 Revenue'!G15</f>
        <v>57.198720000000002</v>
      </c>
      <c r="U17" s="87">
        <f t="shared" si="3"/>
        <v>3.5608101225004245E-3</v>
      </c>
    </row>
    <row r="18" spans="2:24" x14ac:dyDescent="0.25">
      <c r="B18" t="s">
        <v>39</v>
      </c>
      <c r="C18" t="s">
        <v>40</v>
      </c>
      <c r="D18" s="98">
        <v>17702125.890000001</v>
      </c>
      <c r="E18" s="86">
        <v>3565479.9526575999</v>
      </c>
      <c r="F18" s="9">
        <f t="shared" ref="F18:F23" si="4">(E18)/D18</f>
        <v>0.20141535399834398</v>
      </c>
      <c r="G18" s="98">
        <v>23032593</v>
      </c>
      <c r="H18" s="11">
        <f>F18*G18</f>
        <v>4639117.8725947794</v>
      </c>
      <c r="I18" s="86"/>
      <c r="J18" s="86"/>
      <c r="K18" s="86"/>
      <c r="L18" s="86">
        <v>51823.334249999993</v>
      </c>
      <c r="M18" s="86">
        <v>-57351.156569999999</v>
      </c>
      <c r="N18" s="86">
        <v>210057.24815999999</v>
      </c>
      <c r="O18" s="86">
        <v>0</v>
      </c>
      <c r="P18" s="86"/>
      <c r="Q18" s="86">
        <v>407886.18</v>
      </c>
      <c r="R18" s="86">
        <v>143262.72845999998</v>
      </c>
      <c r="S18" s="77">
        <f>SUM(H18:R18)</f>
        <v>5394796.2068947796</v>
      </c>
      <c r="T18" s="76">
        <f>'Schedule 132 Revenue'!G16</f>
        <v>57351.156569999999</v>
      </c>
      <c r="U18" s="87">
        <f t="shared" si="3"/>
        <v>1.0630829112080782E-2</v>
      </c>
    </row>
    <row r="19" spans="2:24" x14ac:dyDescent="0.25">
      <c r="B19" t="s">
        <v>41</v>
      </c>
      <c r="C19" t="s">
        <v>42</v>
      </c>
      <c r="D19" s="98">
        <v>79480065.260000005</v>
      </c>
      <c r="E19" s="86">
        <v>7330425.0899999999</v>
      </c>
      <c r="F19" s="9">
        <f t="shared" si="4"/>
        <v>9.2229731644284246E-2</v>
      </c>
      <c r="G19" s="98">
        <v>79542381</v>
      </c>
      <c r="H19" s="11">
        <f t="shared" si="1"/>
        <v>7336172.4539774144</v>
      </c>
      <c r="I19" s="86"/>
      <c r="J19" s="86"/>
      <c r="K19" s="86"/>
      <c r="L19" s="86">
        <v>79025.662890289808</v>
      </c>
      <c r="M19" s="86">
        <v>-38180.342880000004</v>
      </c>
      <c r="N19" s="86">
        <v>350781.90020999999</v>
      </c>
      <c r="O19" s="86">
        <v>0</v>
      </c>
      <c r="P19" s="86">
        <v>0</v>
      </c>
      <c r="Q19" s="86"/>
      <c r="R19" s="86">
        <v>263285.28110999998</v>
      </c>
      <c r="S19" s="77">
        <f t="shared" si="2"/>
        <v>7991084.9553077035</v>
      </c>
      <c r="T19" s="76">
        <f>'Schedule 132 Revenue'!G17</f>
        <v>38180.342880000004</v>
      </c>
      <c r="U19" s="87">
        <f t="shared" si="3"/>
        <v>4.7778672224777817E-3</v>
      </c>
    </row>
    <row r="20" spans="2:24" x14ac:dyDescent="0.25">
      <c r="B20" t="s">
        <v>43</v>
      </c>
      <c r="C20" t="s">
        <v>44</v>
      </c>
      <c r="D20" s="98">
        <v>372634.3</v>
      </c>
      <c r="E20" s="86">
        <v>84449.41</v>
      </c>
      <c r="F20" s="9">
        <f t="shared" si="4"/>
        <v>0.22662811770145691</v>
      </c>
      <c r="G20" s="98">
        <v>227245</v>
      </c>
      <c r="H20" s="11">
        <f t="shared" si="1"/>
        <v>51500.106607067573</v>
      </c>
      <c r="I20" s="86"/>
      <c r="J20" s="86"/>
      <c r="K20" s="86"/>
      <c r="L20" s="86">
        <v>497.66655000000003</v>
      </c>
      <c r="M20" s="86">
        <v>-574.92984999999999</v>
      </c>
      <c r="N20" s="86">
        <v>1938.3998499999998</v>
      </c>
      <c r="O20" s="86">
        <v>0</v>
      </c>
      <c r="P20" s="86"/>
      <c r="Q20" s="86">
        <v>4832.62</v>
      </c>
      <c r="R20" s="86">
        <v>943.06674999999996</v>
      </c>
      <c r="S20" s="77">
        <f t="shared" si="2"/>
        <v>59136.929907067577</v>
      </c>
      <c r="T20" s="76">
        <f>'Schedule 132 Revenue'!G18</f>
        <v>574.92984999999999</v>
      </c>
      <c r="U20" s="87">
        <f t="shared" si="3"/>
        <v>9.7220104409121329E-3</v>
      </c>
    </row>
    <row r="21" spans="2:24" x14ac:dyDescent="0.25">
      <c r="B21" t="s">
        <v>45</v>
      </c>
      <c r="C21" t="s">
        <v>46</v>
      </c>
      <c r="D21" s="98">
        <v>99276638.950000003</v>
      </c>
      <c r="E21" s="86">
        <v>3590033.5100000002</v>
      </c>
      <c r="F21" s="9">
        <f t="shared" si="4"/>
        <v>3.6161916317574934E-2</v>
      </c>
      <c r="G21" s="98">
        <v>100655482</v>
      </c>
      <c r="H21" s="11">
        <f t="shared" si="1"/>
        <v>3639895.1169891702</v>
      </c>
      <c r="I21" s="86"/>
      <c r="J21" s="86"/>
      <c r="K21" s="86"/>
      <c r="L21" s="86">
        <v>37749.940827988081</v>
      </c>
      <c r="M21" s="86">
        <v>-38249.083160000002</v>
      </c>
      <c r="N21" s="86">
        <v>295927.11708</v>
      </c>
      <c r="O21" s="86">
        <v>0</v>
      </c>
      <c r="P21" s="86">
        <v>0</v>
      </c>
      <c r="Q21" s="86"/>
      <c r="R21" s="86">
        <v>203324.07364000002</v>
      </c>
      <c r="S21" s="77">
        <f t="shared" si="2"/>
        <v>4138647.1653771587</v>
      </c>
      <c r="T21" s="76">
        <f>'Schedule 132 Revenue'!G19</f>
        <v>38249.083160000002</v>
      </c>
      <c r="U21" s="87">
        <f t="shared" si="3"/>
        <v>9.2419289762079356E-3</v>
      </c>
    </row>
    <row r="22" spans="2:24" x14ac:dyDescent="0.25">
      <c r="B22" t="s">
        <v>12</v>
      </c>
      <c r="D22" s="98">
        <v>37223237.460000001</v>
      </c>
      <c r="E22" s="86">
        <v>1465941.3557558353</v>
      </c>
      <c r="F22" s="12">
        <f t="shared" si="4"/>
        <v>3.9382424952454288E-2</v>
      </c>
      <c r="G22" s="98">
        <v>36308551</v>
      </c>
      <c r="H22" s="11">
        <f t="shared" si="1"/>
        <v>1429918.7848898591</v>
      </c>
      <c r="I22" s="86"/>
      <c r="J22" s="86"/>
      <c r="K22" s="86"/>
      <c r="L22" s="86">
        <v>0</v>
      </c>
      <c r="M22" s="86">
        <v>-8350.9667300000001</v>
      </c>
      <c r="N22" s="86">
        <v>116550.44871000001</v>
      </c>
      <c r="O22" s="86">
        <v>0</v>
      </c>
      <c r="P22" s="86"/>
      <c r="Q22" s="86"/>
      <c r="R22" s="86">
        <v>89682.120970000004</v>
      </c>
      <c r="S22" s="77">
        <f t="shared" si="2"/>
        <v>1627800.3878398591</v>
      </c>
      <c r="T22" s="76">
        <f>'Schedule 132 Revenue'!G20</f>
        <v>8350.9667300000001</v>
      </c>
      <c r="U22" s="87">
        <f t="shared" si="3"/>
        <v>5.130215468913844E-3</v>
      </c>
    </row>
    <row r="23" spans="2:24" x14ac:dyDescent="0.25">
      <c r="B23" t="s">
        <v>5</v>
      </c>
      <c r="D23" s="14">
        <f>SUM(D10:D22)</f>
        <v>1142550753.0299997</v>
      </c>
      <c r="E23" s="15">
        <f>SUM(E10:E22)</f>
        <v>421947351.40988761</v>
      </c>
      <c r="F23" s="9">
        <f t="shared" si="4"/>
        <v>0.36930293931442415</v>
      </c>
      <c r="G23" s="14">
        <f>SUM(G10:G22)</f>
        <v>1224855275</v>
      </c>
      <c r="H23" s="15">
        <f>SUM(H10:H22)</f>
        <v>460956316.85457903</v>
      </c>
      <c r="I23" s="15">
        <f t="shared" ref="I23:K23" si="5">SUM(I10:I22)</f>
        <v>314700839.09551001</v>
      </c>
      <c r="J23" s="15">
        <f t="shared" si="5"/>
        <v>-57397846.640000001</v>
      </c>
      <c r="K23" s="15">
        <f t="shared" si="5"/>
        <v>16676376.64237</v>
      </c>
      <c r="L23" s="15">
        <f>SUM(L10:L22)</f>
        <v>4782916.8771464005</v>
      </c>
      <c r="M23" s="15">
        <f t="shared" ref="M23:N23" si="6">SUM(M10:M22)</f>
        <v>-3204666.7357799998</v>
      </c>
      <c r="N23" s="15">
        <f t="shared" si="6"/>
        <v>23558624.324410003</v>
      </c>
      <c r="O23" s="15">
        <f t="shared" ref="O23:S23" si="7">SUM(O10:O22)</f>
        <v>0</v>
      </c>
      <c r="P23" s="15">
        <f t="shared" si="7"/>
        <v>0</v>
      </c>
      <c r="Q23" s="15">
        <f t="shared" si="7"/>
        <v>55218227.539999999</v>
      </c>
      <c r="R23" s="15">
        <f t="shared" si="7"/>
        <v>10933813.569309998</v>
      </c>
      <c r="S23" s="78">
        <f t="shared" si="7"/>
        <v>826224601.52754545</v>
      </c>
      <c r="T23" s="15">
        <f>SUM(T10:T22)</f>
        <v>3204666.7357799998</v>
      </c>
      <c r="U23" s="88">
        <f t="shared" si="3"/>
        <v>3.8786871388907193E-3</v>
      </c>
      <c r="V23" s="11"/>
    </row>
    <row r="24" spans="2:24" s="24" customFormat="1" x14ac:dyDescent="0.25">
      <c r="B24" s="16"/>
      <c r="C24" s="17"/>
      <c r="D24" s="18"/>
      <c r="E24" s="19"/>
      <c r="F24" s="19"/>
      <c r="G24" s="20"/>
      <c r="H24" s="21"/>
      <c r="I24" s="20"/>
      <c r="J24" s="20"/>
      <c r="K24" s="20"/>
      <c r="L24" s="19"/>
      <c r="M24" s="20"/>
      <c r="N24" s="19"/>
      <c r="O24" s="19"/>
      <c r="P24" s="19"/>
      <c r="Q24" s="19"/>
      <c r="R24" s="19"/>
      <c r="S24" s="19"/>
      <c r="T24" s="23"/>
      <c r="U24" s="26"/>
    </row>
    <row r="25" spans="2:24" s="24" customFormat="1" ht="17.25" x14ac:dyDescent="0.25">
      <c r="B25" s="16" t="s">
        <v>85</v>
      </c>
      <c r="C25" s="16"/>
      <c r="D25" s="98">
        <v>397262</v>
      </c>
      <c r="E25" s="86">
        <v>5943249.8599999994</v>
      </c>
      <c r="F25" s="82">
        <f>E25/D25</f>
        <v>14.960529474251249</v>
      </c>
      <c r="G25" s="91">
        <v>345700</v>
      </c>
      <c r="H25" s="11">
        <f t="shared" ref="H25" si="8">F25*G25</f>
        <v>5171855.0392486565</v>
      </c>
      <c r="I25" s="99"/>
      <c r="J25" s="100"/>
      <c r="K25" s="100"/>
      <c r="L25" s="86">
        <v>0</v>
      </c>
      <c r="M25" s="86">
        <v>-48398.000000000007</v>
      </c>
      <c r="N25" s="86">
        <v>203963</v>
      </c>
      <c r="O25" s="86">
        <v>0</v>
      </c>
      <c r="P25" s="86">
        <v>0</v>
      </c>
      <c r="Q25" s="86"/>
      <c r="R25" s="101">
        <v>0</v>
      </c>
      <c r="S25" s="77">
        <f>SUM(H25:R25)</f>
        <v>5327420.0392486565</v>
      </c>
      <c r="T25" s="76">
        <f>'Schedule 132 Revenue'!G23</f>
        <v>48398.000000000007</v>
      </c>
      <c r="U25" s="87">
        <f>T25/S25</f>
        <v>9.0846975915992792E-3</v>
      </c>
      <c r="V25" s="26"/>
      <c r="W25" s="25"/>
      <c r="X25" s="27"/>
    </row>
    <row r="26" spans="2:24" s="24" customFormat="1" x14ac:dyDescent="0.25">
      <c r="B26" s="28" t="s">
        <v>5</v>
      </c>
      <c r="C26" s="28"/>
      <c r="D26" s="29"/>
      <c r="E26" s="30">
        <f>E23+E25</f>
        <v>427890601.26988763</v>
      </c>
      <c r="F26" s="31"/>
      <c r="G26" s="31"/>
      <c r="H26" s="30">
        <f>H23+H25</f>
        <v>466128171.89382768</v>
      </c>
      <c r="I26" s="30">
        <f t="shared" ref="I26:K26" si="9">I23+I25</f>
        <v>314700839.09551001</v>
      </c>
      <c r="J26" s="30">
        <f t="shared" si="9"/>
        <v>-57397846.640000001</v>
      </c>
      <c r="K26" s="30">
        <f t="shared" si="9"/>
        <v>16676376.64237</v>
      </c>
      <c r="L26" s="30">
        <f>L23+L25</f>
        <v>4782916.8771464005</v>
      </c>
      <c r="M26" s="30">
        <f t="shared" ref="M26:T26" si="10">M23+M25</f>
        <v>-3253064.7357799998</v>
      </c>
      <c r="N26" s="30">
        <f t="shared" si="10"/>
        <v>23762587.324410003</v>
      </c>
      <c r="O26" s="30">
        <f t="shared" si="10"/>
        <v>0</v>
      </c>
      <c r="P26" s="30">
        <f t="shared" si="10"/>
        <v>0</v>
      </c>
      <c r="Q26" s="30">
        <f t="shared" si="10"/>
        <v>55218227.539999999</v>
      </c>
      <c r="R26" s="30">
        <f t="shared" si="10"/>
        <v>10933813.569309998</v>
      </c>
      <c r="S26" s="30">
        <f t="shared" si="10"/>
        <v>831552021.56679416</v>
      </c>
      <c r="T26" s="30">
        <f t="shared" si="10"/>
        <v>3253064.7357799998</v>
      </c>
      <c r="U26" s="88">
        <f>T26/S26</f>
        <v>3.9120399583066831E-3</v>
      </c>
      <c r="V26" s="26"/>
    </row>
    <row r="27" spans="2:24" x14ac:dyDescent="0.25">
      <c r="D27" s="32"/>
      <c r="E27" s="11"/>
      <c r="L27" s="11"/>
      <c r="O27" s="11"/>
      <c r="P27" s="11"/>
      <c r="Q27" s="11"/>
      <c r="S27" s="11"/>
      <c r="U27" s="89"/>
    </row>
    <row r="28" spans="2:24" x14ac:dyDescent="0.25">
      <c r="D28" s="32"/>
      <c r="E28" s="11"/>
      <c r="G28" s="32"/>
      <c r="L28" s="11"/>
      <c r="O28" s="11"/>
      <c r="P28" s="11"/>
      <c r="Q28" s="11"/>
      <c r="S28" s="11"/>
      <c r="U28" s="89"/>
    </row>
    <row r="29" spans="2:24" s="24" customFormat="1" x14ac:dyDescent="0.25">
      <c r="B29" s="33" t="s">
        <v>47</v>
      </c>
      <c r="C29" s="33"/>
      <c r="D29" s="29"/>
      <c r="E29" s="22"/>
      <c r="T29" s="34"/>
      <c r="U29" s="26"/>
    </row>
    <row r="30" spans="2:24" s="24" customFormat="1" x14ac:dyDescent="0.25">
      <c r="B30" s="28" t="s">
        <v>48</v>
      </c>
      <c r="C30" s="28"/>
      <c r="D30" s="35">
        <f>D10+D11</f>
        <v>577541090.47699988</v>
      </c>
      <c r="E30" s="36">
        <f>E10+E11</f>
        <v>299354468.56167698</v>
      </c>
      <c r="F30" s="31"/>
      <c r="H30" s="36">
        <f>H10+H11</f>
        <v>328022653.28143603</v>
      </c>
      <c r="L30" s="36"/>
      <c r="O30" s="36"/>
      <c r="P30" s="36"/>
      <c r="Q30" s="36"/>
      <c r="S30" s="36">
        <f>S10+S11</f>
        <v>583965443.61261594</v>
      </c>
      <c r="T30" s="11">
        <f>SUM(T10:T11)</f>
        <v>2265603.9701799997</v>
      </c>
      <c r="U30" s="87">
        <f t="shared" ref="U30:U37" si="11">T30/S30</f>
        <v>3.8796884215685358E-3</v>
      </c>
      <c r="V30" s="37"/>
    </row>
    <row r="31" spans="2:24" s="24" customFormat="1" x14ac:dyDescent="0.25">
      <c r="B31" s="38" t="s">
        <v>49</v>
      </c>
      <c r="C31" s="38"/>
      <c r="D31" s="35">
        <f>D12+D17</f>
        <v>214587104.22299999</v>
      </c>
      <c r="E31" s="36">
        <f>E12+E17</f>
        <v>87006528.950000003</v>
      </c>
      <c r="F31" s="39"/>
      <c r="H31" s="36">
        <f>H12+H17</f>
        <v>96275319.330982298</v>
      </c>
      <c r="I31" s="40"/>
      <c r="J31" s="40"/>
      <c r="K31" s="40"/>
      <c r="L31" s="36"/>
      <c r="M31" s="40"/>
      <c r="N31" s="40"/>
      <c r="O31" s="36"/>
      <c r="P31" s="36"/>
      <c r="Q31" s="36"/>
      <c r="R31" s="40"/>
      <c r="S31" s="36">
        <f>S12+S17</f>
        <v>173154704.34050226</v>
      </c>
      <c r="T31" s="11">
        <f>SUM(T12,T17)</f>
        <v>588872.01463999995</v>
      </c>
      <c r="U31" s="87">
        <f t="shared" si="11"/>
        <v>3.4008432914534341E-3</v>
      </c>
    </row>
    <row r="32" spans="2:24" s="24" customFormat="1" x14ac:dyDescent="0.25">
      <c r="B32" s="28" t="s">
        <v>50</v>
      </c>
      <c r="C32" s="28"/>
      <c r="D32" s="35">
        <f t="shared" ref="D32:E35" si="12">D13+D18</f>
        <v>83692776.103</v>
      </c>
      <c r="E32" s="36">
        <f t="shared" si="12"/>
        <v>18193306.05245477</v>
      </c>
      <c r="F32" s="39"/>
      <c r="H32" s="36">
        <f>H13+H18</f>
        <v>19602898.488833852</v>
      </c>
      <c r="I32" s="40"/>
      <c r="J32" s="40"/>
      <c r="K32" s="40"/>
      <c r="L32" s="36"/>
      <c r="M32" s="40"/>
      <c r="N32" s="40"/>
      <c r="O32" s="36"/>
      <c r="P32" s="36"/>
      <c r="Q32" s="36"/>
      <c r="R32" s="40"/>
      <c r="S32" s="36">
        <f>S13+S18</f>
        <v>39230971.875483848</v>
      </c>
      <c r="T32" s="11">
        <f>SUM(T13,T18)</f>
        <v>225441.70661999998</v>
      </c>
      <c r="U32" s="87">
        <f t="shared" si="11"/>
        <v>5.7465236225993834E-3</v>
      </c>
    </row>
    <row r="33" spans="2:21" s="24" customFormat="1" x14ac:dyDescent="0.25">
      <c r="B33" s="28" t="s">
        <v>51</v>
      </c>
      <c r="C33" s="28"/>
      <c r="D33" s="35">
        <f t="shared" si="12"/>
        <v>96619860.699000001</v>
      </c>
      <c r="E33" s="36">
        <f t="shared" si="12"/>
        <v>9021134.5600000005</v>
      </c>
      <c r="F33" s="39"/>
      <c r="H33" s="36">
        <f>H14+H19</f>
        <v>8909658.8790479023</v>
      </c>
      <c r="I33" s="40"/>
      <c r="J33" s="40"/>
      <c r="K33" s="40"/>
      <c r="L33" s="36"/>
      <c r="M33" s="40"/>
      <c r="N33" s="40"/>
      <c r="O33" s="36"/>
      <c r="P33" s="36"/>
      <c r="Q33" s="36"/>
      <c r="R33" s="40"/>
      <c r="S33" s="36">
        <f>S14+S19</f>
        <v>13433000.289705608</v>
      </c>
      <c r="T33" s="11">
        <f>SUM(T14,T19)</f>
        <v>45837.029760000005</v>
      </c>
      <c r="U33" s="87">
        <f t="shared" si="11"/>
        <v>3.4122704363467671E-3</v>
      </c>
    </row>
    <row r="34" spans="2:21" s="24" customFormat="1" x14ac:dyDescent="0.25">
      <c r="B34" s="28" t="s">
        <v>52</v>
      </c>
      <c r="C34" s="28"/>
      <c r="D34" s="35">
        <f t="shared" si="12"/>
        <v>10298663.83</v>
      </c>
      <c r="E34" s="36">
        <f t="shared" si="12"/>
        <v>2186532.87</v>
      </c>
      <c r="F34" s="39"/>
      <c r="H34" s="36">
        <f>H15+H20</f>
        <v>2004814.3721163422</v>
      </c>
      <c r="I34" s="40"/>
      <c r="J34" s="40"/>
      <c r="K34" s="40"/>
      <c r="L34" s="81"/>
      <c r="M34" s="40"/>
      <c r="N34" s="40"/>
      <c r="O34" s="81"/>
      <c r="P34" s="81"/>
      <c r="Q34" s="81"/>
      <c r="R34" s="40"/>
      <c r="S34" s="36">
        <f>S15+S20</f>
        <v>4468501.032626343</v>
      </c>
      <c r="T34" s="11">
        <f>SUM(T15,T20)</f>
        <v>23910.491110000003</v>
      </c>
      <c r="U34" s="87">
        <f t="shared" si="11"/>
        <v>5.3508975236706419E-3</v>
      </c>
    </row>
    <row r="35" spans="2:21" s="24" customFormat="1" x14ac:dyDescent="0.25">
      <c r="B35" s="16" t="s">
        <v>53</v>
      </c>
      <c r="C35" s="16"/>
      <c r="D35" s="35">
        <f t="shared" si="12"/>
        <v>122588020.23800001</v>
      </c>
      <c r="E35" s="36">
        <f t="shared" si="12"/>
        <v>4719439.0600000005</v>
      </c>
      <c r="F35" s="39"/>
      <c r="G35" s="31"/>
      <c r="H35" s="36">
        <f>H16+H21</f>
        <v>4711053.71727282</v>
      </c>
      <c r="I35" s="39"/>
      <c r="J35" s="39"/>
      <c r="K35" s="39"/>
      <c r="L35" s="81"/>
      <c r="M35" s="39"/>
      <c r="N35" s="39"/>
      <c r="O35" s="81"/>
      <c r="P35" s="81"/>
      <c r="Q35" s="81"/>
      <c r="R35" s="39"/>
      <c r="S35" s="36">
        <f>S16+S21</f>
        <v>10344179.988771515</v>
      </c>
      <c r="T35" s="11">
        <f>SUM(T16,T21)</f>
        <v>46650.55674</v>
      </c>
      <c r="U35" s="87">
        <f t="shared" si="11"/>
        <v>4.5098361388373589E-3</v>
      </c>
    </row>
    <row r="36" spans="2:21" s="24" customFormat="1" x14ac:dyDescent="0.25">
      <c r="B36" s="41" t="s">
        <v>12</v>
      </c>
      <c r="C36" s="16"/>
      <c r="D36" s="35">
        <f>D22</f>
        <v>37223237.460000001</v>
      </c>
      <c r="E36" s="36">
        <f>E22</f>
        <v>1465941.3557558353</v>
      </c>
      <c r="F36" s="39"/>
      <c r="G36" s="31"/>
      <c r="H36" s="36">
        <f>H22</f>
        <v>1429918.7848898591</v>
      </c>
      <c r="I36" s="39"/>
      <c r="J36" s="39"/>
      <c r="K36" s="39"/>
      <c r="L36" s="81"/>
      <c r="M36" s="39"/>
      <c r="N36" s="39"/>
      <c r="O36" s="81"/>
      <c r="P36" s="81"/>
      <c r="Q36" s="81"/>
      <c r="R36" s="39"/>
      <c r="S36" s="36">
        <f>S22</f>
        <v>1627800.3878398591</v>
      </c>
      <c r="T36" s="11">
        <f>T22</f>
        <v>8350.9667300000001</v>
      </c>
      <c r="U36" s="87">
        <f t="shared" si="11"/>
        <v>5.130215468913844E-3</v>
      </c>
    </row>
    <row r="37" spans="2:21" s="24" customFormat="1" x14ac:dyDescent="0.25">
      <c r="B37" s="42" t="s">
        <v>13</v>
      </c>
      <c r="C37" s="42"/>
      <c r="D37" s="43">
        <f>SUM(D30:D36)</f>
        <v>1142550753.03</v>
      </c>
      <c r="E37" s="44">
        <f>SUM(E30:E36)</f>
        <v>421947351.40988755</v>
      </c>
      <c r="F37" s="31"/>
      <c r="G37" s="31"/>
      <c r="H37" s="44">
        <f>SUM(H30:H36)</f>
        <v>460956316.85457909</v>
      </c>
      <c r="I37" s="31"/>
      <c r="J37" s="31"/>
      <c r="K37" s="39"/>
      <c r="L37" s="81"/>
      <c r="M37" s="39"/>
      <c r="N37" s="39"/>
      <c r="O37" s="81"/>
      <c r="P37" s="81"/>
      <c r="Q37" s="81"/>
      <c r="R37" s="39"/>
      <c r="S37" s="44">
        <f>SUM(S30:S36)</f>
        <v>826224601.52754557</v>
      </c>
      <c r="T37" s="44">
        <f>SUM(T30:T36)</f>
        <v>3204666.7357799993</v>
      </c>
      <c r="U37" s="88">
        <f t="shared" si="11"/>
        <v>3.878687138890718E-3</v>
      </c>
    </row>
    <row r="38" spans="2:21" s="24" customFormat="1" x14ac:dyDescent="0.25">
      <c r="B38" s="16"/>
      <c r="C38" s="16"/>
      <c r="D38" s="35"/>
      <c r="E38" s="36"/>
      <c r="F38" s="31"/>
      <c r="G38" s="31"/>
      <c r="H38" s="36"/>
      <c r="I38" s="31"/>
      <c r="J38" s="31"/>
      <c r="K38" s="39"/>
      <c r="L38" s="81"/>
      <c r="M38" s="39"/>
      <c r="N38" s="39"/>
      <c r="O38" s="81"/>
      <c r="P38" s="81"/>
      <c r="Q38" s="81"/>
      <c r="R38" s="39"/>
      <c r="S38" s="36"/>
      <c r="T38" s="36"/>
      <c r="U38" s="87"/>
    </row>
    <row r="39" spans="2:21" s="24" customFormat="1" x14ac:dyDescent="0.25">
      <c r="B39" s="16" t="s">
        <v>99</v>
      </c>
      <c r="C39" s="16"/>
      <c r="D39" s="35"/>
      <c r="E39" s="36">
        <f>E25</f>
        <v>5943249.8599999994</v>
      </c>
      <c r="F39" s="31"/>
      <c r="G39" s="31"/>
      <c r="H39" s="36">
        <f>H25</f>
        <v>5171855.0392486565</v>
      </c>
      <c r="I39" s="31"/>
      <c r="J39" s="31"/>
      <c r="K39" s="39"/>
      <c r="L39" s="81"/>
      <c r="M39" s="39"/>
      <c r="N39" s="39"/>
      <c r="O39" s="81"/>
      <c r="P39" s="81"/>
      <c r="Q39" s="81"/>
      <c r="R39" s="39"/>
      <c r="S39" s="36">
        <f>S25</f>
        <v>5327420.0392486565</v>
      </c>
      <c r="T39" s="11">
        <f>T25</f>
        <v>48398.000000000007</v>
      </c>
      <c r="U39" s="87">
        <f>T39/S39</f>
        <v>9.0846975915992792E-3</v>
      </c>
    </row>
    <row r="40" spans="2:21" s="31" customFormat="1" x14ac:dyDescent="0.25">
      <c r="B40" s="28" t="s">
        <v>5</v>
      </c>
      <c r="C40" s="28"/>
      <c r="D40" s="43">
        <f>D39+D37</f>
        <v>1142550753.03</v>
      </c>
      <c r="E40" s="44">
        <f>E39+E37</f>
        <v>427890601.26988757</v>
      </c>
      <c r="G40" s="24"/>
      <c r="H40" s="44">
        <f>H39+H37</f>
        <v>466128171.89382774</v>
      </c>
      <c r="L40" s="81"/>
      <c r="O40" s="81"/>
      <c r="P40" s="81"/>
      <c r="Q40" s="81"/>
      <c r="S40" s="44">
        <f>S39+S37</f>
        <v>831552021.56679428</v>
      </c>
      <c r="T40" s="44">
        <f>T39+T37</f>
        <v>3253064.7357799993</v>
      </c>
      <c r="U40" s="88">
        <f>T40/S40</f>
        <v>3.9120399583066822E-3</v>
      </c>
    </row>
    <row r="41" spans="2:21" s="24" customFormat="1" x14ac:dyDescent="0.25">
      <c r="B41" s="31"/>
      <c r="C41" s="31"/>
      <c r="D41" s="31"/>
      <c r="E41" s="31"/>
      <c r="F41" s="31"/>
      <c r="I41" s="40"/>
      <c r="L41" s="31"/>
      <c r="N41" s="31"/>
      <c r="O41" s="31"/>
      <c r="P41" s="31"/>
      <c r="Q41" s="31"/>
      <c r="R41" s="31"/>
      <c r="S41" s="31"/>
      <c r="T41" s="45"/>
    </row>
    <row r="42" spans="2:21" ht="17.25" x14ac:dyDescent="0.25">
      <c r="B42" t="s">
        <v>107</v>
      </c>
      <c r="D42" s="32"/>
      <c r="E42" s="32"/>
      <c r="H42" s="79"/>
      <c r="L42" s="32"/>
      <c r="O42" s="32"/>
      <c r="P42" s="32"/>
      <c r="Q42" s="32"/>
      <c r="S42" s="32"/>
    </row>
    <row r="43" spans="2:21" ht="17.25" x14ac:dyDescent="0.25">
      <c r="B43" t="s">
        <v>108</v>
      </c>
      <c r="D43" s="32"/>
      <c r="E43" s="32"/>
      <c r="L43" s="32"/>
      <c r="O43" s="32"/>
      <c r="P43" s="32"/>
      <c r="Q43" s="32"/>
      <c r="S43" s="32"/>
    </row>
    <row r="44" spans="2:21" x14ac:dyDescent="0.25">
      <c r="B44" s="80"/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58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zoomScaleNormal="100" workbookViewId="0">
      <selection activeCell="H42" sqref="H42"/>
    </sheetView>
  </sheetViews>
  <sheetFormatPr defaultColWidth="9.140625" defaultRowHeight="15" x14ac:dyDescent="0.25"/>
  <cols>
    <col min="1" max="1" width="2.140625" style="47" customWidth="1"/>
    <col min="2" max="2" width="2.42578125" style="47" customWidth="1"/>
    <col min="3" max="3" width="37.140625" style="47" customWidth="1"/>
    <col min="4" max="5" width="13.140625" style="47" customWidth="1"/>
    <col min="6" max="6" width="2.7109375" style="48" customWidth="1"/>
    <col min="7" max="8" width="13.140625" style="47" customWidth="1"/>
    <col min="9" max="16384" width="9.140625" style="47"/>
  </cols>
  <sheetData>
    <row r="1" spans="2:9" x14ac:dyDescent="0.25">
      <c r="B1" s="104" t="s">
        <v>0</v>
      </c>
      <c r="C1" s="104"/>
      <c r="D1" s="104"/>
      <c r="E1" s="104"/>
      <c r="F1" s="104"/>
      <c r="G1" s="104"/>
      <c r="H1" s="104"/>
      <c r="I1" s="46"/>
    </row>
    <row r="2" spans="2:9" x14ac:dyDescent="0.25">
      <c r="B2" s="104" t="s">
        <v>113</v>
      </c>
      <c r="C2" s="104"/>
      <c r="D2" s="104"/>
      <c r="E2" s="104"/>
      <c r="F2" s="104"/>
      <c r="G2" s="104"/>
      <c r="H2" s="104"/>
      <c r="I2" s="46"/>
    </row>
    <row r="3" spans="2:9" x14ac:dyDescent="0.25">
      <c r="B3" s="102" t="s">
        <v>104</v>
      </c>
      <c r="C3" s="102"/>
      <c r="D3" s="102"/>
      <c r="E3" s="102"/>
      <c r="F3" s="102"/>
      <c r="G3" s="102"/>
      <c r="H3" s="102"/>
      <c r="I3" s="46"/>
    </row>
    <row r="4" spans="2:9" x14ac:dyDescent="0.25">
      <c r="B4" s="102" t="s">
        <v>109</v>
      </c>
      <c r="C4" s="102"/>
      <c r="D4" s="102"/>
      <c r="E4" s="102"/>
      <c r="F4" s="102"/>
      <c r="G4" s="102"/>
      <c r="H4" s="102"/>
      <c r="I4" s="46"/>
    </row>
    <row r="5" spans="2:9" x14ac:dyDescent="0.25">
      <c r="I5" s="46"/>
    </row>
    <row r="6" spans="2:9" x14ac:dyDescent="0.25">
      <c r="D6" s="49" t="s">
        <v>28</v>
      </c>
      <c r="E6" s="49"/>
      <c r="F6" s="50"/>
      <c r="G6" s="49" t="s">
        <v>115</v>
      </c>
      <c r="H6" s="49"/>
      <c r="I6" s="46"/>
    </row>
    <row r="7" spans="2:9" ht="17.25" x14ac:dyDescent="0.25">
      <c r="D7" s="51" t="s">
        <v>56</v>
      </c>
      <c r="E7" s="51" t="s">
        <v>57</v>
      </c>
      <c r="F7" s="52"/>
      <c r="G7" s="51" t="s">
        <v>27</v>
      </c>
      <c r="H7" s="51" t="s">
        <v>57</v>
      </c>
      <c r="I7" s="46"/>
    </row>
    <row r="8" spans="2:9" x14ac:dyDescent="0.25">
      <c r="B8" s="47" t="s">
        <v>58</v>
      </c>
      <c r="D8" s="53">
        <v>64</v>
      </c>
      <c r="E8" s="54"/>
      <c r="F8" s="55"/>
      <c r="G8" s="53">
        <v>64</v>
      </c>
      <c r="H8" s="54"/>
      <c r="I8" s="46"/>
    </row>
    <row r="9" spans="2:9" x14ac:dyDescent="0.25">
      <c r="D9" s="53"/>
      <c r="E9" s="54"/>
      <c r="F9" s="55"/>
      <c r="G9" s="53"/>
      <c r="H9" s="54"/>
      <c r="I9" s="46"/>
    </row>
    <row r="10" spans="2:9" x14ac:dyDescent="0.25">
      <c r="B10" s="47" t="s">
        <v>59</v>
      </c>
      <c r="D10" s="53"/>
      <c r="E10" s="54"/>
      <c r="F10" s="55"/>
      <c r="G10" s="53"/>
      <c r="H10" s="54"/>
      <c r="I10" s="46"/>
    </row>
    <row r="11" spans="2:9" x14ac:dyDescent="0.25">
      <c r="C11" s="47" t="s">
        <v>60</v>
      </c>
      <c r="D11" s="56">
        <v>11</v>
      </c>
      <c r="E11" s="54">
        <f>D11</f>
        <v>11</v>
      </c>
      <c r="F11" s="57"/>
      <c r="G11" s="58">
        <f>D11</f>
        <v>11</v>
      </c>
      <c r="H11" s="54">
        <f>G11</f>
        <v>11</v>
      </c>
    </row>
    <row r="12" spans="2:9" x14ac:dyDescent="0.25">
      <c r="C12" s="47" t="s">
        <v>103</v>
      </c>
      <c r="D12" s="59">
        <v>0</v>
      </c>
      <c r="E12" s="60">
        <f>D12</f>
        <v>0</v>
      </c>
      <c r="F12" s="57"/>
      <c r="G12" s="61">
        <f>D12</f>
        <v>0</v>
      </c>
      <c r="H12" s="60">
        <f>G12</f>
        <v>0</v>
      </c>
    </row>
    <row r="13" spans="2:9" x14ac:dyDescent="0.25">
      <c r="C13" s="47" t="s">
        <v>13</v>
      </c>
      <c r="D13" s="58">
        <f>SUM(D11:D12)</f>
        <v>11</v>
      </c>
      <c r="E13" s="58">
        <f>SUM(E11:E12)</f>
        <v>11</v>
      </c>
      <c r="F13" s="57"/>
      <c r="G13" s="58">
        <f>SUM(G11:G12)</f>
        <v>11</v>
      </c>
      <c r="H13" s="58">
        <f>SUM(H11:H12)</f>
        <v>11</v>
      </c>
    </row>
    <row r="14" spans="2:9" x14ac:dyDescent="0.25">
      <c r="D14" s="56"/>
      <c r="E14" s="54"/>
      <c r="F14" s="57"/>
      <c r="G14" s="58"/>
      <c r="H14" s="54"/>
    </row>
    <row r="15" spans="2:9" x14ac:dyDescent="0.25">
      <c r="B15" s="47" t="s">
        <v>61</v>
      </c>
      <c r="E15" s="54"/>
      <c r="H15" s="54"/>
    </row>
    <row r="16" spans="2:9" x14ac:dyDescent="0.25">
      <c r="C16" s="47" t="s">
        <v>62</v>
      </c>
      <c r="D16" s="72">
        <v>0.34603</v>
      </c>
      <c r="E16" s="54"/>
      <c r="F16" s="62"/>
      <c r="G16" s="63">
        <f>D16</f>
        <v>0.34603</v>
      </c>
      <c r="H16" s="54"/>
    </row>
    <row r="17" spans="3:8" x14ac:dyDescent="0.25">
      <c r="C17" s="47" t="s">
        <v>63</v>
      </c>
      <c r="D17" s="72">
        <v>2.4479999999999998E-2</v>
      </c>
      <c r="E17" s="54"/>
      <c r="F17" s="62"/>
      <c r="G17" s="63">
        <f>D17</f>
        <v>2.4479999999999998E-2</v>
      </c>
      <c r="H17" s="54"/>
    </row>
    <row r="18" spans="3:8" x14ac:dyDescent="0.25">
      <c r="C18" s="47" t="s">
        <v>103</v>
      </c>
      <c r="D18" s="72">
        <v>0</v>
      </c>
      <c r="E18" s="54"/>
      <c r="F18" s="62"/>
      <c r="G18" s="63">
        <f t="shared" ref="G18:G20" si="0">D18</f>
        <v>0</v>
      </c>
      <c r="H18" s="54"/>
    </row>
    <row r="19" spans="3:8" x14ac:dyDescent="0.25">
      <c r="C19" s="47" t="s">
        <v>64</v>
      </c>
      <c r="D19" s="72">
        <v>8.1549999999999997E-2</v>
      </c>
      <c r="E19" s="54"/>
      <c r="F19" s="62"/>
      <c r="G19" s="63">
        <f t="shared" si="0"/>
        <v>8.1549999999999997E-2</v>
      </c>
      <c r="H19" s="54"/>
    </row>
    <row r="20" spans="3:8" x14ac:dyDescent="0.25">
      <c r="C20" s="47" t="s">
        <v>65</v>
      </c>
      <c r="D20" s="73">
        <v>5.3699999999999998E-3</v>
      </c>
      <c r="E20" s="54"/>
      <c r="F20" s="62"/>
      <c r="G20" s="63">
        <f t="shared" si="0"/>
        <v>5.3699999999999998E-3</v>
      </c>
      <c r="H20" s="54"/>
    </row>
    <row r="21" spans="3:8" x14ac:dyDescent="0.25">
      <c r="C21" s="47" t="s">
        <v>66</v>
      </c>
      <c r="D21" s="74">
        <v>1.1209999999999999E-2</v>
      </c>
      <c r="E21" s="54"/>
      <c r="F21" s="62"/>
      <c r="G21" s="93">
        <f>D21</f>
        <v>1.1209999999999999E-2</v>
      </c>
      <c r="H21" s="54"/>
    </row>
    <row r="22" spans="3:8" x14ac:dyDescent="0.25">
      <c r="C22" s="47" t="s">
        <v>13</v>
      </c>
      <c r="D22" s="64">
        <f>SUM(D16:D21)</f>
        <v>0.46864</v>
      </c>
      <c r="E22" s="54">
        <f>ROUND(D22*D$8,2)</f>
        <v>29.99</v>
      </c>
      <c r="F22" s="62"/>
      <c r="G22" s="64">
        <f>SUM(G16:G21)</f>
        <v>0.46864</v>
      </c>
      <c r="H22" s="54">
        <f>ROUND(G22*G$8,2)</f>
        <v>29.99</v>
      </c>
    </row>
    <row r="23" spans="3:8" x14ac:dyDescent="0.25">
      <c r="D23" s="63"/>
      <c r="E23" s="54"/>
      <c r="F23" s="62"/>
      <c r="G23" s="63"/>
      <c r="H23" s="54"/>
    </row>
    <row r="24" spans="3:8" x14ac:dyDescent="0.25">
      <c r="C24" s="47" t="s">
        <v>67</v>
      </c>
      <c r="D24" s="84">
        <v>1.703E-2</v>
      </c>
      <c r="E24" s="54">
        <f>ROUND(D24*D$8,2)</f>
        <v>1.0900000000000001</v>
      </c>
      <c r="F24" s="62"/>
      <c r="G24" s="95">
        <f>D24</f>
        <v>1.703E-2</v>
      </c>
      <c r="H24" s="54">
        <f>ROUND(G24*G$8,2)</f>
        <v>1.0900000000000001</v>
      </c>
    </row>
    <row r="25" spans="3:8" x14ac:dyDescent="0.25">
      <c r="D25" s="85"/>
      <c r="E25" s="54"/>
      <c r="F25" s="62"/>
      <c r="G25" s="63"/>
      <c r="H25" s="54"/>
    </row>
    <row r="26" spans="3:8" x14ac:dyDescent="0.25">
      <c r="C26" s="47" t="s">
        <v>68</v>
      </c>
      <c r="D26" s="84">
        <v>-3.5799999999999998E-3</v>
      </c>
      <c r="E26" s="54">
        <f>ROUND(D26*D$8,2)</f>
        <v>-0.23</v>
      </c>
      <c r="F26" s="62"/>
      <c r="G26" s="97">
        <f>'Schedule 132 Revenue'!E8</f>
        <v>0</v>
      </c>
      <c r="H26" s="54">
        <f>ROUND(G26*G$8,2)</f>
        <v>0</v>
      </c>
    </row>
    <row r="27" spans="3:8" x14ac:dyDescent="0.25">
      <c r="D27" s="85"/>
      <c r="E27" s="54"/>
      <c r="F27" s="62"/>
      <c r="G27" s="63"/>
      <c r="H27" s="54"/>
    </row>
    <row r="28" spans="3:8" x14ac:dyDescent="0.25">
      <c r="C28" s="47" t="s">
        <v>69</v>
      </c>
      <c r="D28" s="84">
        <v>0.32665</v>
      </c>
      <c r="E28" s="54"/>
      <c r="F28" s="62"/>
      <c r="G28" s="63">
        <f>D28</f>
        <v>0.32665</v>
      </c>
      <c r="H28" s="54"/>
    </row>
    <row r="29" spans="3:8" x14ac:dyDescent="0.25">
      <c r="C29" s="47" t="s">
        <v>70</v>
      </c>
      <c r="D29" s="84">
        <v>-5.8279999999999998E-2</v>
      </c>
      <c r="E29" s="54"/>
      <c r="F29" s="62"/>
      <c r="G29" s="63">
        <f t="shared" ref="G29" si="1">D29</f>
        <v>-5.8279999999999998E-2</v>
      </c>
      <c r="H29" s="54"/>
    </row>
    <row r="30" spans="3:8" x14ac:dyDescent="0.25">
      <c r="C30" s="47" t="s">
        <v>13</v>
      </c>
      <c r="D30" s="64">
        <f>SUM(D28:D29)</f>
        <v>0.26837</v>
      </c>
      <c r="E30" s="54">
        <f>ROUND(D30*D$8,2)</f>
        <v>17.18</v>
      </c>
      <c r="F30" s="62"/>
      <c r="G30" s="64">
        <f>SUM(G28:G29)</f>
        <v>0.26837</v>
      </c>
      <c r="H30" s="54">
        <f>ROUND(G30*G$8,2)</f>
        <v>17.18</v>
      </c>
    </row>
    <row r="31" spans="3:8" x14ac:dyDescent="0.25">
      <c r="C31" s="47" t="s">
        <v>71</v>
      </c>
      <c r="D31" s="64">
        <f>D22+D24+D26+D30</f>
        <v>0.75046000000000002</v>
      </c>
      <c r="E31" s="65">
        <f>SUM(E22,E24,E26,E30)</f>
        <v>48.03</v>
      </c>
      <c r="F31" s="66"/>
      <c r="G31" s="64">
        <f>G22+G24+G26+G30</f>
        <v>0.75404000000000004</v>
      </c>
      <c r="H31" s="65">
        <f>SUM(H22,H24,H26,H30)</f>
        <v>48.26</v>
      </c>
    </row>
    <row r="32" spans="3:8" x14ac:dyDescent="0.25">
      <c r="E32" s="54"/>
      <c r="H32" s="54"/>
    </row>
    <row r="33" spans="2:8" x14ac:dyDescent="0.25">
      <c r="B33" s="47" t="s">
        <v>72</v>
      </c>
      <c r="D33" s="58"/>
      <c r="E33" s="54">
        <f>E13+E31</f>
        <v>59.03</v>
      </c>
      <c r="F33" s="67"/>
      <c r="G33" s="58"/>
      <c r="H33" s="54">
        <f>H13+H31</f>
        <v>59.26</v>
      </c>
    </row>
    <row r="34" spans="2:8" x14ac:dyDescent="0.25">
      <c r="B34" s="47" t="s">
        <v>73</v>
      </c>
      <c r="D34" s="58"/>
      <c r="E34" s="54"/>
      <c r="F34" s="67"/>
      <c r="G34" s="58"/>
      <c r="H34" s="54">
        <f>H33-$E33</f>
        <v>0.22999999999999687</v>
      </c>
    </row>
    <row r="35" spans="2:8" x14ac:dyDescent="0.25">
      <c r="B35" s="47" t="s">
        <v>74</v>
      </c>
      <c r="D35" s="68"/>
      <c r="E35" s="68"/>
      <c r="F35" s="69"/>
      <c r="G35" s="68"/>
      <c r="H35" s="96">
        <f>H34/$E33</f>
        <v>3.8963239031000654E-3</v>
      </c>
    </row>
    <row r="36" spans="2:8" x14ac:dyDescent="0.25">
      <c r="E36" s="54"/>
    </row>
    <row r="37" spans="2:8" x14ac:dyDescent="0.25">
      <c r="B37" s="47" t="s">
        <v>75</v>
      </c>
      <c r="D37" s="63">
        <f>D22+D24+D26</f>
        <v>0.48209000000000002</v>
      </c>
      <c r="E37" s="54"/>
      <c r="F37" s="66"/>
      <c r="G37" s="63">
        <f>G22+G24+G26</f>
        <v>0.48566999999999999</v>
      </c>
    </row>
    <row r="39" spans="2:8" ht="17.25" x14ac:dyDescent="0.25">
      <c r="B39" s="70" t="s">
        <v>114</v>
      </c>
    </row>
    <row r="40" spans="2:8" x14ac:dyDescent="0.25">
      <c r="C40" s="70"/>
      <c r="D40" s="70"/>
      <c r="E40" s="70"/>
      <c r="F40" s="71"/>
      <c r="G40" s="71"/>
      <c r="H40" s="71"/>
    </row>
    <row r="45" spans="2:8" ht="14.25" customHeight="1" x14ac:dyDescent="0.25"/>
  </sheetData>
  <mergeCells count="4">
    <mergeCell ref="B1:H1"/>
    <mergeCell ref="B2:H2"/>
    <mergeCell ref="B3:H3"/>
    <mergeCell ref="B4:H4"/>
  </mergeCells>
  <printOptions horizontalCentered="1"/>
  <pageMargins left="0.75" right="0.75" top="1" bottom="1" header="0.5" footer="0.5"/>
  <pageSetup scale="82" orientation="landscape" blackAndWhite="1" r:id="rId1"/>
  <headerFooter alignWithMargins="0">
    <oddFooter>&amp;L&amp;F 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Normal="100" workbookViewId="0">
      <selection activeCell="C33" sqref="C33"/>
    </sheetView>
  </sheetViews>
  <sheetFormatPr defaultRowHeight="15" x14ac:dyDescent="0.25"/>
  <cols>
    <col min="1" max="1" width="40" bestFit="1" customWidth="1"/>
    <col min="3" max="3" width="16.5703125" bestFit="1" customWidth="1"/>
    <col min="4" max="5" width="10.7109375" bestFit="1" customWidth="1"/>
    <col min="6" max="6" width="15.7109375" bestFit="1" customWidth="1"/>
    <col min="7" max="7" width="15.7109375" customWidth="1"/>
    <col min="8" max="8" width="7.85546875" bestFit="1" customWidth="1"/>
  </cols>
  <sheetData>
    <row r="1" spans="1:11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11" x14ac:dyDescent="0.25">
      <c r="A2" s="105" t="s">
        <v>98</v>
      </c>
      <c r="B2" s="105"/>
      <c r="C2" s="105"/>
      <c r="D2" s="105"/>
      <c r="E2" s="105"/>
      <c r="F2" s="105"/>
      <c r="G2" s="105"/>
      <c r="H2" s="105"/>
    </row>
    <row r="3" spans="1:11" x14ac:dyDescent="0.25">
      <c r="A3" s="105" t="s">
        <v>112</v>
      </c>
      <c r="B3" s="105"/>
      <c r="C3" s="105"/>
      <c r="D3" s="105"/>
      <c r="E3" s="105"/>
      <c r="F3" s="105"/>
      <c r="G3" s="105"/>
      <c r="H3" s="105"/>
    </row>
    <row r="4" spans="1:11" x14ac:dyDescent="0.25">
      <c r="D4" s="3"/>
      <c r="E4" s="3"/>
    </row>
    <row r="5" spans="1:11" x14ac:dyDescent="0.25">
      <c r="A5" s="4"/>
      <c r="B5" s="4"/>
      <c r="C5" s="4" t="s">
        <v>14</v>
      </c>
      <c r="D5" s="4" t="s">
        <v>84</v>
      </c>
      <c r="E5" s="4" t="s">
        <v>1</v>
      </c>
      <c r="F5" s="4"/>
      <c r="G5" s="4" t="s">
        <v>81</v>
      </c>
      <c r="H5" s="4"/>
    </row>
    <row r="6" spans="1:11" x14ac:dyDescent="0.25">
      <c r="A6" s="4"/>
      <c r="B6" s="4" t="s">
        <v>16</v>
      </c>
      <c r="C6" s="4" t="s">
        <v>3</v>
      </c>
      <c r="D6" s="4" t="s">
        <v>81</v>
      </c>
      <c r="E6" s="4" t="s">
        <v>81</v>
      </c>
      <c r="F6" s="4" t="s">
        <v>14</v>
      </c>
      <c r="G6" s="4" t="s">
        <v>2</v>
      </c>
      <c r="H6" s="4" t="s">
        <v>22</v>
      </c>
    </row>
    <row r="7" spans="1:11" x14ac:dyDescent="0.25">
      <c r="A7" s="5" t="s">
        <v>4</v>
      </c>
      <c r="B7" s="5" t="s">
        <v>23</v>
      </c>
      <c r="C7" s="83" t="str">
        <f>'Rate Impacts'!G8</f>
        <v>Jan 19 - Dec 19</v>
      </c>
      <c r="D7" s="5" t="s">
        <v>27</v>
      </c>
      <c r="E7" s="5" t="s">
        <v>27</v>
      </c>
      <c r="F7" s="5" t="s">
        <v>2</v>
      </c>
      <c r="G7" s="5" t="s">
        <v>29</v>
      </c>
      <c r="H7" s="5" t="s">
        <v>29</v>
      </c>
    </row>
    <row r="8" spans="1:11" x14ac:dyDescent="0.25">
      <c r="A8" t="s">
        <v>6</v>
      </c>
      <c r="B8" s="8" t="s">
        <v>35</v>
      </c>
      <c r="C8" s="98">
        <v>632840552</v>
      </c>
      <c r="D8" s="10">
        <v>-3.5799999999999998E-3</v>
      </c>
      <c r="E8" s="10">
        <v>0</v>
      </c>
      <c r="F8" s="77">
        <f>C8*D8</f>
        <v>-2265569.1761599998</v>
      </c>
      <c r="G8" s="11">
        <f>(E8-D8)*C8</f>
        <v>2265569.1761599998</v>
      </c>
      <c r="H8" s="1">
        <f>G8/F8</f>
        <v>-1</v>
      </c>
      <c r="K8" s="8"/>
    </row>
    <row r="9" spans="1:11" x14ac:dyDescent="0.25">
      <c r="A9" t="s">
        <v>36</v>
      </c>
      <c r="B9" s="8">
        <v>16</v>
      </c>
      <c r="C9" s="98">
        <v>9719</v>
      </c>
      <c r="D9" s="10">
        <v>-3.5799999999999998E-3</v>
      </c>
      <c r="E9" s="10">
        <v>0</v>
      </c>
      <c r="F9" s="77">
        <f t="shared" ref="F9:F20" si="0">C9*D9</f>
        <v>-34.794019999999996</v>
      </c>
      <c r="G9" s="11">
        <f t="shared" ref="G9:G20" si="1">(E9-D9)*C9</f>
        <v>34.794019999999996</v>
      </c>
      <c r="H9" s="1">
        <f t="shared" ref="H9:H24" si="2">G9/F9</f>
        <v>-1</v>
      </c>
      <c r="K9" s="8"/>
    </row>
    <row r="10" spans="1:11" x14ac:dyDescent="0.25">
      <c r="A10" t="s">
        <v>7</v>
      </c>
      <c r="B10" s="8">
        <v>31</v>
      </c>
      <c r="C10" s="98">
        <v>237425329</v>
      </c>
      <c r="D10" s="10">
        <v>-2.48E-3</v>
      </c>
      <c r="E10" s="10">
        <v>0</v>
      </c>
      <c r="F10" s="77">
        <f t="shared" si="0"/>
        <v>-588814.81591999996</v>
      </c>
      <c r="G10" s="11">
        <f t="shared" si="1"/>
        <v>588814.81591999996</v>
      </c>
      <c r="H10" s="1">
        <f t="shared" si="2"/>
        <v>-1</v>
      </c>
      <c r="K10" s="8"/>
    </row>
    <row r="11" spans="1:11" x14ac:dyDescent="0.25">
      <c r="A11" t="s">
        <v>8</v>
      </c>
      <c r="B11" s="8">
        <v>41</v>
      </c>
      <c r="C11" s="98">
        <v>67506245</v>
      </c>
      <c r="D11" s="10">
        <v>-2.49E-3</v>
      </c>
      <c r="E11" s="10">
        <v>0</v>
      </c>
      <c r="F11" s="77">
        <f t="shared" si="0"/>
        <v>-168090.55004999999</v>
      </c>
      <c r="G11" s="11">
        <f t="shared" si="1"/>
        <v>168090.55004999999</v>
      </c>
      <c r="H11" s="1">
        <f t="shared" si="2"/>
        <v>-1</v>
      </c>
      <c r="K11" s="8"/>
    </row>
    <row r="12" spans="1:11" x14ac:dyDescent="0.25">
      <c r="A12" t="s">
        <v>9</v>
      </c>
      <c r="B12" s="8">
        <v>85</v>
      </c>
      <c r="C12" s="98">
        <v>15951431</v>
      </c>
      <c r="D12" s="10">
        <v>-4.8000000000000001E-4</v>
      </c>
      <c r="E12" s="10">
        <v>0</v>
      </c>
      <c r="F12" s="77">
        <f t="shared" si="0"/>
        <v>-7656.6868800000002</v>
      </c>
      <c r="G12" s="11">
        <f t="shared" si="1"/>
        <v>7656.6868800000002</v>
      </c>
      <c r="H12" s="1">
        <f t="shared" si="2"/>
        <v>-1</v>
      </c>
      <c r="K12" s="8"/>
    </row>
    <row r="13" spans="1:11" x14ac:dyDescent="0.25">
      <c r="A13" t="s">
        <v>10</v>
      </c>
      <c r="B13" s="8">
        <v>86</v>
      </c>
      <c r="C13" s="98">
        <v>9223542</v>
      </c>
      <c r="D13" s="10">
        <v>-2.5300000000000001E-3</v>
      </c>
      <c r="E13" s="10">
        <v>0</v>
      </c>
      <c r="F13" s="77">
        <f t="shared" si="0"/>
        <v>-23335.561260000002</v>
      </c>
      <c r="G13" s="11">
        <f t="shared" si="1"/>
        <v>23335.561260000002</v>
      </c>
      <c r="H13" s="1">
        <f t="shared" si="2"/>
        <v>-1</v>
      </c>
      <c r="K13" s="8"/>
    </row>
    <row r="14" spans="1:11" x14ac:dyDescent="0.25">
      <c r="A14" t="s">
        <v>11</v>
      </c>
      <c r="B14" s="8">
        <v>87</v>
      </c>
      <c r="C14" s="98">
        <v>22109141</v>
      </c>
      <c r="D14" s="10">
        <v>-3.8000000000000002E-4</v>
      </c>
      <c r="E14" s="10">
        <v>0</v>
      </c>
      <c r="F14" s="77">
        <f t="shared" si="0"/>
        <v>-8401.4735799999999</v>
      </c>
      <c r="G14" s="11">
        <f t="shared" si="1"/>
        <v>8401.4735799999999</v>
      </c>
      <c r="H14" s="1">
        <f t="shared" si="2"/>
        <v>-1</v>
      </c>
      <c r="K14" s="8"/>
    </row>
    <row r="15" spans="1:11" x14ac:dyDescent="0.25">
      <c r="A15" t="s">
        <v>37</v>
      </c>
      <c r="B15" s="8" t="s">
        <v>38</v>
      </c>
      <c r="C15" s="98">
        <v>23064</v>
      </c>
      <c r="D15" s="10">
        <v>-2.48E-3</v>
      </c>
      <c r="E15" s="10">
        <v>0</v>
      </c>
      <c r="F15" s="77">
        <f t="shared" si="0"/>
        <v>-57.198720000000002</v>
      </c>
      <c r="G15" s="11">
        <f t="shared" si="1"/>
        <v>57.198720000000002</v>
      </c>
      <c r="H15" s="1">
        <f t="shared" si="2"/>
        <v>-1</v>
      </c>
      <c r="K15" s="8"/>
    </row>
    <row r="16" spans="1:11" x14ac:dyDescent="0.25">
      <c r="A16" t="s">
        <v>39</v>
      </c>
      <c r="B16" t="s">
        <v>40</v>
      </c>
      <c r="C16" s="98">
        <v>23032593</v>
      </c>
      <c r="D16" s="10">
        <v>-2.49E-3</v>
      </c>
      <c r="E16" s="10">
        <v>0</v>
      </c>
      <c r="F16" s="77">
        <f t="shared" si="0"/>
        <v>-57351.156569999999</v>
      </c>
      <c r="G16" s="11">
        <f t="shared" si="1"/>
        <v>57351.156569999999</v>
      </c>
      <c r="H16" s="1">
        <f t="shared" si="2"/>
        <v>-1</v>
      </c>
    </row>
    <row r="17" spans="1:8" x14ac:dyDescent="0.25">
      <c r="A17" t="s">
        <v>41</v>
      </c>
      <c r="B17" t="s">
        <v>42</v>
      </c>
      <c r="C17" s="98">
        <v>79542381</v>
      </c>
      <c r="D17" s="10">
        <v>-4.8000000000000001E-4</v>
      </c>
      <c r="E17" s="10">
        <v>0</v>
      </c>
      <c r="F17" s="77">
        <f t="shared" si="0"/>
        <v>-38180.342880000004</v>
      </c>
      <c r="G17" s="11">
        <f t="shared" si="1"/>
        <v>38180.342880000004</v>
      </c>
      <c r="H17" s="1">
        <f t="shared" si="2"/>
        <v>-1</v>
      </c>
    </row>
    <row r="18" spans="1:8" x14ac:dyDescent="0.25">
      <c r="A18" t="s">
        <v>43</v>
      </c>
      <c r="B18" t="s">
        <v>44</v>
      </c>
      <c r="C18" s="98">
        <v>227245</v>
      </c>
      <c r="D18" s="10">
        <v>-2.5300000000000001E-3</v>
      </c>
      <c r="E18" s="10">
        <v>0</v>
      </c>
      <c r="F18" s="77">
        <f t="shared" si="0"/>
        <v>-574.92984999999999</v>
      </c>
      <c r="G18" s="11">
        <f t="shared" si="1"/>
        <v>574.92984999999999</v>
      </c>
      <c r="H18" s="1">
        <f t="shared" si="2"/>
        <v>-1</v>
      </c>
    </row>
    <row r="19" spans="1:8" x14ac:dyDescent="0.25">
      <c r="A19" t="s">
        <v>45</v>
      </c>
      <c r="B19" t="s">
        <v>46</v>
      </c>
      <c r="C19" s="98">
        <v>100655482</v>
      </c>
      <c r="D19" s="10">
        <v>-3.8000000000000002E-4</v>
      </c>
      <c r="E19" s="10">
        <v>0</v>
      </c>
      <c r="F19" s="77">
        <f t="shared" si="0"/>
        <v>-38249.083160000002</v>
      </c>
      <c r="G19" s="11">
        <f t="shared" si="1"/>
        <v>38249.083160000002</v>
      </c>
      <c r="H19" s="1">
        <f t="shared" si="2"/>
        <v>-1</v>
      </c>
    </row>
    <row r="20" spans="1:8" x14ac:dyDescent="0.25">
      <c r="A20" t="s">
        <v>12</v>
      </c>
      <c r="C20" s="98">
        <v>36308551</v>
      </c>
      <c r="D20" s="13">
        <v>-2.3000000000000001E-4</v>
      </c>
      <c r="E20" s="13">
        <v>0</v>
      </c>
      <c r="F20" s="77">
        <f t="shared" si="0"/>
        <v>-8350.9667300000001</v>
      </c>
      <c r="G20" s="11">
        <f t="shared" si="1"/>
        <v>8350.9667300000001</v>
      </c>
      <c r="H20" s="1">
        <f t="shared" si="2"/>
        <v>-1</v>
      </c>
    </row>
    <row r="21" spans="1:8" x14ac:dyDescent="0.25">
      <c r="A21" t="s">
        <v>5</v>
      </c>
      <c r="C21" s="14">
        <f>SUM(C8:C20)</f>
        <v>1224855275</v>
      </c>
      <c r="D21" s="9"/>
      <c r="E21" s="9"/>
      <c r="F21" s="78">
        <f t="shared" ref="F21:G21" si="3">SUM(F8:F20)</f>
        <v>-3204666.7357799998</v>
      </c>
      <c r="G21" s="15">
        <f t="shared" si="3"/>
        <v>3204666.7357799998</v>
      </c>
      <c r="H21" s="2">
        <f t="shared" si="2"/>
        <v>-1</v>
      </c>
    </row>
    <row r="22" spans="1:8" x14ac:dyDescent="0.25">
      <c r="A22" s="16"/>
      <c r="B22" s="17"/>
      <c r="C22" s="20"/>
      <c r="D22" s="19"/>
      <c r="E22" s="19"/>
      <c r="F22" s="19"/>
      <c r="G22" s="23"/>
      <c r="H22" s="24"/>
    </row>
    <row r="23" spans="1:8" x14ac:dyDescent="0.25">
      <c r="A23" s="16" t="s">
        <v>99</v>
      </c>
      <c r="B23" s="16"/>
      <c r="C23" s="91">
        <v>345700</v>
      </c>
      <c r="D23" s="75">
        <v>-0.14000000000000001</v>
      </c>
      <c r="E23" s="75">
        <v>0</v>
      </c>
      <c r="F23" s="77">
        <f>D23*C23</f>
        <v>-48398.000000000007</v>
      </c>
      <c r="G23" s="11">
        <f t="shared" ref="G23" si="4">(E23-D23)*C23</f>
        <v>48398.000000000007</v>
      </c>
      <c r="H23" s="1">
        <f>G23/F23</f>
        <v>-1</v>
      </c>
    </row>
    <row r="24" spans="1:8" x14ac:dyDescent="0.25">
      <c r="A24" s="28" t="s">
        <v>5</v>
      </c>
      <c r="B24" s="28"/>
      <c r="C24" s="31"/>
      <c r="D24" s="31"/>
      <c r="E24" s="31"/>
      <c r="F24" s="30">
        <f t="shared" ref="F24:G24" si="5">F21+F23</f>
        <v>-3253064.7357799998</v>
      </c>
      <c r="G24" s="30">
        <f t="shared" si="5"/>
        <v>3253064.7357799998</v>
      </c>
      <c r="H24" s="2">
        <f t="shared" si="2"/>
        <v>-1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96" orientation="landscape" blackAndWhite="1" r:id="rId1"/>
  <headerFooter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2018-11-27T08:00:00+00:00</OpenedDate>
    <SignificantOrder xmlns="dc463f71-b30c-4ab2-9473-d307f9d35888">false</SignificantOrder>
    <Date1 xmlns="dc463f71-b30c-4ab2-9473-d307f9d35888">2018-11-27T08:00:00+00:00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180977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08913E71961641BB3808971F4262EA" ma:contentTypeVersion="76" ma:contentTypeDescription="" ma:contentTypeScope="" ma:versionID="3a365286eaa69867fc774afe92597b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36467BD-9B3B-44EA-97A9-0215C44FE1B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A0AB5F-A359-4819-A926-F85611C5ABD3}"/>
</file>

<file path=customXml/itemProps3.xml><?xml version="1.0" encoding="utf-8"?>
<ds:datastoreItem xmlns:ds="http://schemas.openxmlformats.org/officeDocument/2006/customXml" ds:itemID="{2B5A94A5-88D3-45D2-AA51-91A6478676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0872F8-27DA-45C5-9AC4-544345E6F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Rate Impacts</vt:lpstr>
      <vt:lpstr>Typical Res Bill</vt:lpstr>
      <vt:lpstr>Schedule 132 Revenue</vt:lpstr>
      <vt:lpstr>'Rate Impacts'!Print_Area</vt:lpstr>
      <vt:lpstr>'Typical Res Bill'!Print_Area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Koizumi, Rell (UTC)</cp:lastModifiedBy>
  <cp:lastPrinted>2018-11-27T23:29:13Z</cp:lastPrinted>
  <dcterms:created xsi:type="dcterms:W3CDTF">2015-03-25T23:20:22Z</dcterms:created>
  <dcterms:modified xsi:type="dcterms:W3CDTF">2018-11-28T16:19:56Z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0x0101006E56B4D1795A2E4DB2F0B01679ED314A00F008913E71961641BB3808971F4262EA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