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240" windowWidth="13380" windowHeight="7290" tabRatio="730" activeTab="1"/>
  </bookViews>
  <sheets>
    <sheet name="References" sheetId="4" r:id="rId1"/>
    <sheet name="Staff Calcs " sheetId="7" r:id="rId2"/>
    <sheet name="Tariff Changes" sheetId="10" r:id="rId3"/>
    <sheet name="Company Price Out Rates Compare" sheetId="13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W46" i="7" l="1"/>
  <c r="H90" i="7"/>
  <c r="I90" i="7" s="1"/>
  <c r="J90" i="7" s="1"/>
  <c r="K90" i="7" s="1"/>
  <c r="L90" i="7" s="1"/>
  <c r="N90" i="7" s="1"/>
  <c r="M90" i="7"/>
  <c r="O90" i="7"/>
  <c r="F90" i="7"/>
  <c r="B90" i="7"/>
  <c r="C90" i="7"/>
  <c r="M87" i="7"/>
  <c r="O87" i="7"/>
  <c r="H87" i="7"/>
  <c r="F87" i="7"/>
  <c r="B87" i="7"/>
  <c r="C87" i="7"/>
  <c r="F5" i="13" l="1"/>
  <c r="C138" i="13" l="1"/>
  <c r="C106" i="13"/>
  <c r="C133" i="13"/>
  <c r="C127" i="13"/>
  <c r="C112" i="13"/>
  <c r="C102" i="13"/>
  <c r="C90" i="13"/>
  <c r="C83" i="13"/>
  <c r="C78" i="13"/>
  <c r="C72" i="13"/>
  <c r="C68" i="13"/>
  <c r="C64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8" i="13"/>
  <c r="J139" i="13"/>
  <c r="J140" i="13"/>
  <c r="J141" i="13"/>
  <c r="J142" i="13"/>
  <c r="J143" i="13"/>
  <c r="J144" i="13"/>
  <c r="J145" i="13"/>
  <c r="J146" i="13"/>
  <c r="J147" i="13"/>
  <c r="J148" i="13"/>
  <c r="J149" i="13"/>
  <c r="J150" i="13"/>
  <c r="J151" i="13"/>
  <c r="J62" i="13"/>
  <c r="J63" i="13"/>
  <c r="J64" i="13"/>
  <c r="J65" i="13"/>
  <c r="J66" i="13"/>
  <c r="J67" i="13"/>
  <c r="J68" i="13"/>
  <c r="U12" i="13" l="1"/>
  <c r="F8" i="13"/>
  <c r="E75" i="10" l="1"/>
  <c r="L40" i="13"/>
  <c r="L21" i="13"/>
  <c r="F65" i="13"/>
  <c r="F66" i="13"/>
  <c r="F67" i="13"/>
  <c r="F69" i="13"/>
  <c r="F70" i="13"/>
  <c r="F71" i="13"/>
  <c r="F73" i="13"/>
  <c r="F74" i="13"/>
  <c r="F75" i="13"/>
  <c r="F76" i="13"/>
  <c r="F77" i="13"/>
  <c r="F79" i="13"/>
  <c r="F80" i="13"/>
  <c r="F81" i="13"/>
  <c r="F82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C157" i="10"/>
  <c r="C156" i="10"/>
  <c r="C155" i="10"/>
  <c r="C154" i="10"/>
  <c r="C153" i="10"/>
  <c r="C152" i="10"/>
  <c r="C150" i="10"/>
  <c r="C149" i="10"/>
  <c r="C148" i="10"/>
  <c r="C147" i="10"/>
  <c r="C146" i="10"/>
  <c r="C145" i="10"/>
  <c r="C142" i="10"/>
  <c r="C141" i="10"/>
  <c r="C140" i="10"/>
  <c r="C139" i="10"/>
  <c r="C137" i="10"/>
  <c r="C136" i="10"/>
  <c r="C135" i="10"/>
  <c r="C134" i="10"/>
  <c r="C131" i="10"/>
  <c r="C130" i="10"/>
  <c r="C129" i="10"/>
  <c r="C127" i="10"/>
  <c r="C126" i="10"/>
  <c r="C125" i="10"/>
  <c r="L75" i="13"/>
  <c r="C75" i="13"/>
  <c r="N75" i="13" s="1"/>
  <c r="L74" i="13"/>
  <c r="C74" i="13"/>
  <c r="N74" i="13" s="1"/>
  <c r="A69" i="13"/>
  <c r="L71" i="13"/>
  <c r="C71" i="13"/>
  <c r="L70" i="13"/>
  <c r="C70" i="13"/>
  <c r="L66" i="13"/>
  <c r="C66" i="13"/>
  <c r="C122" i="10"/>
  <c r="C120" i="10"/>
  <c r="C119" i="10"/>
  <c r="C118" i="10"/>
  <c r="C117" i="10"/>
  <c r="C116" i="10"/>
  <c r="C115" i="10"/>
  <c r="C114" i="10"/>
  <c r="C113" i="10"/>
  <c r="C112" i="10"/>
  <c r="C111" i="10"/>
  <c r="C68" i="10"/>
  <c r="C67" i="10"/>
  <c r="C66" i="10"/>
  <c r="C65" i="10"/>
  <c r="C64" i="10"/>
  <c r="C63" i="10"/>
  <c r="C62" i="10"/>
  <c r="C60" i="10"/>
  <c r="C59" i="10"/>
  <c r="C58" i="10"/>
  <c r="C57" i="10"/>
  <c r="C56" i="10"/>
  <c r="C55" i="10"/>
  <c r="C54" i="10"/>
  <c r="C42" i="10"/>
  <c r="C53" i="10"/>
  <c r="C52" i="10"/>
  <c r="C51" i="10"/>
  <c r="C50" i="10"/>
  <c r="C94" i="10"/>
  <c r="C93" i="10"/>
  <c r="C92" i="10"/>
  <c r="C91" i="10"/>
  <c r="C90" i="10"/>
  <c r="C89" i="10"/>
  <c r="F180" i="13"/>
  <c r="D180" i="13"/>
  <c r="L180" i="13" s="1"/>
  <c r="C180" i="13"/>
  <c r="F167" i="13"/>
  <c r="D167" i="13"/>
  <c r="L167" i="13" s="1"/>
  <c r="C167" i="13"/>
  <c r="L204" i="13"/>
  <c r="F204" i="13"/>
  <c r="E204" i="13"/>
  <c r="D204" i="13"/>
  <c r="C204" i="13"/>
  <c r="N204" i="13" s="1"/>
  <c r="F199" i="13"/>
  <c r="F200" i="13"/>
  <c r="F193" i="13"/>
  <c r="D193" i="13"/>
  <c r="L193" i="13" s="1"/>
  <c r="C193" i="13"/>
  <c r="L191" i="13"/>
  <c r="F191" i="13"/>
  <c r="D191" i="13"/>
  <c r="C191" i="13"/>
  <c r="N191" i="13" s="1"/>
  <c r="F218" i="13"/>
  <c r="D218" i="13"/>
  <c r="L218" i="13" s="1"/>
  <c r="C218" i="13"/>
  <c r="L216" i="13"/>
  <c r="F216" i="13"/>
  <c r="D216" i="13"/>
  <c r="C216" i="13"/>
  <c r="N216" i="13" s="1"/>
  <c r="C79" i="10"/>
  <c r="C78" i="10"/>
  <c r="C77" i="10"/>
  <c r="C76" i="10"/>
  <c r="F220" i="13"/>
  <c r="D220" i="13"/>
  <c r="L220" i="13" s="1"/>
  <c r="C220" i="13"/>
  <c r="F214" i="13"/>
  <c r="D214" i="13"/>
  <c r="L214" i="13" s="1"/>
  <c r="C214" i="13"/>
  <c r="L202" i="13"/>
  <c r="F202" i="13"/>
  <c r="D202" i="13"/>
  <c r="C202" i="13"/>
  <c r="E216" i="13" l="1"/>
  <c r="E191" i="13"/>
  <c r="N70" i="13"/>
  <c r="N220" i="13"/>
  <c r="E202" i="13"/>
  <c r="E193" i="13"/>
  <c r="E167" i="13"/>
  <c r="E220" i="13"/>
  <c r="N193" i="13"/>
  <c r="N167" i="13"/>
  <c r="N66" i="13"/>
  <c r="N71" i="13"/>
  <c r="E74" i="13"/>
  <c r="K74" i="13"/>
  <c r="E75" i="13"/>
  <c r="K75" i="13"/>
  <c r="E70" i="13"/>
  <c r="K70" i="13"/>
  <c r="E71" i="13"/>
  <c r="K71" i="13"/>
  <c r="E66" i="13"/>
  <c r="K66" i="13"/>
  <c r="N180" i="13"/>
  <c r="E180" i="13"/>
  <c r="J180" i="13"/>
  <c r="K180" i="13" s="1"/>
  <c r="J167" i="13"/>
  <c r="K167" i="13" s="1"/>
  <c r="J204" i="13"/>
  <c r="K204" i="13" s="1"/>
  <c r="J193" i="13"/>
  <c r="K193" i="13" s="1"/>
  <c r="J191" i="13"/>
  <c r="K191" i="13" s="1"/>
  <c r="N218" i="13"/>
  <c r="E218" i="13"/>
  <c r="J218" i="13"/>
  <c r="K218" i="13" s="1"/>
  <c r="J216" i="13"/>
  <c r="K216" i="13" s="1"/>
  <c r="J220" i="13"/>
  <c r="K220" i="13" s="1"/>
  <c r="J214" i="13"/>
  <c r="K214" i="13" s="1"/>
  <c r="N214" i="13"/>
  <c r="E214" i="13"/>
  <c r="J202" i="13"/>
  <c r="K202" i="13" s="1"/>
  <c r="N202" i="13"/>
  <c r="F62" i="13" l="1"/>
  <c r="F63" i="13"/>
  <c r="L62" i="13"/>
  <c r="L63" i="13"/>
  <c r="C62" i="13"/>
  <c r="E62" i="13" s="1"/>
  <c r="C63" i="13"/>
  <c r="K63" i="13" s="1"/>
  <c r="D125" i="13"/>
  <c r="L125" i="13" s="1"/>
  <c r="D123" i="13"/>
  <c r="D121" i="13"/>
  <c r="D119" i="13"/>
  <c r="L119" i="13" s="1"/>
  <c r="D110" i="13"/>
  <c r="D108" i="13"/>
  <c r="L108" i="13" s="1"/>
  <c r="D100" i="13"/>
  <c r="L100" i="13" s="1"/>
  <c r="D98" i="13"/>
  <c r="L98" i="13" s="1"/>
  <c r="D88" i="13"/>
  <c r="L88" i="13" s="1"/>
  <c r="C159" i="13"/>
  <c r="C160" i="13"/>
  <c r="J160" i="13" s="1"/>
  <c r="K160" i="13" s="1"/>
  <c r="C161" i="13"/>
  <c r="E161" i="13" s="1"/>
  <c r="C163" i="13"/>
  <c r="E163" i="13" s="1"/>
  <c r="C164" i="13"/>
  <c r="C165" i="13"/>
  <c r="E165" i="13" s="1"/>
  <c r="C166" i="13"/>
  <c r="C168" i="13"/>
  <c r="C169" i="13"/>
  <c r="J169" i="13" s="1"/>
  <c r="K169" i="13" s="1"/>
  <c r="C170" i="13"/>
  <c r="E170" i="13" s="1"/>
  <c r="C171" i="13"/>
  <c r="C172" i="13"/>
  <c r="C173" i="13"/>
  <c r="E173" i="13" s="1"/>
  <c r="C174" i="13"/>
  <c r="C175" i="13"/>
  <c r="J175" i="13" s="1"/>
  <c r="K175" i="13" s="1"/>
  <c r="C176" i="13"/>
  <c r="C177" i="13"/>
  <c r="E177" i="13" s="1"/>
  <c r="C178" i="13"/>
  <c r="E178" i="13" s="1"/>
  <c r="C179" i="13"/>
  <c r="C181" i="13"/>
  <c r="C182" i="13"/>
  <c r="C183" i="13"/>
  <c r="E183" i="13" s="1"/>
  <c r="C184" i="13"/>
  <c r="E184" i="13" s="1"/>
  <c r="C185" i="13"/>
  <c r="C186" i="13"/>
  <c r="J186" i="13" s="1"/>
  <c r="K186" i="13" s="1"/>
  <c r="C187" i="13"/>
  <c r="E187" i="13" s="1"/>
  <c r="C188" i="13"/>
  <c r="C189" i="13"/>
  <c r="E189" i="13" s="1"/>
  <c r="C190" i="13"/>
  <c r="J190" i="13" s="1"/>
  <c r="K190" i="13" s="1"/>
  <c r="C192" i="13"/>
  <c r="C194" i="13"/>
  <c r="C195" i="13"/>
  <c r="C196" i="13"/>
  <c r="E196" i="13" s="1"/>
  <c r="C197" i="13"/>
  <c r="E197" i="13" s="1"/>
  <c r="C198" i="13"/>
  <c r="J198" i="13" s="1"/>
  <c r="K198" i="13" s="1"/>
  <c r="C199" i="13"/>
  <c r="C200" i="13"/>
  <c r="E200" i="13" s="1"/>
  <c r="C201" i="13"/>
  <c r="J201" i="13" s="1"/>
  <c r="K201" i="13" s="1"/>
  <c r="C203" i="13"/>
  <c r="C205" i="13"/>
  <c r="C206" i="13"/>
  <c r="C207" i="13"/>
  <c r="E207" i="13" s="1"/>
  <c r="C208" i="13"/>
  <c r="J208" i="13" s="1"/>
  <c r="K208" i="13" s="1"/>
  <c r="C209" i="13"/>
  <c r="E209" i="13" s="1"/>
  <c r="C210" i="13"/>
  <c r="J210" i="13" s="1"/>
  <c r="K210" i="13" s="1"/>
  <c r="C211" i="13"/>
  <c r="E211" i="13" s="1"/>
  <c r="C212" i="13"/>
  <c r="E212" i="13" s="1"/>
  <c r="C213" i="13"/>
  <c r="C215" i="13"/>
  <c r="J215" i="13" s="1"/>
  <c r="K215" i="13" s="1"/>
  <c r="C217" i="13"/>
  <c r="J217" i="13" s="1"/>
  <c r="K217" i="13" s="1"/>
  <c r="C219" i="13"/>
  <c r="J219" i="13" s="1"/>
  <c r="K219" i="13" s="1"/>
  <c r="C221" i="13"/>
  <c r="E221" i="13" s="1"/>
  <c r="C222" i="13"/>
  <c r="E222" i="13" s="1"/>
  <c r="C223" i="13"/>
  <c r="J223" i="13" s="1"/>
  <c r="K223" i="13" s="1"/>
  <c r="C224" i="13"/>
  <c r="E224" i="13" s="1"/>
  <c r="C225" i="13"/>
  <c r="E225" i="13" s="1"/>
  <c r="C226" i="13"/>
  <c r="E226" i="13" s="1"/>
  <c r="C227" i="13"/>
  <c r="C228" i="13"/>
  <c r="E228" i="13" s="1"/>
  <c r="C229" i="13"/>
  <c r="C230" i="13"/>
  <c r="E230" i="13" s="1"/>
  <c r="C231" i="13"/>
  <c r="J231" i="13" s="1"/>
  <c r="K231" i="13" s="1"/>
  <c r="C232" i="13"/>
  <c r="E232" i="13" s="1"/>
  <c r="C233" i="13"/>
  <c r="E233" i="13" s="1"/>
  <c r="C234" i="13"/>
  <c r="E234" i="13" s="1"/>
  <c r="C236" i="13"/>
  <c r="J236" i="13" s="1"/>
  <c r="K236" i="13" s="1"/>
  <c r="C237" i="13"/>
  <c r="E237" i="13" s="1"/>
  <c r="C238" i="13"/>
  <c r="E238" i="13" s="1"/>
  <c r="C239" i="13"/>
  <c r="E239" i="13" s="1"/>
  <c r="C240" i="13"/>
  <c r="E240" i="13" s="1"/>
  <c r="C241" i="13"/>
  <c r="E241" i="13" s="1"/>
  <c r="C242" i="13"/>
  <c r="E242" i="13" s="1"/>
  <c r="C243" i="13"/>
  <c r="E243" i="13" s="1"/>
  <c r="C244" i="13"/>
  <c r="E244" i="13" s="1"/>
  <c r="C245" i="13"/>
  <c r="J245" i="13" s="1"/>
  <c r="K245" i="13" s="1"/>
  <c r="C246" i="13"/>
  <c r="C235" i="13"/>
  <c r="E235" i="13" s="1"/>
  <c r="C248" i="13"/>
  <c r="E248" i="13" s="1"/>
  <c r="C249" i="13"/>
  <c r="E249" i="13" s="1"/>
  <c r="E159" i="13"/>
  <c r="E160" i="13"/>
  <c r="E168" i="13"/>
  <c r="E172" i="13"/>
  <c r="E176" i="13"/>
  <c r="E181" i="13"/>
  <c r="E185" i="13"/>
  <c r="E199" i="13"/>
  <c r="E205" i="13"/>
  <c r="E210" i="13"/>
  <c r="E246" i="13"/>
  <c r="C65" i="13"/>
  <c r="E65" i="13" s="1"/>
  <c r="C67" i="13"/>
  <c r="E67" i="13" s="1"/>
  <c r="C69" i="13"/>
  <c r="C73" i="13"/>
  <c r="E73" i="13" s="1"/>
  <c r="C76" i="13"/>
  <c r="C77" i="13"/>
  <c r="E77" i="13" s="1"/>
  <c r="C79" i="13"/>
  <c r="E79" i="13" s="1"/>
  <c r="C80" i="13"/>
  <c r="E80" i="13" s="1"/>
  <c r="C81" i="13"/>
  <c r="C82" i="13"/>
  <c r="E82" i="13" s="1"/>
  <c r="C84" i="13"/>
  <c r="E84" i="13" s="1"/>
  <c r="C85" i="13"/>
  <c r="E85" i="13" s="1"/>
  <c r="C86" i="13"/>
  <c r="E86" i="13" s="1"/>
  <c r="C87" i="13"/>
  <c r="K87" i="13" s="1"/>
  <c r="C88" i="13"/>
  <c r="C89" i="13"/>
  <c r="E89" i="13" s="1"/>
  <c r="C91" i="13"/>
  <c r="E91" i="13" s="1"/>
  <c r="C92" i="13"/>
  <c r="E92" i="13" s="1"/>
  <c r="C93" i="13"/>
  <c r="E93" i="13" s="1"/>
  <c r="C94" i="13"/>
  <c r="E94" i="13" s="1"/>
  <c r="C95" i="13"/>
  <c r="E95" i="13" s="1"/>
  <c r="C96" i="13"/>
  <c r="E96" i="13" s="1"/>
  <c r="C97" i="13"/>
  <c r="C98" i="13"/>
  <c r="K98" i="13" s="1"/>
  <c r="C99" i="13"/>
  <c r="C100" i="13"/>
  <c r="K100" i="13" s="1"/>
  <c r="C101" i="13"/>
  <c r="C103" i="13"/>
  <c r="K103" i="13" s="1"/>
  <c r="C104" i="13"/>
  <c r="E104" i="13" s="1"/>
  <c r="C105" i="13"/>
  <c r="E105" i="13" s="1"/>
  <c r="C107" i="13"/>
  <c r="C108" i="13"/>
  <c r="K108" i="13" s="1"/>
  <c r="C109" i="13"/>
  <c r="C110" i="13"/>
  <c r="E110" i="13" s="1"/>
  <c r="C111" i="13"/>
  <c r="E111" i="13" s="1"/>
  <c r="C113" i="13"/>
  <c r="E113" i="13" s="1"/>
  <c r="C114" i="13"/>
  <c r="E114" i="13" s="1"/>
  <c r="C115" i="13"/>
  <c r="E115" i="13" s="1"/>
  <c r="C116" i="13"/>
  <c r="E116" i="13" s="1"/>
  <c r="C117" i="13"/>
  <c r="C118" i="13"/>
  <c r="K118" i="13" s="1"/>
  <c r="C119" i="13"/>
  <c r="K119" i="13" s="1"/>
  <c r="C120" i="13"/>
  <c r="C121" i="13"/>
  <c r="C122" i="13"/>
  <c r="C123" i="13"/>
  <c r="E123" i="13" s="1"/>
  <c r="C124" i="13"/>
  <c r="C125" i="13"/>
  <c r="C126" i="13"/>
  <c r="E126" i="13" s="1"/>
  <c r="C128" i="13"/>
  <c r="K128" i="13" s="1"/>
  <c r="C129" i="13"/>
  <c r="C130" i="13"/>
  <c r="E130" i="13" s="1"/>
  <c r="C131" i="13"/>
  <c r="C132" i="13"/>
  <c r="K132" i="13" s="1"/>
  <c r="C134" i="13"/>
  <c r="K134" i="13" s="1"/>
  <c r="C135" i="13"/>
  <c r="E135" i="13" s="1"/>
  <c r="C136" i="13"/>
  <c r="E136" i="13" s="1"/>
  <c r="C137" i="13"/>
  <c r="C139" i="13"/>
  <c r="K139" i="13" s="1"/>
  <c r="C140" i="13"/>
  <c r="K140" i="13" s="1"/>
  <c r="C141" i="13"/>
  <c r="C142" i="13"/>
  <c r="E142" i="13" s="1"/>
  <c r="C143" i="13"/>
  <c r="E143" i="13" s="1"/>
  <c r="C144" i="13"/>
  <c r="E144" i="13" s="1"/>
  <c r="C145" i="13"/>
  <c r="E145" i="13" s="1"/>
  <c r="C146" i="13"/>
  <c r="E146" i="13" s="1"/>
  <c r="C147" i="13"/>
  <c r="E147" i="13" s="1"/>
  <c r="C148" i="13"/>
  <c r="E148" i="13" s="1"/>
  <c r="C149" i="13"/>
  <c r="E149" i="13" s="1"/>
  <c r="C150" i="13"/>
  <c r="E150" i="13" s="1"/>
  <c r="C151" i="13"/>
  <c r="E151" i="13" s="1"/>
  <c r="D76" i="13"/>
  <c r="L76" i="13" s="1"/>
  <c r="D87" i="13"/>
  <c r="L87" i="13" s="1"/>
  <c r="D97" i="13"/>
  <c r="L97" i="13" s="1"/>
  <c r="D99" i="13"/>
  <c r="L99" i="13" s="1"/>
  <c r="D107" i="13"/>
  <c r="L107" i="13" s="1"/>
  <c r="D109" i="13"/>
  <c r="L109" i="13" s="1"/>
  <c r="D118" i="13"/>
  <c r="D120" i="13"/>
  <c r="L120" i="13" s="1"/>
  <c r="D122" i="13"/>
  <c r="D124" i="13"/>
  <c r="L124" i="13" s="1"/>
  <c r="J237" i="13"/>
  <c r="K237" i="13" s="1"/>
  <c r="L237" i="13"/>
  <c r="AB237" i="13"/>
  <c r="J238" i="13"/>
  <c r="K238" i="13" s="1"/>
  <c r="L238" i="13"/>
  <c r="N238" i="13" s="1"/>
  <c r="AB238" i="13"/>
  <c r="L239" i="13"/>
  <c r="AB239" i="13"/>
  <c r="L240" i="13"/>
  <c r="AB240" i="13"/>
  <c r="L241" i="13"/>
  <c r="AB241" i="13"/>
  <c r="J242" i="13"/>
  <c r="K242" i="13" s="1"/>
  <c r="L242" i="13"/>
  <c r="N242" i="13" s="1"/>
  <c r="AB242" i="13"/>
  <c r="L243" i="13"/>
  <c r="AB243" i="13"/>
  <c r="L244" i="13"/>
  <c r="AB244" i="13"/>
  <c r="L245" i="13"/>
  <c r="AB245" i="13"/>
  <c r="J246" i="13"/>
  <c r="K246" i="13" s="1"/>
  <c r="L246" i="13"/>
  <c r="N246" i="13" s="1"/>
  <c r="AB246" i="13"/>
  <c r="L235" i="13"/>
  <c r="L248" i="13"/>
  <c r="L249" i="13"/>
  <c r="L159" i="13"/>
  <c r="N159" i="13" s="1"/>
  <c r="L160" i="13"/>
  <c r="L161" i="13"/>
  <c r="L162" i="13"/>
  <c r="L163" i="13"/>
  <c r="L164" i="13"/>
  <c r="L165" i="13"/>
  <c r="J168" i="13"/>
  <c r="K168" i="13" s="1"/>
  <c r="L168" i="13"/>
  <c r="N168" i="13" s="1"/>
  <c r="L169" i="13"/>
  <c r="L170" i="13"/>
  <c r="L171" i="13"/>
  <c r="L172" i="13"/>
  <c r="N172" i="13" s="1"/>
  <c r="L173" i="13"/>
  <c r="L174" i="13"/>
  <c r="L175" i="13"/>
  <c r="J176" i="13"/>
  <c r="K176" i="13" s="1"/>
  <c r="L176" i="13"/>
  <c r="N176" i="13" s="1"/>
  <c r="L177" i="13"/>
  <c r="L178" i="13"/>
  <c r="J181" i="13"/>
  <c r="K181" i="13" s="1"/>
  <c r="L181" i="13"/>
  <c r="L182" i="13"/>
  <c r="L183" i="13"/>
  <c r="L184" i="13"/>
  <c r="J185" i="13"/>
  <c r="K185" i="13" s="1"/>
  <c r="L185" i="13"/>
  <c r="N185" i="13" s="1"/>
  <c r="L186" i="13"/>
  <c r="L187" i="13"/>
  <c r="L188" i="13"/>
  <c r="L189" i="13"/>
  <c r="L194" i="13"/>
  <c r="J195" i="13"/>
  <c r="K195" i="13" s="1"/>
  <c r="L195" i="13"/>
  <c r="N195" i="13" s="1"/>
  <c r="L196" i="13"/>
  <c r="L197" i="13"/>
  <c r="L198" i="13"/>
  <c r="L199" i="13"/>
  <c r="N199" i="13" s="1"/>
  <c r="L200" i="13"/>
  <c r="J205" i="13"/>
  <c r="K205" i="13" s="1"/>
  <c r="L205" i="13"/>
  <c r="N205" i="13" s="1"/>
  <c r="L206" i="13"/>
  <c r="L207" i="13"/>
  <c r="L208" i="13"/>
  <c r="J209" i="13"/>
  <c r="K209" i="13" s="1"/>
  <c r="L209" i="13"/>
  <c r="L210" i="13"/>
  <c r="L211" i="13"/>
  <c r="L212" i="13"/>
  <c r="J213" i="13"/>
  <c r="K213" i="13" s="1"/>
  <c r="J221" i="13"/>
  <c r="K221" i="13" s="1"/>
  <c r="L221" i="13"/>
  <c r="N221" i="13" s="1"/>
  <c r="L222" i="13"/>
  <c r="L223" i="13"/>
  <c r="L224" i="13"/>
  <c r="J225" i="13"/>
  <c r="K225" i="13" s="1"/>
  <c r="L225" i="13"/>
  <c r="L226" i="13"/>
  <c r="L227" i="13"/>
  <c r="L228" i="13"/>
  <c r="J229" i="13"/>
  <c r="K229" i="13" s="1"/>
  <c r="L229" i="13"/>
  <c r="N229" i="13" s="1"/>
  <c r="L230" i="13"/>
  <c r="L231" i="13"/>
  <c r="L232" i="13"/>
  <c r="J233" i="13"/>
  <c r="K233" i="13" s="1"/>
  <c r="L233" i="13"/>
  <c r="L234" i="13"/>
  <c r="L236" i="13"/>
  <c r="L140" i="13"/>
  <c r="L141" i="13"/>
  <c r="L73" i="13"/>
  <c r="K76" i="13"/>
  <c r="L77" i="13"/>
  <c r="L78" i="13"/>
  <c r="L79" i="13"/>
  <c r="L80" i="13"/>
  <c r="L81" i="13"/>
  <c r="L82" i="13"/>
  <c r="L83" i="13"/>
  <c r="L84" i="13"/>
  <c r="L85" i="13"/>
  <c r="L86" i="13"/>
  <c r="N86" i="13" s="1"/>
  <c r="L89" i="13"/>
  <c r="L90" i="13"/>
  <c r="L91" i="13"/>
  <c r="L92" i="13"/>
  <c r="L93" i="13"/>
  <c r="L94" i="13"/>
  <c r="L95" i="13"/>
  <c r="L96" i="13"/>
  <c r="L101" i="13"/>
  <c r="L102" i="13"/>
  <c r="L103" i="13"/>
  <c r="L104" i="13"/>
  <c r="L105" i="13"/>
  <c r="L106" i="13"/>
  <c r="L110" i="13"/>
  <c r="N110" i="13" s="1"/>
  <c r="L111" i="13"/>
  <c r="L112" i="13"/>
  <c r="L113" i="13"/>
  <c r="K114" i="13"/>
  <c r="L114" i="13"/>
  <c r="L115" i="13"/>
  <c r="L116" i="13"/>
  <c r="L117" i="13"/>
  <c r="L121" i="13"/>
  <c r="L122" i="13"/>
  <c r="L123" i="13"/>
  <c r="L126" i="13"/>
  <c r="L127" i="13"/>
  <c r="L128" i="13"/>
  <c r="L129" i="13"/>
  <c r="L130" i="13"/>
  <c r="N130" i="13" s="1"/>
  <c r="L131" i="13"/>
  <c r="L132" i="13"/>
  <c r="L133" i="13"/>
  <c r="L134" i="13"/>
  <c r="N134" i="13" s="1"/>
  <c r="L135" i="13"/>
  <c r="L136" i="13"/>
  <c r="L137" i="13"/>
  <c r="L138" i="13"/>
  <c r="L139" i="13"/>
  <c r="L69" i="13"/>
  <c r="L72" i="13"/>
  <c r="N72" i="13" s="1"/>
  <c r="L65" i="13"/>
  <c r="L67" i="13"/>
  <c r="C98" i="10"/>
  <c r="C97" i="10"/>
  <c r="A141" i="13"/>
  <c r="A140" i="13"/>
  <c r="C35" i="10"/>
  <c r="C23" i="10"/>
  <c r="A234" i="13"/>
  <c r="A227" i="13"/>
  <c r="A212" i="13"/>
  <c r="A200" i="13"/>
  <c r="A189" i="13"/>
  <c r="A178" i="13"/>
  <c r="J172" i="13"/>
  <c r="K172" i="13" s="1"/>
  <c r="A172" i="13"/>
  <c r="J55" i="13"/>
  <c r="K55" i="13" s="1"/>
  <c r="J54" i="13"/>
  <c r="K54" i="13" s="1"/>
  <c r="J53" i="13"/>
  <c r="K53" i="13" s="1"/>
  <c r="J52" i="13"/>
  <c r="K52" i="13" s="1"/>
  <c r="J51" i="13"/>
  <c r="K51" i="13" s="1"/>
  <c r="J50" i="13"/>
  <c r="K50" i="13" s="1"/>
  <c r="J49" i="13"/>
  <c r="K49" i="13" s="1"/>
  <c r="J48" i="13"/>
  <c r="K48" i="13" s="1"/>
  <c r="J47" i="13"/>
  <c r="K47" i="13" s="1"/>
  <c r="J46" i="13"/>
  <c r="K46" i="13" s="1"/>
  <c r="J45" i="13"/>
  <c r="K45" i="13" s="1"/>
  <c r="J44" i="13"/>
  <c r="K44" i="13" s="1"/>
  <c r="J43" i="13"/>
  <c r="K43" i="13" s="1"/>
  <c r="J42" i="13"/>
  <c r="K42" i="13" s="1"/>
  <c r="J41" i="13"/>
  <c r="K41" i="13" s="1"/>
  <c r="N40" i="13"/>
  <c r="J40" i="13"/>
  <c r="K40" i="13" s="1"/>
  <c r="L39" i="13"/>
  <c r="N39" i="13" s="1"/>
  <c r="J39" i="13"/>
  <c r="K39" i="13" s="1"/>
  <c r="F58" i="13"/>
  <c r="A138" i="13"/>
  <c r="A131" i="13"/>
  <c r="A117" i="13"/>
  <c r="A106" i="13"/>
  <c r="A96" i="13"/>
  <c r="A86" i="13"/>
  <c r="A80" i="13"/>
  <c r="A73" i="13"/>
  <c r="A65" i="13"/>
  <c r="K138" i="13"/>
  <c r="K80" i="13"/>
  <c r="K65" i="13"/>
  <c r="A159" i="13"/>
  <c r="A235" i="13"/>
  <c r="A226" i="13"/>
  <c r="A211" i="13"/>
  <c r="A199" i="13"/>
  <c r="A188" i="13"/>
  <c r="A177" i="13"/>
  <c r="A171" i="13"/>
  <c r="A165" i="13"/>
  <c r="A163" i="13"/>
  <c r="A161" i="13"/>
  <c r="J163" i="13"/>
  <c r="K163" i="13" s="1"/>
  <c r="A249" i="13"/>
  <c r="A248" i="13"/>
  <c r="C87" i="10"/>
  <c r="C86" i="10"/>
  <c r="C85" i="10"/>
  <c r="C84" i="10"/>
  <c r="C83" i="10"/>
  <c r="C82" i="10"/>
  <c r="C74" i="10"/>
  <c r="C73" i="10"/>
  <c r="C72" i="10"/>
  <c r="C71" i="10"/>
  <c r="K72" i="13" l="1"/>
  <c r="K130" i="13"/>
  <c r="N126" i="13"/>
  <c r="N122" i="13"/>
  <c r="K94" i="13"/>
  <c r="K82" i="13"/>
  <c r="N78" i="13"/>
  <c r="N228" i="13"/>
  <c r="N98" i="13"/>
  <c r="K86" i="13"/>
  <c r="K126" i="13"/>
  <c r="K110" i="13"/>
  <c r="K90" i="13"/>
  <c r="K78" i="13"/>
  <c r="E122" i="13"/>
  <c r="K106" i="13"/>
  <c r="N106" i="13"/>
  <c r="J244" i="13"/>
  <c r="K244" i="13" s="1"/>
  <c r="N63" i="13"/>
  <c r="I249" i="13"/>
  <c r="E98" i="10"/>
  <c r="I248" i="13"/>
  <c r="J248" i="13" s="1"/>
  <c r="K248" i="13" s="1"/>
  <c r="E97" i="10"/>
  <c r="N136" i="13"/>
  <c r="E107" i="13"/>
  <c r="K96" i="13"/>
  <c r="K112" i="13"/>
  <c r="N104" i="13"/>
  <c r="K92" i="13"/>
  <c r="N80" i="13"/>
  <c r="N243" i="13"/>
  <c r="K83" i="13"/>
  <c r="E98" i="13"/>
  <c r="E63" i="13"/>
  <c r="K62" i="13"/>
  <c r="K116" i="13"/>
  <c r="J230" i="13"/>
  <c r="K230" i="13" s="1"/>
  <c r="N200" i="13"/>
  <c r="N196" i="13"/>
  <c r="E186" i="13"/>
  <c r="N62" i="13"/>
  <c r="J199" i="13"/>
  <c r="K199" i="13" s="1"/>
  <c r="N186" i="13"/>
  <c r="J239" i="13"/>
  <c r="K239" i="13" s="1"/>
  <c r="K111" i="13"/>
  <c r="K102" i="13"/>
  <c r="E108" i="13"/>
  <c r="E88" i="13"/>
  <c r="E99" i="13"/>
  <c r="K135" i="13"/>
  <c r="N234" i="13"/>
  <c r="N206" i="13"/>
  <c r="N173" i="13"/>
  <c r="J235" i="13"/>
  <c r="K235" i="13" s="1"/>
  <c r="N119" i="13"/>
  <c r="J173" i="13"/>
  <c r="K173" i="13" s="1"/>
  <c r="N160" i="13"/>
  <c r="K127" i="13"/>
  <c r="E109" i="13"/>
  <c r="E97" i="13"/>
  <c r="J206" i="13"/>
  <c r="K206" i="13" s="1"/>
  <c r="J196" i="13"/>
  <c r="K196" i="13" s="1"/>
  <c r="E169" i="13"/>
  <c r="N164" i="13"/>
  <c r="J182" i="13"/>
  <c r="K182" i="13" s="1"/>
  <c r="N177" i="13"/>
  <c r="J164" i="13"/>
  <c r="K164" i="13" s="1"/>
  <c r="N131" i="13"/>
  <c r="E125" i="13"/>
  <c r="E139" i="13"/>
  <c r="E87" i="13"/>
  <c r="K131" i="13"/>
  <c r="K95" i="13"/>
  <c r="K115" i="13"/>
  <c r="K91" i="13"/>
  <c r="E120" i="13"/>
  <c r="E134" i="13"/>
  <c r="N194" i="13"/>
  <c r="N188" i="13"/>
  <c r="E131" i="13"/>
  <c r="E103" i="13"/>
  <c r="K73" i="13"/>
  <c r="K67" i="13"/>
  <c r="N115" i="13"/>
  <c r="N103" i="13"/>
  <c r="J174" i="13"/>
  <c r="K174" i="13" s="1"/>
  <c r="K123" i="13"/>
  <c r="K107" i="13"/>
  <c r="E119" i="13"/>
  <c r="N182" i="13"/>
  <c r="K99" i="13"/>
  <c r="N73" i="13"/>
  <c r="N107" i="13"/>
  <c r="N87" i="13"/>
  <c r="N184" i="13"/>
  <c r="J227" i="13"/>
  <c r="K227" i="13" s="1"/>
  <c r="J170" i="13"/>
  <c r="K170" i="13" s="1"/>
  <c r="J187" i="13"/>
  <c r="K187" i="13" s="1"/>
  <c r="N169" i="13"/>
  <c r="K141" i="13"/>
  <c r="N141" i="13"/>
  <c r="E141" i="13"/>
  <c r="N137" i="13"/>
  <c r="E137" i="13"/>
  <c r="K137" i="13"/>
  <c r="K133" i="13"/>
  <c r="K129" i="13"/>
  <c r="E129" i="13"/>
  <c r="K121" i="13"/>
  <c r="E121" i="13"/>
  <c r="K117" i="13"/>
  <c r="E117" i="13"/>
  <c r="K101" i="13"/>
  <c r="E101" i="13"/>
  <c r="K81" i="13"/>
  <c r="E81" i="13"/>
  <c r="K69" i="13"/>
  <c r="E69" i="13"/>
  <c r="K125" i="13"/>
  <c r="E124" i="13"/>
  <c r="E76" i="13"/>
  <c r="L118" i="13"/>
  <c r="N118" i="13" s="1"/>
  <c r="E118" i="13"/>
  <c r="N249" i="13"/>
  <c r="O249" i="13" s="1"/>
  <c r="N245" i="13"/>
  <c r="E245" i="13"/>
  <c r="N128" i="13"/>
  <c r="K124" i="13"/>
  <c r="N108" i="13"/>
  <c r="N100" i="13"/>
  <c r="K88" i="13"/>
  <c r="J228" i="13"/>
  <c r="K228" i="13" s="1"/>
  <c r="J212" i="13"/>
  <c r="K212" i="13" s="1"/>
  <c r="J165" i="13"/>
  <c r="K165" i="13" s="1"/>
  <c r="J249" i="13"/>
  <c r="K249" i="13" s="1"/>
  <c r="N241" i="13"/>
  <c r="J232" i="13"/>
  <c r="K232" i="13" s="1"/>
  <c r="J224" i="13"/>
  <c r="K224" i="13" s="1"/>
  <c r="N96" i="13"/>
  <c r="N84" i="13"/>
  <c r="N76" i="13"/>
  <c r="N232" i="13"/>
  <c r="N211" i="13"/>
  <c r="N197" i="13"/>
  <c r="J183" i="13"/>
  <c r="K183" i="13" s="1"/>
  <c r="J179" i="13"/>
  <c r="K179" i="13" s="1"/>
  <c r="N161" i="13"/>
  <c r="J241" i="13"/>
  <c r="K241" i="13" s="1"/>
  <c r="N237" i="13"/>
  <c r="K120" i="13"/>
  <c r="K104" i="13"/>
  <c r="E140" i="13"/>
  <c r="E132" i="13"/>
  <c r="E128" i="13"/>
  <c r="E100" i="13"/>
  <c r="J234" i="13"/>
  <c r="K234" i="13" s="1"/>
  <c r="N230" i="13"/>
  <c r="N227" i="13"/>
  <c r="N226" i="13"/>
  <c r="N223" i="13"/>
  <c r="N212" i="13"/>
  <c r="J211" i="13"/>
  <c r="K211" i="13" s="1"/>
  <c r="N208" i="13"/>
  <c r="J203" i="13"/>
  <c r="K203" i="13" s="1"/>
  <c r="J197" i="13"/>
  <c r="K197" i="13" s="1"/>
  <c r="J188" i="13"/>
  <c r="K188" i="13" s="1"/>
  <c r="J184" i="13"/>
  <c r="K184" i="13" s="1"/>
  <c r="N178" i="13"/>
  <c r="J166" i="13"/>
  <c r="K166" i="13" s="1"/>
  <c r="N235" i="13"/>
  <c r="J240" i="13"/>
  <c r="K240" i="13" s="1"/>
  <c r="N239" i="13"/>
  <c r="E236" i="13"/>
  <c r="E231" i="13"/>
  <c r="E227" i="13"/>
  <c r="E223" i="13"/>
  <c r="E208" i="13"/>
  <c r="E198" i="13"/>
  <c r="E194" i="13"/>
  <c r="E188" i="13"/>
  <c r="E175" i="13"/>
  <c r="E171" i="13"/>
  <c r="N236" i="13"/>
  <c r="N198" i="13"/>
  <c r="J194" i="13"/>
  <c r="K194" i="13" s="1"/>
  <c r="J226" i="13"/>
  <c r="K226" i="13" s="1"/>
  <c r="J222" i="13"/>
  <c r="K222" i="13" s="1"/>
  <c r="J207" i="13"/>
  <c r="K207" i="13" s="1"/>
  <c r="J192" i="13"/>
  <c r="K192" i="13" s="1"/>
  <c r="J178" i="13"/>
  <c r="K178" i="13" s="1"/>
  <c r="N175" i="13"/>
  <c r="N174" i="13"/>
  <c r="J243" i="13"/>
  <c r="K243" i="13" s="1"/>
  <c r="N117" i="13"/>
  <c r="K136" i="13"/>
  <c r="K113" i="13"/>
  <c r="K109" i="13"/>
  <c r="K105" i="13"/>
  <c r="N88" i="13"/>
  <c r="K84" i="13"/>
  <c r="N140" i="13"/>
  <c r="N129" i="13"/>
  <c r="K93" i="13"/>
  <c r="N69" i="13"/>
  <c r="K89" i="13"/>
  <c r="N97" i="13"/>
  <c r="N120" i="13"/>
  <c r="N83" i="13"/>
  <c r="N132" i="13"/>
  <c r="N127" i="13"/>
  <c r="K122" i="13"/>
  <c r="N116" i="13"/>
  <c r="N102" i="13"/>
  <c r="N90" i="13"/>
  <c r="N133" i="13"/>
  <c r="N113" i="13"/>
  <c r="N101" i="13"/>
  <c r="N89" i="13"/>
  <c r="K85" i="13"/>
  <c r="K79" i="13"/>
  <c r="N114" i="13"/>
  <c r="N92" i="13"/>
  <c r="K77" i="13"/>
  <c r="K97" i="13"/>
  <c r="N91" i="13"/>
  <c r="N77" i="13"/>
  <c r="N67" i="13"/>
  <c r="N139" i="13"/>
  <c r="N135" i="13"/>
  <c r="N125" i="13"/>
  <c r="N240" i="13"/>
  <c r="N244" i="13"/>
  <c r="N248" i="13"/>
  <c r="O248" i="13" s="1"/>
  <c r="N187" i="13"/>
  <c r="N225" i="13"/>
  <c r="N189" i="13"/>
  <c r="N231" i="13"/>
  <c r="N224" i="13"/>
  <c r="N207" i="13"/>
  <c r="N181" i="13"/>
  <c r="N171" i="13"/>
  <c r="N165" i="13"/>
  <c r="N210" i="13"/>
  <c r="N233" i="13"/>
  <c r="N222" i="13"/>
  <c r="N209" i="13"/>
  <c r="N170" i="13"/>
  <c r="N183" i="13"/>
  <c r="N163" i="13"/>
  <c r="N121" i="13"/>
  <c r="N94" i="13"/>
  <c r="N138" i="13"/>
  <c r="N123" i="13"/>
  <c r="N112" i="13"/>
  <c r="N109" i="13"/>
  <c r="N95" i="13"/>
  <c r="N81" i="13"/>
  <c r="N124" i="13"/>
  <c r="N111" i="13"/>
  <c r="N99" i="13"/>
  <c r="N85" i="13"/>
  <c r="N105" i="13"/>
  <c r="N93" i="13"/>
  <c r="N82" i="13"/>
  <c r="N79" i="13"/>
  <c r="N65" i="13"/>
  <c r="B54" i="4"/>
  <c r="B52" i="4"/>
  <c r="B49" i="4"/>
  <c r="C49" i="4"/>
  <c r="C48" i="4"/>
  <c r="C47" i="4"/>
  <c r="C110" i="10" l="1"/>
  <c r="C109" i="10"/>
  <c r="C108" i="10"/>
  <c r="C107" i="10"/>
  <c r="C106" i="10"/>
  <c r="C105" i="10"/>
  <c r="C104" i="10"/>
  <c r="C102" i="10"/>
  <c r="C103" i="10"/>
  <c r="C101" i="10"/>
  <c r="C38" i="10"/>
  <c r="C39" i="10"/>
  <c r="C40" i="10"/>
  <c r="C41" i="10"/>
  <c r="C43" i="10"/>
  <c r="C44" i="10"/>
  <c r="C45" i="10"/>
  <c r="C46" i="10"/>
  <c r="C47" i="10"/>
  <c r="C48" i="10"/>
  <c r="C24" i="10"/>
  <c r="C25" i="10"/>
  <c r="C26" i="10"/>
  <c r="C27" i="10"/>
  <c r="C28" i="10"/>
  <c r="C29" i="10"/>
  <c r="C30" i="10"/>
  <c r="C31" i="10"/>
  <c r="C32" i="10"/>
  <c r="C20" i="10"/>
  <c r="C17" i="10"/>
  <c r="C16" i="10"/>
  <c r="C15" i="10"/>
  <c r="C14" i="10"/>
  <c r="C13" i="10"/>
  <c r="C12" i="10"/>
  <c r="C10" i="10"/>
  <c r="C11" i="10"/>
  <c r="C9" i="10"/>
  <c r="C8" i="10"/>
  <c r="M2" i="7" s="1"/>
  <c r="E3" i="7"/>
  <c r="F3" i="7" s="1"/>
  <c r="G83" i="7" l="1"/>
  <c r="H83" i="7" s="1"/>
  <c r="G82" i="7"/>
  <c r="H82" i="7" s="1"/>
  <c r="M83" i="7"/>
  <c r="F83" i="7"/>
  <c r="C83" i="7"/>
  <c r="B83" i="7"/>
  <c r="M82" i="7"/>
  <c r="F82" i="7"/>
  <c r="C82" i="7"/>
  <c r="B82" i="7"/>
  <c r="M81" i="7"/>
  <c r="G81" i="7"/>
  <c r="H81" i="7" s="1"/>
  <c r="F81" i="7"/>
  <c r="C81" i="7"/>
  <c r="B81" i="7"/>
  <c r="O79" i="7" l="1"/>
  <c r="O78" i="7"/>
  <c r="M101" i="7"/>
  <c r="M102" i="7"/>
  <c r="M103" i="7"/>
  <c r="M104" i="7"/>
  <c r="M105" i="7"/>
  <c r="M100" i="7"/>
  <c r="M97" i="7"/>
  <c r="M98" i="7"/>
  <c r="M99" i="7"/>
  <c r="M96" i="7"/>
  <c r="M94" i="7"/>
  <c r="M95" i="7"/>
  <c r="M93" i="7"/>
  <c r="M92" i="7"/>
  <c r="M91" i="7"/>
  <c r="M89" i="7"/>
  <c r="M88" i="7"/>
  <c r="M86" i="7"/>
  <c r="M85" i="7"/>
  <c r="M84" i="7"/>
  <c r="M80" i="7"/>
  <c r="M79" i="7"/>
  <c r="M78" i="7"/>
  <c r="M73" i="7"/>
  <c r="M74" i="7"/>
  <c r="M75" i="7"/>
  <c r="M76" i="7"/>
  <c r="M77" i="7"/>
  <c r="M72" i="7"/>
  <c r="M69" i="7"/>
  <c r="M70" i="7"/>
  <c r="M71" i="7"/>
  <c r="M68" i="7"/>
  <c r="M59" i="7"/>
  <c r="M60" i="7"/>
  <c r="M63" i="7"/>
  <c r="M64" i="7"/>
  <c r="M65" i="7"/>
  <c r="M66" i="7"/>
  <c r="M67" i="7"/>
  <c r="M56" i="7"/>
  <c r="M55" i="7"/>
  <c r="M54" i="7"/>
  <c r="M53" i="7"/>
  <c r="M52" i="7"/>
  <c r="M51" i="7"/>
  <c r="M50" i="7"/>
  <c r="M49" i="7"/>
  <c r="M48" i="7"/>
  <c r="G102" i="7"/>
  <c r="H102" i="7" s="1"/>
  <c r="G103" i="7"/>
  <c r="H103" i="7" s="1"/>
  <c r="G104" i="7"/>
  <c r="G105" i="7"/>
  <c r="G101" i="7"/>
  <c r="H101" i="7" s="1"/>
  <c r="G100" i="7"/>
  <c r="G97" i="7"/>
  <c r="G98" i="7"/>
  <c r="G99" i="7"/>
  <c r="H99" i="7" s="1"/>
  <c r="G96" i="7"/>
  <c r="G95" i="7"/>
  <c r="G94" i="7"/>
  <c r="G93" i="7"/>
  <c r="H93" i="7" s="1"/>
  <c r="G92" i="7"/>
  <c r="G91" i="7"/>
  <c r="G89" i="7"/>
  <c r="G88" i="7"/>
  <c r="G85" i="7"/>
  <c r="G86" i="7"/>
  <c r="G84" i="7"/>
  <c r="G79" i="7"/>
  <c r="H79" i="7" s="1"/>
  <c r="G78" i="7"/>
  <c r="G74" i="7"/>
  <c r="G75" i="7"/>
  <c r="G76" i="7"/>
  <c r="G77" i="7"/>
  <c r="G73" i="7"/>
  <c r="G72" i="7"/>
  <c r="G69" i="7"/>
  <c r="G70" i="7"/>
  <c r="G71" i="7"/>
  <c r="G68" i="7"/>
  <c r="G64" i="7"/>
  <c r="G65" i="7"/>
  <c r="G66" i="7"/>
  <c r="G67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B101" i="7"/>
  <c r="B102" i="7"/>
  <c r="B103" i="7"/>
  <c r="B104" i="7"/>
  <c r="B105" i="7"/>
  <c r="B100" i="7"/>
  <c r="B97" i="7"/>
  <c r="B98" i="7"/>
  <c r="B99" i="7"/>
  <c r="B96" i="7"/>
  <c r="B93" i="7"/>
  <c r="B94" i="7"/>
  <c r="B95" i="7"/>
  <c r="B91" i="7"/>
  <c r="B92" i="7"/>
  <c r="B84" i="7"/>
  <c r="B85" i="7"/>
  <c r="B86" i="7"/>
  <c r="B88" i="7"/>
  <c r="B89" i="7"/>
  <c r="B80" i="7"/>
  <c r="B79" i="7"/>
  <c r="B78" i="7"/>
  <c r="B73" i="7"/>
  <c r="B74" i="7"/>
  <c r="B75" i="7"/>
  <c r="B76" i="7"/>
  <c r="B77" i="7"/>
  <c r="B72" i="7"/>
  <c r="B69" i="7"/>
  <c r="B70" i="7"/>
  <c r="B71" i="7"/>
  <c r="B68" i="7"/>
  <c r="B57" i="7"/>
  <c r="B58" i="7"/>
  <c r="B59" i="7"/>
  <c r="B60" i="7"/>
  <c r="B61" i="7"/>
  <c r="B62" i="7"/>
  <c r="B63" i="7"/>
  <c r="B64" i="7"/>
  <c r="B65" i="7"/>
  <c r="B66" i="7"/>
  <c r="B67" i="7"/>
  <c r="B54" i="7"/>
  <c r="B55" i="7"/>
  <c r="B56" i="7"/>
  <c r="B53" i="7"/>
  <c r="B52" i="7"/>
  <c r="B51" i="7"/>
  <c r="B50" i="7"/>
  <c r="B49" i="7"/>
  <c r="B48" i="7"/>
  <c r="C101" i="7"/>
  <c r="C102" i="7"/>
  <c r="C103" i="7"/>
  <c r="C104" i="7"/>
  <c r="C105" i="7"/>
  <c r="C100" i="7"/>
  <c r="C97" i="7"/>
  <c r="C98" i="7"/>
  <c r="C99" i="7"/>
  <c r="C96" i="7"/>
  <c r="C94" i="7"/>
  <c r="C95" i="7"/>
  <c r="C93" i="7"/>
  <c r="C92" i="7"/>
  <c r="C91" i="7"/>
  <c r="C89" i="7"/>
  <c r="C88" i="7"/>
  <c r="C85" i="7"/>
  <c r="C86" i="7"/>
  <c r="C84" i="7"/>
  <c r="F105" i="7"/>
  <c r="H104" i="7"/>
  <c r="F104" i="7"/>
  <c r="F103" i="7"/>
  <c r="F102" i="7"/>
  <c r="F101" i="7"/>
  <c r="H100" i="7"/>
  <c r="F100" i="7"/>
  <c r="F99" i="7"/>
  <c r="H98" i="7"/>
  <c r="F98" i="7"/>
  <c r="F97" i="7"/>
  <c r="H97" i="7" s="1"/>
  <c r="H96" i="7"/>
  <c r="F96" i="7"/>
  <c r="F95" i="7"/>
  <c r="H94" i="7"/>
  <c r="F94" i="7"/>
  <c r="F93" i="7"/>
  <c r="H92" i="7"/>
  <c r="F92" i="7"/>
  <c r="F91" i="7"/>
  <c r="F89" i="7"/>
  <c r="H89" i="7" s="1"/>
  <c r="C80" i="7"/>
  <c r="C79" i="7"/>
  <c r="C78" i="7"/>
  <c r="C73" i="7"/>
  <c r="C74" i="7"/>
  <c r="C75" i="7"/>
  <c r="C76" i="7"/>
  <c r="C77" i="7"/>
  <c r="C72" i="7"/>
  <c r="C71" i="7"/>
  <c r="C69" i="7"/>
  <c r="C70" i="7"/>
  <c r="F88" i="7"/>
  <c r="F86" i="7"/>
  <c r="H86" i="7" s="1"/>
  <c r="H85" i="7"/>
  <c r="F85" i="7"/>
  <c r="F84" i="7"/>
  <c r="G80" i="7"/>
  <c r="F80" i="7"/>
  <c r="F79" i="7"/>
  <c r="F78" i="7"/>
  <c r="H78" i="7" s="1"/>
  <c r="H77" i="7"/>
  <c r="F77" i="7"/>
  <c r="F76" i="7"/>
  <c r="F75" i="7"/>
  <c r="H75" i="7" s="1"/>
  <c r="F74" i="7"/>
  <c r="H74" i="7" s="1"/>
  <c r="F73" i="7"/>
  <c r="F72" i="7"/>
  <c r="F71" i="7"/>
  <c r="C68" i="7"/>
  <c r="C67" i="7"/>
  <c r="C66" i="7"/>
  <c r="C58" i="7"/>
  <c r="C59" i="7"/>
  <c r="C60" i="7"/>
  <c r="C61" i="7"/>
  <c r="C62" i="7"/>
  <c r="C63" i="7"/>
  <c r="C64" i="7"/>
  <c r="C65" i="7"/>
  <c r="C57" i="7"/>
  <c r="C56" i="7"/>
  <c r="C55" i="7"/>
  <c r="C54" i="7"/>
  <c r="C53" i="7"/>
  <c r="C52" i="7"/>
  <c r="C51" i="7"/>
  <c r="C50" i="7"/>
  <c r="C49" i="7"/>
  <c r="C48" i="7"/>
  <c r="B37" i="7"/>
  <c r="B38" i="7"/>
  <c r="B39" i="7"/>
  <c r="B40" i="7"/>
  <c r="B41" i="7"/>
  <c r="B42" i="7"/>
  <c r="B36" i="7"/>
  <c r="B33" i="7"/>
  <c r="B23" i="7"/>
  <c r="B24" i="7"/>
  <c r="B25" i="7"/>
  <c r="B26" i="7"/>
  <c r="B27" i="7"/>
  <c r="B28" i="7"/>
  <c r="B29" i="7"/>
  <c r="B30" i="7"/>
  <c r="B31" i="7"/>
  <c r="B32" i="7"/>
  <c r="B22" i="7"/>
  <c r="B12" i="7"/>
  <c r="B13" i="7"/>
  <c r="B14" i="7"/>
  <c r="B15" i="7"/>
  <c r="B16" i="7"/>
  <c r="B17" i="7"/>
  <c r="B18" i="7"/>
  <c r="B19" i="7"/>
  <c r="B11" i="7"/>
  <c r="B3" i="7"/>
  <c r="B4" i="7"/>
  <c r="B5" i="7"/>
  <c r="B6" i="7"/>
  <c r="B7" i="7"/>
  <c r="B8" i="7"/>
  <c r="B9" i="7"/>
  <c r="B2" i="7"/>
  <c r="H70" i="7"/>
  <c r="F70" i="7"/>
  <c r="F69" i="7"/>
  <c r="F68" i="7"/>
  <c r="F67" i="7"/>
  <c r="F66" i="7"/>
  <c r="H66" i="7" s="1"/>
  <c r="F65" i="7"/>
  <c r="F64" i="7"/>
  <c r="F63" i="7"/>
  <c r="F62" i="7"/>
  <c r="H62" i="7" s="1"/>
  <c r="F61" i="7"/>
  <c r="F60" i="7"/>
  <c r="F59" i="7"/>
  <c r="F58" i="7"/>
  <c r="H58" i="7" s="1"/>
  <c r="F57" i="7"/>
  <c r="F56" i="7"/>
  <c r="F55" i="7"/>
  <c r="H54" i="7"/>
  <c r="F54" i="7"/>
  <c r="F53" i="7"/>
  <c r="H53" i="7" s="1"/>
  <c r="F52" i="7"/>
  <c r="E49" i="7"/>
  <c r="F49" i="7" s="1"/>
  <c r="E48" i="7"/>
  <c r="F48" i="7" s="1"/>
  <c r="H71" i="7" l="1"/>
  <c r="H95" i="7"/>
  <c r="H73" i="7"/>
  <c r="H91" i="7"/>
  <c r="H76" i="7"/>
  <c r="H105" i="7"/>
  <c r="H84" i="7"/>
  <c r="H88" i="7"/>
  <c r="H52" i="7"/>
  <c r="H56" i="7"/>
  <c r="H60" i="7"/>
  <c r="H64" i="7"/>
  <c r="H68" i="7"/>
  <c r="H72" i="7"/>
  <c r="H80" i="7"/>
  <c r="H57" i="7"/>
  <c r="H61" i="7"/>
  <c r="H65" i="7"/>
  <c r="H69" i="7"/>
  <c r="H55" i="7"/>
  <c r="H59" i="7"/>
  <c r="H63" i="7"/>
  <c r="H67" i="7"/>
  <c r="H48" i="7"/>
  <c r="H49" i="7"/>
  <c r="M17" i="7" l="1"/>
  <c r="M18" i="7"/>
  <c r="M19" i="7"/>
  <c r="M16" i="7"/>
  <c r="M12" i="7" l="1"/>
  <c r="M13" i="7"/>
  <c r="M14" i="7"/>
  <c r="M15" i="7"/>
  <c r="M11" i="7"/>
  <c r="M3" i="7"/>
  <c r="M4" i="7"/>
  <c r="M5" i="7"/>
  <c r="M6" i="7"/>
  <c r="M7" i="7"/>
  <c r="M8" i="7"/>
  <c r="M9" i="7"/>
  <c r="F244" i="13" l="1"/>
  <c r="F243" i="13"/>
  <c r="F242" i="13"/>
  <c r="F241" i="13"/>
  <c r="F240" i="13"/>
  <c r="F239" i="13"/>
  <c r="F238" i="13"/>
  <c r="F237" i="13"/>
  <c r="F236" i="13"/>
  <c r="F233" i="13"/>
  <c r="F232" i="13"/>
  <c r="F231" i="13"/>
  <c r="F230" i="13"/>
  <c r="F229" i="13"/>
  <c r="F228" i="13"/>
  <c r="F225" i="13"/>
  <c r="F224" i="13"/>
  <c r="F223" i="13"/>
  <c r="F222" i="13"/>
  <c r="F221" i="13"/>
  <c r="F219" i="13"/>
  <c r="D219" i="13"/>
  <c r="F217" i="13"/>
  <c r="D217" i="13"/>
  <c r="F215" i="13"/>
  <c r="D215" i="13"/>
  <c r="F213" i="13"/>
  <c r="D213" i="13"/>
  <c r="F210" i="13"/>
  <c r="F209" i="13"/>
  <c r="F208" i="13"/>
  <c r="F207" i="13"/>
  <c r="F206" i="13"/>
  <c r="F205" i="13"/>
  <c r="F203" i="13"/>
  <c r="D203" i="13"/>
  <c r="F201" i="13"/>
  <c r="D201" i="13"/>
  <c r="F198" i="13"/>
  <c r="F197" i="13"/>
  <c r="F196" i="13"/>
  <c r="F195" i="13"/>
  <c r="F194" i="13"/>
  <c r="F192" i="13"/>
  <c r="D192" i="13"/>
  <c r="F190" i="13"/>
  <c r="D190" i="13"/>
  <c r="F187" i="13"/>
  <c r="F186" i="13"/>
  <c r="F185" i="13"/>
  <c r="F184" i="13"/>
  <c r="F183" i="13"/>
  <c r="F182" i="13"/>
  <c r="F181" i="13"/>
  <c r="F179" i="13"/>
  <c r="D179" i="13"/>
  <c r="F176" i="13"/>
  <c r="F175" i="13"/>
  <c r="F174" i="13"/>
  <c r="F173" i="13"/>
  <c r="F170" i="13"/>
  <c r="F169" i="13"/>
  <c r="F168" i="13"/>
  <c r="F166" i="13"/>
  <c r="D166" i="13"/>
  <c r="F164" i="13"/>
  <c r="F162" i="13"/>
  <c r="F160" i="13"/>
  <c r="L158" i="13"/>
  <c r="F158" i="13"/>
  <c r="C158" i="13"/>
  <c r="L151" i="13"/>
  <c r="K151" i="13"/>
  <c r="L150" i="13"/>
  <c r="L149" i="13"/>
  <c r="L148" i="13"/>
  <c r="L147" i="13"/>
  <c r="L146" i="13"/>
  <c r="L145" i="13"/>
  <c r="L144" i="13"/>
  <c r="L143" i="13"/>
  <c r="K143" i="13"/>
  <c r="L142" i="13"/>
  <c r="L68" i="13"/>
  <c r="L64" i="13"/>
  <c r="F64" i="13"/>
  <c r="J36" i="13"/>
  <c r="K36" i="13" s="1"/>
  <c r="J35" i="13"/>
  <c r="K35" i="13" s="1"/>
  <c r="J34" i="13"/>
  <c r="K34" i="13" s="1"/>
  <c r="J33" i="13"/>
  <c r="K33" i="13" s="1"/>
  <c r="J32" i="13"/>
  <c r="K32" i="13" s="1"/>
  <c r="L31" i="13"/>
  <c r="J31" i="13"/>
  <c r="K31" i="13" s="1"/>
  <c r="L30" i="13"/>
  <c r="J30" i="13"/>
  <c r="K30" i="13" s="1"/>
  <c r="L29" i="13"/>
  <c r="J29" i="13"/>
  <c r="K29" i="13" s="1"/>
  <c r="L28" i="13"/>
  <c r="J28" i="13"/>
  <c r="K28" i="13" s="1"/>
  <c r="L27" i="13"/>
  <c r="J27" i="13"/>
  <c r="K27" i="13" s="1"/>
  <c r="L26" i="13"/>
  <c r="J26" i="13"/>
  <c r="K26" i="13" s="1"/>
  <c r="L25" i="13"/>
  <c r="J25" i="13"/>
  <c r="K25" i="13" s="1"/>
  <c r="L24" i="13"/>
  <c r="J24" i="13"/>
  <c r="K24" i="13" s="1"/>
  <c r="L23" i="13"/>
  <c r="J23" i="13"/>
  <c r="K23" i="13" s="1"/>
  <c r="L22" i="13"/>
  <c r="J22" i="13"/>
  <c r="K22" i="13" s="1"/>
  <c r="N21" i="13"/>
  <c r="J21" i="13"/>
  <c r="K21" i="13" s="1"/>
  <c r="L20" i="13"/>
  <c r="J20" i="13"/>
  <c r="R11" i="13"/>
  <c r="L6" i="13"/>
  <c r="L5" i="13"/>
  <c r="F6" i="13"/>
  <c r="M33" i="7"/>
  <c r="M23" i="7"/>
  <c r="M24" i="7"/>
  <c r="M25" i="7"/>
  <c r="M26" i="7"/>
  <c r="M27" i="7"/>
  <c r="M28" i="7"/>
  <c r="M29" i="7"/>
  <c r="M30" i="7"/>
  <c r="M31" i="7"/>
  <c r="M32" i="7"/>
  <c r="F29" i="7"/>
  <c r="G29" i="7"/>
  <c r="F9" i="13" l="1"/>
  <c r="F10" i="13"/>
  <c r="N22" i="13"/>
  <c r="L41" i="13"/>
  <c r="N41" i="13" s="1"/>
  <c r="N24" i="13"/>
  <c r="L43" i="13"/>
  <c r="N43" i="13" s="1"/>
  <c r="N26" i="13"/>
  <c r="L45" i="13"/>
  <c r="N45" i="13" s="1"/>
  <c r="N28" i="13"/>
  <c r="L47" i="13"/>
  <c r="N47" i="13" s="1"/>
  <c r="N30" i="13"/>
  <c r="L49" i="13"/>
  <c r="N49" i="13" s="1"/>
  <c r="N23" i="13"/>
  <c r="L42" i="13"/>
  <c r="N42" i="13" s="1"/>
  <c r="N25" i="13"/>
  <c r="L44" i="13"/>
  <c r="N44" i="13" s="1"/>
  <c r="N27" i="13"/>
  <c r="L46" i="13"/>
  <c r="N46" i="13" s="1"/>
  <c r="N29" i="13"/>
  <c r="L48" i="13"/>
  <c r="N48" i="13" s="1"/>
  <c r="N31" i="13"/>
  <c r="L50" i="13"/>
  <c r="N50" i="13" s="1"/>
  <c r="L190" i="13"/>
  <c r="N190" i="13" s="1"/>
  <c r="E190" i="13"/>
  <c r="L201" i="13"/>
  <c r="N201" i="13" s="1"/>
  <c r="E201" i="13"/>
  <c r="E215" i="13"/>
  <c r="L215" i="13"/>
  <c r="N215" i="13" s="1"/>
  <c r="L219" i="13"/>
  <c r="N219" i="13" s="1"/>
  <c r="E219" i="13"/>
  <c r="L179" i="13"/>
  <c r="N179" i="13" s="1"/>
  <c r="E179" i="13"/>
  <c r="L203" i="13"/>
  <c r="N203" i="13" s="1"/>
  <c r="E203" i="13"/>
  <c r="E213" i="13"/>
  <c r="L213" i="13"/>
  <c r="N213" i="13" s="1"/>
  <c r="L217" i="13"/>
  <c r="N217" i="13" s="1"/>
  <c r="E217" i="13"/>
  <c r="AA248" i="13"/>
  <c r="AA249" i="13"/>
  <c r="L166" i="13"/>
  <c r="N166" i="13" s="1"/>
  <c r="E166" i="13"/>
  <c r="L192" i="13"/>
  <c r="N192" i="13" s="1"/>
  <c r="E192" i="13"/>
  <c r="R12" i="13"/>
  <c r="L58" i="13"/>
  <c r="N143" i="13"/>
  <c r="N147" i="13"/>
  <c r="K149" i="13"/>
  <c r="N151" i="13"/>
  <c r="L7" i="13"/>
  <c r="J8" i="13"/>
  <c r="H29" i="7"/>
  <c r="P29" i="7"/>
  <c r="N20" i="13"/>
  <c r="K68" i="13"/>
  <c r="K145" i="13"/>
  <c r="K147" i="13"/>
  <c r="N142" i="13"/>
  <c r="K142" i="13"/>
  <c r="N150" i="13"/>
  <c r="K150" i="13"/>
  <c r="N64" i="13"/>
  <c r="N146" i="13"/>
  <c r="K146" i="13"/>
  <c r="J58" i="13"/>
  <c r="K20" i="13"/>
  <c r="N158" i="13"/>
  <c r="J158" i="13"/>
  <c r="E158" i="13"/>
  <c r="N145" i="13"/>
  <c r="N149" i="13"/>
  <c r="K144" i="13"/>
  <c r="N144" i="13"/>
  <c r="K148" i="13"/>
  <c r="N148" i="13"/>
  <c r="N58" i="13" l="1"/>
  <c r="F7" i="13"/>
  <c r="N8" i="13"/>
  <c r="E154" i="13"/>
  <c r="K158" i="13"/>
  <c r="K8" i="13"/>
  <c r="K58" i="13"/>
  <c r="J154" i="13"/>
  <c r="J256" i="13" s="1"/>
  <c r="K64" i="13"/>
  <c r="N10" i="13" l="1"/>
  <c r="K154" i="13"/>
  <c r="K256" i="13" s="1"/>
  <c r="G42" i="7"/>
  <c r="G39" i="7"/>
  <c r="G40" i="7"/>
  <c r="G41" i="7"/>
  <c r="G38" i="7"/>
  <c r="G36" i="7"/>
  <c r="G33" i="7"/>
  <c r="G32" i="7"/>
  <c r="G31" i="7"/>
  <c r="G25" i="7"/>
  <c r="G26" i="7"/>
  <c r="G27" i="7"/>
  <c r="G28" i="7"/>
  <c r="G30" i="7"/>
  <c r="G24" i="7"/>
  <c r="G23" i="7"/>
  <c r="G22" i="7"/>
  <c r="G19" i="7"/>
  <c r="G18" i="7"/>
  <c r="G17" i="7"/>
  <c r="G15" i="7"/>
  <c r="G14" i="7"/>
  <c r="G13" i="7"/>
  <c r="G9" i="7"/>
  <c r="G8" i="7"/>
  <c r="G7" i="7"/>
  <c r="G6" i="7"/>
  <c r="F42" i="7"/>
  <c r="F41" i="7"/>
  <c r="F40" i="7"/>
  <c r="F39" i="7"/>
  <c r="F38" i="7"/>
  <c r="F37" i="7"/>
  <c r="F36" i="7"/>
  <c r="F33" i="7"/>
  <c r="F32" i="7"/>
  <c r="F31" i="7"/>
  <c r="F30" i="7"/>
  <c r="F28" i="7"/>
  <c r="F27" i="7"/>
  <c r="F26" i="7"/>
  <c r="F25" i="7"/>
  <c r="F24" i="7"/>
  <c r="F23" i="7"/>
  <c r="F22" i="7"/>
  <c r="P19" i="7"/>
  <c r="P18" i="7"/>
  <c r="P17" i="7"/>
  <c r="P16" i="7"/>
  <c r="G16" i="7"/>
  <c r="P15" i="7"/>
  <c r="P14" i="7"/>
  <c r="P13" i="7"/>
  <c r="P12" i="7"/>
  <c r="G12" i="7"/>
  <c r="P11" i="7"/>
  <c r="G11" i="7"/>
  <c r="AB26" i="13" l="1"/>
  <c r="M37" i="7" l="1"/>
  <c r="M38" i="7"/>
  <c r="M39" i="7"/>
  <c r="M40" i="7"/>
  <c r="M41" i="7"/>
  <c r="M42" i="7"/>
  <c r="M36" i="7"/>
  <c r="P30" i="7"/>
  <c r="P31" i="7"/>
  <c r="P32" i="7"/>
  <c r="P33" i="7"/>
  <c r="P23" i="7"/>
  <c r="M22" i="7"/>
  <c r="P22" i="7" s="1"/>
  <c r="P6" i="7"/>
  <c r="D35" i="7"/>
  <c r="F35" i="7"/>
  <c r="H33" i="7"/>
  <c r="H32" i="7"/>
  <c r="H31" i="7"/>
  <c r="H30" i="7"/>
  <c r="H24" i="7" l="1"/>
  <c r="H25" i="7"/>
  <c r="H28" i="7"/>
  <c r="H27" i="7"/>
  <c r="H26" i="7"/>
  <c r="H23" i="7"/>
  <c r="P28" i="7"/>
  <c r="P27" i="7"/>
  <c r="P26" i="7"/>
  <c r="P25" i="7"/>
  <c r="P24" i="7"/>
  <c r="H22" i="7"/>
  <c r="P35" i="7" l="1"/>
  <c r="H35" i="7"/>
  <c r="G37" i="7" l="1"/>
  <c r="D44" i="7" l="1"/>
  <c r="G5" i="7"/>
  <c r="G4" i="7"/>
  <c r="G3" i="7"/>
  <c r="D21" i="7" l="1"/>
  <c r="D45" i="7" s="1"/>
  <c r="G2" i="7" l="1"/>
  <c r="P9" i="7" l="1"/>
  <c r="P8" i="7"/>
  <c r="P7" i="7"/>
  <c r="P4" i="7"/>
  <c r="P5" i="7"/>
  <c r="P3" i="7" l="1"/>
  <c r="F44" i="7"/>
  <c r="B51" i="4" l="1"/>
  <c r="D112" i="7" l="1"/>
  <c r="P2" i="7" l="1"/>
  <c r="P21" i="7" s="1"/>
  <c r="B3" i="4" l="1"/>
  <c r="B4" i="4"/>
  <c r="B5" i="4"/>
  <c r="B6" i="4"/>
  <c r="D5" i="4" l="1"/>
  <c r="C4" i="4"/>
  <c r="E4" i="4"/>
  <c r="G4" i="4"/>
  <c r="F5" i="4"/>
  <c r="C5" i="4"/>
  <c r="D4" i="4"/>
  <c r="F4" i="4"/>
  <c r="H4" i="4"/>
  <c r="C6" i="4"/>
  <c r="H6" i="4"/>
  <c r="E5" i="4"/>
  <c r="G5" i="4"/>
  <c r="H5" i="4"/>
  <c r="C3" i="4"/>
  <c r="D3" i="4"/>
  <c r="E3" i="4"/>
  <c r="F3" i="4"/>
  <c r="G3" i="4"/>
  <c r="H3" i="4"/>
  <c r="G6" i="4" l="1"/>
  <c r="F6" i="4"/>
  <c r="E6" i="4"/>
  <c r="D6" i="4"/>
  <c r="G47" i="4" l="1"/>
  <c r="B9" i="4"/>
  <c r="B8" i="4"/>
  <c r="B7" i="4"/>
  <c r="E51" i="7" l="1"/>
  <c r="F51" i="7" s="1"/>
  <c r="H51" i="7" s="1"/>
  <c r="E15" i="7"/>
  <c r="F15" i="7" s="1"/>
  <c r="H15" i="7" s="1"/>
  <c r="E14" i="7"/>
  <c r="F14" i="7" s="1"/>
  <c r="H14" i="7" s="1"/>
  <c r="E16" i="7"/>
  <c r="F16" i="7" s="1"/>
  <c r="H16" i="7" s="1"/>
  <c r="E17" i="7"/>
  <c r="F17" i="7" s="1"/>
  <c r="H17" i="7" s="1"/>
  <c r="E7" i="7"/>
  <c r="F7" i="7" s="1"/>
  <c r="H7" i="7" s="1"/>
  <c r="E12" i="7"/>
  <c r="F12" i="7" s="1"/>
  <c r="H12" i="7" s="1"/>
  <c r="E11" i="7"/>
  <c r="F11" i="7" s="1"/>
  <c r="H11" i="7" s="1"/>
  <c r="E18" i="7"/>
  <c r="F18" i="7" s="1"/>
  <c r="H18" i="7" s="1"/>
  <c r="E13" i="7"/>
  <c r="F13" i="7" s="1"/>
  <c r="H13" i="7" s="1"/>
  <c r="E50" i="7"/>
  <c r="F50" i="7" s="1"/>
  <c r="H50" i="7" s="1"/>
  <c r="E19" i="7"/>
  <c r="F19" i="7" s="1"/>
  <c r="H19" i="7" s="1"/>
  <c r="E9" i="7"/>
  <c r="F9" i="7" s="1"/>
  <c r="H9" i="7" s="1"/>
  <c r="E6" i="7"/>
  <c r="F6" i="7" s="1"/>
  <c r="H6" i="7" s="1"/>
  <c r="E4" i="7"/>
  <c r="F4" i="7" s="1"/>
  <c r="E8" i="7"/>
  <c r="F8" i="7" s="1"/>
  <c r="H8" i="7" s="1"/>
  <c r="E2" i="7"/>
  <c r="F2" i="7" s="1"/>
  <c r="H2" i="7" s="1"/>
  <c r="E5" i="7"/>
  <c r="G50" i="4"/>
  <c r="G52" i="4" s="1"/>
  <c r="H8" i="4"/>
  <c r="G8" i="4"/>
  <c r="F8" i="4"/>
  <c r="E8" i="4"/>
  <c r="D8" i="4"/>
  <c r="C8" i="4"/>
  <c r="H7" i="4"/>
  <c r="C7" i="4"/>
  <c r="G7" i="4"/>
  <c r="F7" i="4"/>
  <c r="E7" i="4"/>
  <c r="D7" i="4"/>
  <c r="H9" i="4"/>
  <c r="G9" i="4"/>
  <c r="F9" i="4"/>
  <c r="E9" i="4"/>
  <c r="D9" i="4"/>
  <c r="C9" i="4"/>
  <c r="B53" i="4" l="1"/>
  <c r="F5" i="7"/>
  <c r="H5" i="7" s="1"/>
  <c r="H3" i="7"/>
  <c r="P37" i="7"/>
  <c r="H37" i="7"/>
  <c r="H40" i="7"/>
  <c r="P40" i="7"/>
  <c r="H41" i="7"/>
  <c r="P41" i="7"/>
  <c r="H38" i="7"/>
  <c r="P38" i="7"/>
  <c r="H4" i="7"/>
  <c r="P42" i="7"/>
  <c r="H42" i="7"/>
  <c r="B55" i="4"/>
  <c r="W106" i="7" s="1"/>
  <c r="H21" i="7" l="1"/>
  <c r="F21" i="7"/>
  <c r="F45" i="7" s="1"/>
  <c r="D113" i="7" s="1"/>
  <c r="H36" i="7"/>
  <c r="P36" i="7"/>
  <c r="H39" i="7"/>
  <c r="P39" i="7"/>
  <c r="P44" i="7" l="1"/>
  <c r="H44" i="7"/>
  <c r="P45" i="7" l="1"/>
  <c r="H45" i="7"/>
  <c r="D114" i="7" s="1"/>
  <c r="I2" i="7" l="1"/>
  <c r="J2" i="7" s="1"/>
  <c r="K2" i="7" s="1"/>
  <c r="L2" i="7" s="1"/>
  <c r="N2" i="7" s="1"/>
  <c r="U2" i="7" s="1"/>
  <c r="I87" i="7"/>
  <c r="J87" i="7" s="1"/>
  <c r="K87" i="7" s="1"/>
  <c r="L87" i="7" s="1"/>
  <c r="N87" i="7" s="1"/>
  <c r="I83" i="7"/>
  <c r="J83" i="7" s="1"/>
  <c r="K83" i="7" s="1"/>
  <c r="L83" i="7" s="1"/>
  <c r="N83" i="7" s="1"/>
  <c r="I82" i="7"/>
  <c r="J82" i="7" s="1"/>
  <c r="K82" i="7" s="1"/>
  <c r="L82" i="7" s="1"/>
  <c r="N82" i="7" s="1"/>
  <c r="I81" i="7"/>
  <c r="J81" i="7" s="1"/>
  <c r="K81" i="7" s="1"/>
  <c r="L81" i="7" s="1"/>
  <c r="N81" i="7" s="1"/>
  <c r="I50" i="7"/>
  <c r="J50" i="7" s="1"/>
  <c r="K50" i="7" s="1"/>
  <c r="L50" i="7" s="1"/>
  <c r="N50" i="7" s="1"/>
  <c r="I54" i="7"/>
  <c r="J54" i="7" s="1"/>
  <c r="K54" i="7" s="1"/>
  <c r="L54" i="7" s="1"/>
  <c r="N54" i="7" s="1"/>
  <c r="I58" i="7"/>
  <c r="J58" i="7" s="1"/>
  <c r="K58" i="7" s="1"/>
  <c r="L58" i="7" s="1"/>
  <c r="I62" i="7"/>
  <c r="J62" i="7" s="1"/>
  <c r="K62" i="7" s="1"/>
  <c r="L62" i="7" s="1"/>
  <c r="I66" i="7"/>
  <c r="J66" i="7" s="1"/>
  <c r="K66" i="7" s="1"/>
  <c r="L66" i="7" s="1"/>
  <c r="N66" i="7" s="1"/>
  <c r="I70" i="7"/>
  <c r="J70" i="7" s="1"/>
  <c r="K70" i="7" s="1"/>
  <c r="L70" i="7" s="1"/>
  <c r="N70" i="7" s="1"/>
  <c r="I74" i="7"/>
  <c r="J74" i="7" s="1"/>
  <c r="K74" i="7" s="1"/>
  <c r="L74" i="7" s="1"/>
  <c r="N74" i="7" s="1"/>
  <c r="I78" i="7"/>
  <c r="J78" i="7" s="1"/>
  <c r="K78" i="7" s="1"/>
  <c r="L78" i="7" s="1"/>
  <c r="N78" i="7" s="1"/>
  <c r="I86" i="7"/>
  <c r="J86" i="7" s="1"/>
  <c r="K86" i="7" s="1"/>
  <c r="L86" i="7" s="1"/>
  <c r="N86" i="7" s="1"/>
  <c r="I92" i="7"/>
  <c r="J92" i="7" s="1"/>
  <c r="K92" i="7" s="1"/>
  <c r="L92" i="7" s="1"/>
  <c r="N92" i="7" s="1"/>
  <c r="I96" i="7"/>
  <c r="J96" i="7" s="1"/>
  <c r="K96" i="7" s="1"/>
  <c r="L96" i="7" s="1"/>
  <c r="N96" i="7" s="1"/>
  <c r="I100" i="7"/>
  <c r="J100" i="7" s="1"/>
  <c r="K100" i="7" s="1"/>
  <c r="L100" i="7" s="1"/>
  <c r="N100" i="7" s="1"/>
  <c r="I104" i="7"/>
  <c r="J104" i="7" s="1"/>
  <c r="K104" i="7" s="1"/>
  <c r="L104" i="7" s="1"/>
  <c r="N104" i="7" s="1"/>
  <c r="I61" i="7"/>
  <c r="J61" i="7" s="1"/>
  <c r="K61" i="7" s="1"/>
  <c r="L61" i="7" s="1"/>
  <c r="I69" i="7"/>
  <c r="J69" i="7" s="1"/>
  <c r="K69" i="7" s="1"/>
  <c r="L69" i="7" s="1"/>
  <c r="N69" i="7" s="1"/>
  <c r="I85" i="7"/>
  <c r="J85" i="7" s="1"/>
  <c r="K85" i="7" s="1"/>
  <c r="L85" i="7" s="1"/>
  <c r="N85" i="7" s="1"/>
  <c r="I99" i="7"/>
  <c r="J99" i="7" s="1"/>
  <c r="K99" i="7" s="1"/>
  <c r="L99" i="7" s="1"/>
  <c r="N99" i="7" s="1"/>
  <c r="I51" i="7"/>
  <c r="J51" i="7" s="1"/>
  <c r="K51" i="7" s="1"/>
  <c r="L51" i="7" s="1"/>
  <c r="N51" i="7" s="1"/>
  <c r="I55" i="7"/>
  <c r="J55" i="7" s="1"/>
  <c r="K55" i="7" s="1"/>
  <c r="L55" i="7" s="1"/>
  <c r="N55" i="7" s="1"/>
  <c r="I59" i="7"/>
  <c r="J59" i="7" s="1"/>
  <c r="K59" i="7" s="1"/>
  <c r="L59" i="7" s="1"/>
  <c r="N59" i="7" s="1"/>
  <c r="I63" i="7"/>
  <c r="J63" i="7" s="1"/>
  <c r="K63" i="7" s="1"/>
  <c r="L63" i="7" s="1"/>
  <c r="N63" i="7" s="1"/>
  <c r="I67" i="7"/>
  <c r="J67" i="7" s="1"/>
  <c r="K67" i="7" s="1"/>
  <c r="L67" i="7" s="1"/>
  <c r="N67" i="7" s="1"/>
  <c r="I71" i="7"/>
  <c r="J71" i="7" s="1"/>
  <c r="K71" i="7" s="1"/>
  <c r="L71" i="7" s="1"/>
  <c r="N71" i="7" s="1"/>
  <c r="I75" i="7"/>
  <c r="J75" i="7" s="1"/>
  <c r="K75" i="7" s="1"/>
  <c r="L75" i="7" s="1"/>
  <c r="N75" i="7" s="1"/>
  <c r="I79" i="7"/>
  <c r="J79" i="7" s="1"/>
  <c r="K79" i="7" s="1"/>
  <c r="L79" i="7" s="1"/>
  <c r="N79" i="7" s="1"/>
  <c r="I88" i="7"/>
  <c r="J88" i="7" s="1"/>
  <c r="K88" i="7" s="1"/>
  <c r="L88" i="7" s="1"/>
  <c r="N88" i="7" s="1"/>
  <c r="I93" i="7"/>
  <c r="J93" i="7" s="1"/>
  <c r="K93" i="7" s="1"/>
  <c r="L93" i="7" s="1"/>
  <c r="N93" i="7" s="1"/>
  <c r="I97" i="7"/>
  <c r="J97" i="7" s="1"/>
  <c r="K97" i="7" s="1"/>
  <c r="L97" i="7" s="1"/>
  <c r="N97" i="7" s="1"/>
  <c r="I101" i="7"/>
  <c r="J101" i="7" s="1"/>
  <c r="K101" i="7" s="1"/>
  <c r="L101" i="7" s="1"/>
  <c r="N101" i="7" s="1"/>
  <c r="I105" i="7"/>
  <c r="J105" i="7" s="1"/>
  <c r="K105" i="7" s="1"/>
  <c r="L105" i="7" s="1"/>
  <c r="N105" i="7" s="1"/>
  <c r="I53" i="7"/>
  <c r="J53" i="7" s="1"/>
  <c r="K53" i="7" s="1"/>
  <c r="L53" i="7" s="1"/>
  <c r="N53" i="7" s="1"/>
  <c r="I73" i="7"/>
  <c r="J73" i="7" s="1"/>
  <c r="K73" i="7" s="1"/>
  <c r="L73" i="7" s="1"/>
  <c r="N73" i="7" s="1"/>
  <c r="I95" i="7"/>
  <c r="J95" i="7" s="1"/>
  <c r="K95" i="7" s="1"/>
  <c r="L95" i="7" s="1"/>
  <c r="N95" i="7" s="1"/>
  <c r="I52" i="7"/>
  <c r="J52" i="7" s="1"/>
  <c r="K52" i="7" s="1"/>
  <c r="L52" i="7" s="1"/>
  <c r="N52" i="7" s="1"/>
  <c r="I56" i="7"/>
  <c r="J56" i="7" s="1"/>
  <c r="K56" i="7" s="1"/>
  <c r="L56" i="7" s="1"/>
  <c r="N56" i="7" s="1"/>
  <c r="I60" i="7"/>
  <c r="J60" i="7" s="1"/>
  <c r="K60" i="7" s="1"/>
  <c r="L60" i="7" s="1"/>
  <c r="N60" i="7" s="1"/>
  <c r="I64" i="7"/>
  <c r="J64" i="7" s="1"/>
  <c r="K64" i="7" s="1"/>
  <c r="L64" i="7" s="1"/>
  <c r="N64" i="7" s="1"/>
  <c r="I68" i="7"/>
  <c r="J68" i="7" s="1"/>
  <c r="K68" i="7" s="1"/>
  <c r="L68" i="7" s="1"/>
  <c r="N68" i="7" s="1"/>
  <c r="I72" i="7"/>
  <c r="J72" i="7" s="1"/>
  <c r="K72" i="7" s="1"/>
  <c r="L72" i="7" s="1"/>
  <c r="N72" i="7" s="1"/>
  <c r="I76" i="7"/>
  <c r="J76" i="7" s="1"/>
  <c r="K76" i="7" s="1"/>
  <c r="L76" i="7" s="1"/>
  <c r="N76" i="7" s="1"/>
  <c r="I84" i="7"/>
  <c r="J84" i="7" s="1"/>
  <c r="K84" i="7" s="1"/>
  <c r="L84" i="7" s="1"/>
  <c r="N84" i="7" s="1"/>
  <c r="I89" i="7"/>
  <c r="J89" i="7" s="1"/>
  <c r="K89" i="7" s="1"/>
  <c r="L89" i="7" s="1"/>
  <c r="N89" i="7" s="1"/>
  <c r="I94" i="7"/>
  <c r="J94" i="7" s="1"/>
  <c r="K94" i="7" s="1"/>
  <c r="L94" i="7" s="1"/>
  <c r="N94" i="7" s="1"/>
  <c r="I98" i="7"/>
  <c r="J98" i="7" s="1"/>
  <c r="K98" i="7" s="1"/>
  <c r="L98" i="7" s="1"/>
  <c r="N98" i="7" s="1"/>
  <c r="I102" i="7"/>
  <c r="J102" i="7" s="1"/>
  <c r="K102" i="7" s="1"/>
  <c r="L102" i="7" s="1"/>
  <c r="N102" i="7" s="1"/>
  <c r="I57" i="7"/>
  <c r="J57" i="7" s="1"/>
  <c r="K57" i="7" s="1"/>
  <c r="L57" i="7" s="1"/>
  <c r="I65" i="7"/>
  <c r="J65" i="7" s="1"/>
  <c r="K65" i="7" s="1"/>
  <c r="L65" i="7" s="1"/>
  <c r="N65" i="7" s="1"/>
  <c r="I77" i="7"/>
  <c r="J77" i="7" s="1"/>
  <c r="K77" i="7" s="1"/>
  <c r="L77" i="7" s="1"/>
  <c r="N77" i="7" s="1"/>
  <c r="I91" i="7"/>
  <c r="J91" i="7" s="1"/>
  <c r="K91" i="7" s="1"/>
  <c r="L91" i="7" s="1"/>
  <c r="N91" i="7" s="1"/>
  <c r="I103" i="7"/>
  <c r="J103" i="7" s="1"/>
  <c r="K103" i="7" s="1"/>
  <c r="L103" i="7" s="1"/>
  <c r="N103" i="7" s="1"/>
  <c r="I49" i="7"/>
  <c r="J49" i="7" s="1"/>
  <c r="K49" i="7" s="1"/>
  <c r="L49" i="7" s="1"/>
  <c r="N49" i="7" s="1"/>
  <c r="I48" i="7"/>
  <c r="J48" i="7" s="1"/>
  <c r="K48" i="7" s="1"/>
  <c r="L48" i="7" s="1"/>
  <c r="N48" i="7" s="1"/>
  <c r="I80" i="7"/>
  <c r="J80" i="7" s="1"/>
  <c r="K80" i="7" s="1"/>
  <c r="L80" i="7" s="1"/>
  <c r="N80" i="7" s="1"/>
  <c r="I19" i="7"/>
  <c r="J19" i="7" s="1"/>
  <c r="K19" i="7" s="1"/>
  <c r="L19" i="7" s="1"/>
  <c r="N19" i="7" s="1"/>
  <c r="S19" i="7" s="1"/>
  <c r="I29" i="7"/>
  <c r="J29" i="7" s="1"/>
  <c r="K29" i="7" s="1"/>
  <c r="L29" i="7" s="1"/>
  <c r="N29" i="7" s="1"/>
  <c r="I16" i="7"/>
  <c r="J16" i="7" s="1"/>
  <c r="K16" i="7" s="1"/>
  <c r="L16" i="7" s="1"/>
  <c r="N16" i="7" s="1"/>
  <c r="I12" i="7"/>
  <c r="J12" i="7" s="1"/>
  <c r="K12" i="7" s="1"/>
  <c r="L12" i="7" s="1"/>
  <c r="N12" i="7" s="1"/>
  <c r="I15" i="7"/>
  <c r="J15" i="7" s="1"/>
  <c r="K15" i="7" s="1"/>
  <c r="L15" i="7" s="1"/>
  <c r="N15" i="7" s="1"/>
  <c r="I17" i="7"/>
  <c r="J17" i="7" s="1"/>
  <c r="K17" i="7" s="1"/>
  <c r="L17" i="7" s="1"/>
  <c r="N17" i="7" s="1"/>
  <c r="I13" i="7"/>
  <c r="J13" i="7" s="1"/>
  <c r="K13" i="7" s="1"/>
  <c r="L13" i="7" s="1"/>
  <c r="N13" i="7" s="1"/>
  <c r="I18" i="7"/>
  <c r="J18" i="7" s="1"/>
  <c r="K18" i="7" s="1"/>
  <c r="L18" i="7" s="1"/>
  <c r="N18" i="7" s="1"/>
  <c r="I14" i="7"/>
  <c r="J14" i="7" s="1"/>
  <c r="K14" i="7" s="1"/>
  <c r="L14" i="7" s="1"/>
  <c r="N14" i="7" s="1"/>
  <c r="I11" i="7"/>
  <c r="J11" i="7" s="1"/>
  <c r="K11" i="7" s="1"/>
  <c r="L11" i="7" s="1"/>
  <c r="N11" i="7" s="1"/>
  <c r="I6" i="7"/>
  <c r="J6" i="7" s="1"/>
  <c r="K6" i="7" s="1"/>
  <c r="L6" i="7" s="1"/>
  <c r="N6" i="7" s="1"/>
  <c r="S6" i="7" s="1"/>
  <c r="I33" i="7"/>
  <c r="J33" i="7" s="1"/>
  <c r="K33" i="7" s="1"/>
  <c r="L33" i="7" s="1"/>
  <c r="N33" i="7" s="1"/>
  <c r="I30" i="7"/>
  <c r="J30" i="7" s="1"/>
  <c r="K30" i="7" s="1"/>
  <c r="L30" i="7" s="1"/>
  <c r="N30" i="7" s="1"/>
  <c r="I31" i="7"/>
  <c r="J31" i="7" s="1"/>
  <c r="K31" i="7" s="1"/>
  <c r="L31" i="7" s="1"/>
  <c r="N31" i="7" s="1"/>
  <c r="I32" i="7"/>
  <c r="J32" i="7" s="1"/>
  <c r="K32" i="7" s="1"/>
  <c r="L32" i="7" s="1"/>
  <c r="N32" i="7" s="1"/>
  <c r="I28" i="7"/>
  <c r="J28" i="7" s="1"/>
  <c r="K28" i="7" s="1"/>
  <c r="L28" i="7" s="1"/>
  <c r="N28" i="7" s="1"/>
  <c r="I24" i="7"/>
  <c r="J24" i="7" s="1"/>
  <c r="K24" i="7" s="1"/>
  <c r="L24" i="7" s="1"/>
  <c r="N24" i="7" s="1"/>
  <c r="I22" i="7"/>
  <c r="I25" i="7"/>
  <c r="J25" i="7" s="1"/>
  <c r="K25" i="7" s="1"/>
  <c r="L25" i="7" s="1"/>
  <c r="N25" i="7" s="1"/>
  <c r="I23" i="7"/>
  <c r="J23" i="7" s="1"/>
  <c r="K23" i="7" s="1"/>
  <c r="L23" i="7" s="1"/>
  <c r="N23" i="7" s="1"/>
  <c r="I26" i="7"/>
  <c r="J26" i="7" s="1"/>
  <c r="K26" i="7" s="1"/>
  <c r="L26" i="7" s="1"/>
  <c r="N26" i="7" s="1"/>
  <c r="I27" i="7"/>
  <c r="J27" i="7" s="1"/>
  <c r="K27" i="7" s="1"/>
  <c r="L27" i="7" s="1"/>
  <c r="N27" i="7" s="1"/>
  <c r="I8" i="7"/>
  <c r="J8" i="7" s="1"/>
  <c r="K8" i="7" s="1"/>
  <c r="L8" i="7" s="1"/>
  <c r="N8" i="7" s="1"/>
  <c r="S8" i="7" s="1"/>
  <c r="I4" i="7"/>
  <c r="J4" i="7" s="1"/>
  <c r="K4" i="7" s="1"/>
  <c r="L4" i="7" s="1"/>
  <c r="I39" i="7"/>
  <c r="J39" i="7" s="1"/>
  <c r="K39" i="7" s="1"/>
  <c r="L39" i="7" s="1"/>
  <c r="N39" i="7" s="1"/>
  <c r="S39" i="7" s="1"/>
  <c r="I5" i="7"/>
  <c r="J5" i="7" s="1"/>
  <c r="K5" i="7" s="1"/>
  <c r="L5" i="7" s="1"/>
  <c r="N5" i="7" s="1"/>
  <c r="S5" i="7" s="1"/>
  <c r="I36" i="7"/>
  <c r="J36" i="7" s="1"/>
  <c r="K36" i="7" s="1"/>
  <c r="L36" i="7" s="1"/>
  <c r="I41" i="7"/>
  <c r="J41" i="7" s="1"/>
  <c r="K41" i="7" s="1"/>
  <c r="L41" i="7" s="1"/>
  <c r="N41" i="7" s="1"/>
  <c r="I7" i="7"/>
  <c r="J7" i="7" s="1"/>
  <c r="K7" i="7" s="1"/>
  <c r="L7" i="7" s="1"/>
  <c r="N7" i="7" s="1"/>
  <c r="S7" i="7" s="1"/>
  <c r="I40" i="7"/>
  <c r="J40" i="7" s="1"/>
  <c r="K40" i="7" s="1"/>
  <c r="L40" i="7" s="1"/>
  <c r="N40" i="7" s="1"/>
  <c r="S40" i="7" s="1"/>
  <c r="I37" i="7"/>
  <c r="J37" i="7" s="1"/>
  <c r="K37" i="7" s="1"/>
  <c r="L37" i="7" s="1"/>
  <c r="I9" i="7"/>
  <c r="J9" i="7" s="1"/>
  <c r="K9" i="7" s="1"/>
  <c r="L9" i="7" s="1"/>
  <c r="N9" i="7" s="1"/>
  <c r="U9" i="7" s="1"/>
  <c r="V9" i="7" s="1"/>
  <c r="W9" i="7" s="1"/>
  <c r="I3" i="7"/>
  <c r="J3" i="7" s="1"/>
  <c r="K3" i="7" s="1"/>
  <c r="I38" i="7"/>
  <c r="J38" i="7" s="1"/>
  <c r="K38" i="7" s="1"/>
  <c r="L38" i="7" s="1"/>
  <c r="N38" i="7" s="1"/>
  <c r="U38" i="7" s="1"/>
  <c r="V38" i="7" s="1"/>
  <c r="W38" i="7" s="1"/>
  <c r="I42" i="7"/>
  <c r="J42" i="7" s="1"/>
  <c r="K42" i="7" s="1"/>
  <c r="L42" i="7" s="1"/>
  <c r="N42" i="7" s="1"/>
  <c r="U42" i="7" s="1"/>
  <c r="V42" i="7" s="1"/>
  <c r="W42" i="7" s="1"/>
  <c r="L3" i="7" l="1"/>
  <c r="N3" i="7" s="1"/>
  <c r="U19" i="7"/>
  <c r="V19" i="7" s="1"/>
  <c r="W19" i="7" s="1"/>
  <c r="S29" i="7"/>
  <c r="U29" i="7"/>
  <c r="V29" i="7" s="1"/>
  <c r="W29" i="7" s="1"/>
  <c r="U6" i="7"/>
  <c r="V6" i="7" s="1"/>
  <c r="W6" i="7" s="1"/>
  <c r="S11" i="7"/>
  <c r="U11" i="7"/>
  <c r="V11" i="7" s="1"/>
  <c r="W11" i="7" s="1"/>
  <c r="U17" i="7"/>
  <c r="V17" i="7" s="1"/>
  <c r="W17" i="7" s="1"/>
  <c r="S17" i="7"/>
  <c r="S14" i="7"/>
  <c r="U14" i="7"/>
  <c r="V14" i="7" s="1"/>
  <c r="W14" i="7" s="1"/>
  <c r="S15" i="7"/>
  <c r="U15" i="7"/>
  <c r="V15" i="7" s="1"/>
  <c r="W15" i="7" s="1"/>
  <c r="S18" i="7"/>
  <c r="U18" i="7"/>
  <c r="V18" i="7" s="1"/>
  <c r="W18" i="7" s="1"/>
  <c r="U12" i="7"/>
  <c r="V12" i="7" s="1"/>
  <c r="W12" i="7" s="1"/>
  <c r="S12" i="7"/>
  <c r="U13" i="7"/>
  <c r="V13" i="7" s="1"/>
  <c r="W13" i="7" s="1"/>
  <c r="S13" i="7"/>
  <c r="U16" i="7"/>
  <c r="V16" i="7" s="1"/>
  <c r="W16" i="7" s="1"/>
  <c r="S16" i="7"/>
  <c r="S32" i="7"/>
  <c r="U32" i="7"/>
  <c r="V32" i="7" s="1"/>
  <c r="W32" i="7" s="1"/>
  <c r="S31" i="7"/>
  <c r="U31" i="7"/>
  <c r="V31" i="7" s="1"/>
  <c r="W31" i="7" s="1"/>
  <c r="S30" i="7"/>
  <c r="U30" i="7"/>
  <c r="V30" i="7" s="1"/>
  <c r="W30" i="7" s="1"/>
  <c r="U33" i="7"/>
  <c r="V33" i="7" s="1"/>
  <c r="W33" i="7" s="1"/>
  <c r="S33" i="7"/>
  <c r="J22" i="7"/>
  <c r="K22" i="7" s="1"/>
  <c r="L22" i="7" s="1"/>
  <c r="N22" i="7" s="1"/>
  <c r="I35" i="7"/>
  <c r="U23" i="7"/>
  <c r="V23" i="7" s="1"/>
  <c r="W23" i="7" s="1"/>
  <c r="S23" i="7"/>
  <c r="U8" i="7"/>
  <c r="V8" i="7" s="1"/>
  <c r="W8" i="7" s="1"/>
  <c r="U39" i="7"/>
  <c r="V39" i="7" s="1"/>
  <c r="W39" i="7" s="1"/>
  <c r="U26" i="7"/>
  <c r="V26" i="7" s="1"/>
  <c r="W26" i="7" s="1"/>
  <c r="S26" i="7"/>
  <c r="S24" i="7"/>
  <c r="U24" i="7"/>
  <c r="V24" i="7" s="1"/>
  <c r="W24" i="7" s="1"/>
  <c r="S25" i="7"/>
  <c r="U25" i="7"/>
  <c r="V25" i="7" s="1"/>
  <c r="W25" i="7" s="1"/>
  <c r="U27" i="7"/>
  <c r="V27" i="7" s="1"/>
  <c r="W27" i="7" s="1"/>
  <c r="S27" i="7"/>
  <c r="S28" i="7"/>
  <c r="U28" i="7"/>
  <c r="V28" i="7" s="1"/>
  <c r="W28" i="7" s="1"/>
  <c r="N4" i="7"/>
  <c r="S4" i="7" s="1"/>
  <c r="U7" i="7"/>
  <c r="V7" i="7" s="1"/>
  <c r="W7" i="7" s="1"/>
  <c r="S42" i="7"/>
  <c r="S38" i="7"/>
  <c r="U5" i="7"/>
  <c r="V5" i="7" s="1"/>
  <c r="W5" i="7" s="1"/>
  <c r="S9" i="7"/>
  <c r="I21" i="7"/>
  <c r="U40" i="7"/>
  <c r="V40" i="7" s="1"/>
  <c r="W40" i="7" s="1"/>
  <c r="I44" i="7"/>
  <c r="N36" i="7"/>
  <c r="U36" i="7" s="1"/>
  <c r="N37" i="7"/>
  <c r="S37" i="7" s="1"/>
  <c r="U41" i="7"/>
  <c r="V41" i="7" s="1"/>
  <c r="W41" i="7" s="1"/>
  <c r="U3" i="7" l="1"/>
  <c r="V3" i="7" s="1"/>
  <c r="W3" i="7" s="1"/>
  <c r="S3" i="7"/>
  <c r="U22" i="7"/>
  <c r="V22" i="7" s="1"/>
  <c r="S22" i="7"/>
  <c r="U4" i="7"/>
  <c r="V4" i="7" s="1"/>
  <c r="W4" i="7" s="1"/>
  <c r="I45" i="7"/>
  <c r="V36" i="7"/>
  <c r="S36" i="7"/>
  <c r="U37" i="7"/>
  <c r="V37" i="7" s="1"/>
  <c r="W37" i="7" s="1"/>
  <c r="S41" i="7"/>
  <c r="S2" i="7"/>
  <c r="V2" i="7"/>
  <c r="W2" i="7" s="1"/>
  <c r="S35" i="7" l="1"/>
  <c r="V35" i="7"/>
  <c r="W22" i="7"/>
  <c r="W35" i="7" s="1"/>
  <c r="S21" i="7"/>
  <c r="W21" i="7"/>
  <c r="V21" i="7"/>
  <c r="S44" i="7"/>
  <c r="W36" i="7"/>
  <c r="W44" i="7" s="1"/>
  <c r="V44" i="7"/>
  <c r="S45" i="7" l="1"/>
  <c r="W45" i="7"/>
  <c r="W107" i="7" s="1"/>
  <c r="V45" i="7"/>
  <c r="B64" i="4" l="1"/>
  <c r="B65" i="4" s="1"/>
  <c r="M57" i="7" l="1"/>
  <c r="N57" i="7" s="1"/>
  <c r="J159" i="13"/>
  <c r="K159" i="13" l="1"/>
  <c r="M58" i="7" l="1"/>
  <c r="N58" i="7" s="1"/>
  <c r="J161" i="13" l="1"/>
  <c r="K161" i="13" l="1"/>
  <c r="M62" i="7" l="1"/>
  <c r="N62" i="7" s="1"/>
  <c r="J177" i="13"/>
  <c r="K177" i="13" s="1"/>
  <c r="M61" i="7" l="1"/>
  <c r="N61" i="7" s="1"/>
  <c r="J171" i="13" l="1"/>
  <c r="K171" i="13" l="1"/>
  <c r="J189" i="13" l="1"/>
  <c r="K189" i="13" l="1"/>
  <c r="J200" i="13" l="1"/>
  <c r="K200" i="13" l="1"/>
  <c r="J10" i="13"/>
  <c r="K10" i="13" l="1"/>
  <c r="N68" i="13"/>
  <c r="N154" i="13" s="1"/>
  <c r="N256" i="13" s="1"/>
  <c r="E251" i="13"/>
  <c r="E256" i="13" s="1"/>
  <c r="C162" i="13"/>
  <c r="J162" i="13" l="1"/>
  <c r="N162" i="13"/>
  <c r="N251" i="13" l="1"/>
  <c r="N9" i="13"/>
  <c r="K162" i="13"/>
  <c r="J9" i="13"/>
  <c r="J7" i="13" s="1"/>
  <c r="J251" i="13"/>
  <c r="K9" i="13" l="1"/>
  <c r="K7" i="13" s="1"/>
  <c r="K251" i="13"/>
  <c r="N7" i="13"/>
  <c r="O4" i="13"/>
  <c r="O47" i="13" l="1"/>
  <c r="AA47" i="13" s="1"/>
  <c r="O39" i="13"/>
  <c r="AA39" i="13" s="1"/>
  <c r="O22" i="13"/>
  <c r="AA22" i="13" s="1"/>
  <c r="O45" i="13"/>
  <c r="AA45" i="13" s="1"/>
  <c r="O28" i="13"/>
  <c r="AA28" i="13" s="1"/>
  <c r="O30" i="13"/>
  <c r="AA30" i="13" s="1"/>
  <c r="O43" i="13"/>
  <c r="AA43" i="13" s="1"/>
  <c r="O27" i="13"/>
  <c r="AA27" i="13" s="1"/>
  <c r="O44" i="13"/>
  <c r="AA44" i="13" s="1"/>
  <c r="O41" i="13"/>
  <c r="AA41" i="13" s="1"/>
  <c r="O50" i="13"/>
  <c r="AA50" i="13" s="1"/>
  <c r="O23" i="13"/>
  <c r="AA23" i="13" s="1"/>
  <c r="O25" i="13"/>
  <c r="AA25" i="13" s="1"/>
  <c r="O21" i="13"/>
  <c r="AA21" i="13" s="1"/>
  <c r="O48" i="13"/>
  <c r="AA48" i="13" s="1"/>
  <c r="O31" i="13"/>
  <c r="AA31" i="13" s="1"/>
  <c r="O49" i="13"/>
  <c r="AA49" i="13" s="1"/>
  <c r="O29" i="13"/>
  <c r="AA29" i="13" s="1"/>
  <c r="M47" i="13"/>
  <c r="Q47" i="13" s="1"/>
  <c r="R47" i="13" s="1"/>
  <c r="O40" i="13"/>
  <c r="AA40" i="13" s="1"/>
  <c r="M30" i="13"/>
  <c r="Q30" i="13" s="1"/>
  <c r="R30" i="13" s="1"/>
  <c r="M48" i="13"/>
  <c r="Q48" i="13" s="1"/>
  <c r="R48" i="13" s="1"/>
  <c r="O46" i="13"/>
  <c r="AA46" i="13" s="1"/>
  <c r="M46" i="13"/>
  <c r="Q46" i="13" s="1"/>
  <c r="R46" i="13" s="1"/>
  <c r="O26" i="13"/>
  <c r="AA26" i="13" s="1"/>
  <c r="M45" i="13"/>
  <c r="Q45" i="13" s="1"/>
  <c r="R45" i="13" s="1"/>
  <c r="M26" i="13"/>
  <c r="Q26" i="13" s="1"/>
  <c r="R26" i="13" s="1"/>
  <c r="M42" i="13"/>
  <c r="Q42" i="13" s="1"/>
  <c r="R42" i="13" s="1"/>
  <c r="O24" i="13"/>
  <c r="AA24" i="13" s="1"/>
  <c r="M40" i="13"/>
  <c r="Q40" i="13" s="1"/>
  <c r="R40" i="13" s="1"/>
  <c r="M50" i="13"/>
  <c r="Q50" i="13" s="1"/>
  <c r="R50" i="13" s="1"/>
  <c r="M31" i="13"/>
  <c r="Q31" i="13" s="1"/>
  <c r="R31" i="13" s="1"/>
  <c r="M28" i="13"/>
  <c r="Q28" i="13" s="1"/>
  <c r="R28" i="13" s="1"/>
  <c r="M44" i="13"/>
  <c r="Q44" i="13" s="1"/>
  <c r="R44" i="13" s="1"/>
  <c r="M49" i="13"/>
  <c r="Q49" i="13" s="1"/>
  <c r="R49" i="13" s="1"/>
  <c r="M27" i="13"/>
  <c r="Q27" i="13" s="1"/>
  <c r="R27" i="13" s="1"/>
  <c r="M21" i="13"/>
  <c r="Q21" i="13" s="1"/>
  <c r="R21" i="13" s="1"/>
  <c r="M43" i="13"/>
  <c r="Q43" i="13" s="1"/>
  <c r="R43" i="13" s="1"/>
  <c r="M24" i="13"/>
  <c r="Q24" i="13" s="1"/>
  <c r="R24" i="13" s="1"/>
  <c r="M39" i="13"/>
  <c r="Q39" i="13" s="1"/>
  <c r="R39" i="13" s="1"/>
  <c r="M41" i="13"/>
  <c r="Q41" i="13" s="1"/>
  <c r="R41" i="13" s="1"/>
  <c r="O42" i="13"/>
  <c r="AA42" i="13" s="1"/>
  <c r="M23" i="13"/>
  <c r="Q23" i="13" s="1"/>
  <c r="R23" i="13" s="1"/>
  <c r="M29" i="13"/>
  <c r="Q29" i="13" s="1"/>
  <c r="R29" i="13" s="1"/>
  <c r="M25" i="13"/>
  <c r="Q25" i="13" s="1"/>
  <c r="R25" i="13" s="1"/>
  <c r="O20" i="13"/>
  <c r="M20" i="13"/>
  <c r="Q20" i="13" s="1"/>
  <c r="R20" i="13" s="1"/>
  <c r="M22" i="13"/>
  <c r="Q22" i="13" s="1"/>
  <c r="R22" i="13" s="1"/>
  <c r="O5" i="13"/>
  <c r="S25" i="13" l="1"/>
  <c r="T25" i="13" s="1"/>
  <c r="S41" i="13"/>
  <c r="T41" i="13"/>
  <c r="S28" i="13"/>
  <c r="T28" i="13" s="1"/>
  <c r="S22" i="13"/>
  <c r="T22" i="13" s="1"/>
  <c r="S29" i="13"/>
  <c r="T29" i="13" s="1"/>
  <c r="S39" i="13"/>
  <c r="T39" i="13" s="1"/>
  <c r="S27" i="13"/>
  <c r="T27" i="13" s="1"/>
  <c r="S31" i="13"/>
  <c r="T31" i="13" s="1"/>
  <c r="S42" i="13"/>
  <c r="T42" i="13" s="1"/>
  <c r="S46" i="13"/>
  <c r="T46" i="13" s="1"/>
  <c r="S20" i="13"/>
  <c r="T20" i="13" s="1"/>
  <c r="S23" i="13"/>
  <c r="T23" i="13" s="1"/>
  <c r="S24" i="13"/>
  <c r="T24" i="13" s="1"/>
  <c r="S49" i="13"/>
  <c r="T49" i="13" s="1"/>
  <c r="S50" i="13"/>
  <c r="T50" i="13" s="1"/>
  <c r="S26" i="13"/>
  <c r="T26" i="13" s="1"/>
  <c r="V26" i="13" s="1"/>
  <c r="W26" i="13" s="1"/>
  <c r="X26" i="13" s="1"/>
  <c r="Y26" i="13" s="1"/>
  <c r="S47" i="13"/>
  <c r="T47" i="13" s="1"/>
  <c r="O58" i="13"/>
  <c r="O8" i="13"/>
  <c r="AA20" i="13"/>
  <c r="AA58" i="13" s="1"/>
  <c r="S43" i="13"/>
  <c r="T43" i="13"/>
  <c r="S44" i="13"/>
  <c r="T44" i="13" s="1"/>
  <c r="S40" i="13"/>
  <c r="T40" i="13" s="1"/>
  <c r="S45" i="13"/>
  <c r="T45" i="13" s="1"/>
  <c r="V45" i="13" s="1"/>
  <c r="S48" i="13"/>
  <c r="T48" i="13" s="1"/>
  <c r="M147" i="13"/>
  <c r="O150" i="13"/>
  <c r="O145" i="13"/>
  <c r="M143" i="13"/>
  <c r="O147" i="13"/>
  <c r="O126" i="13"/>
  <c r="AA126" i="13" s="1"/>
  <c r="O97" i="13"/>
  <c r="AA97" i="13" s="1"/>
  <c r="O130" i="13"/>
  <c r="AA130" i="13" s="1"/>
  <c r="O95" i="13"/>
  <c r="AA95" i="13" s="1"/>
  <c r="O213" i="13"/>
  <c r="AA213" i="13" s="1"/>
  <c r="O136" i="13"/>
  <c r="AA136" i="13" s="1"/>
  <c r="O211" i="13"/>
  <c r="AA211" i="13" s="1"/>
  <c r="O176" i="13"/>
  <c r="AA176" i="13" s="1"/>
  <c r="O161" i="13"/>
  <c r="AA161" i="13" s="1"/>
  <c r="O85" i="13"/>
  <c r="AA85" i="13" s="1"/>
  <c r="O132" i="13"/>
  <c r="AA132" i="13" s="1"/>
  <c r="O214" i="13"/>
  <c r="AA214" i="13" s="1"/>
  <c r="O117" i="13"/>
  <c r="AA117" i="13" s="1"/>
  <c r="O231" i="13"/>
  <c r="AA231" i="13" s="1"/>
  <c r="O241" i="13"/>
  <c r="AA241" i="13" s="1"/>
  <c r="O170" i="13"/>
  <c r="AA170" i="13" s="1"/>
  <c r="O159" i="13"/>
  <c r="AA159" i="13" s="1"/>
  <c r="O88" i="13"/>
  <c r="AA88" i="13" s="1"/>
  <c r="O209" i="13"/>
  <c r="AA209" i="13" s="1"/>
  <c r="O133" i="13"/>
  <c r="AA133" i="13" s="1"/>
  <c r="O78" i="13"/>
  <c r="AA78" i="13" s="1"/>
  <c r="O86" i="13"/>
  <c r="AA86" i="13" s="1"/>
  <c r="O242" i="13"/>
  <c r="AA242" i="13" s="1"/>
  <c r="O226" i="13"/>
  <c r="AA226" i="13" s="1"/>
  <c r="O169" i="13"/>
  <c r="AA169" i="13" s="1"/>
  <c r="O72" i="13"/>
  <c r="AA72" i="13" s="1"/>
  <c r="O94" i="13"/>
  <c r="AA94" i="13" s="1"/>
  <c r="O184" i="13"/>
  <c r="AA184" i="13" s="1"/>
  <c r="O67" i="13"/>
  <c r="AA67" i="13" s="1"/>
  <c r="O218" i="13"/>
  <c r="AA218" i="13" s="1"/>
  <c r="O124" i="13"/>
  <c r="AA124" i="13" s="1"/>
  <c r="O103" i="13"/>
  <c r="AA103" i="13" s="1"/>
  <c r="O187" i="13"/>
  <c r="AA187" i="13" s="1"/>
  <c r="O174" i="13"/>
  <c r="AA174" i="13" s="1"/>
  <c r="O148" i="13"/>
  <c r="O143" i="13"/>
  <c r="M150" i="13"/>
  <c r="M149" i="13"/>
  <c r="O149" i="13"/>
  <c r="O186" i="13"/>
  <c r="AA186" i="13" s="1"/>
  <c r="O128" i="13"/>
  <c r="AA128" i="13" s="1"/>
  <c r="O201" i="13"/>
  <c r="AA201" i="13" s="1"/>
  <c r="O112" i="13"/>
  <c r="AA112" i="13" s="1"/>
  <c r="O221" i="13"/>
  <c r="AA221" i="13" s="1"/>
  <c r="O163" i="13"/>
  <c r="AA163" i="13" s="1"/>
  <c r="O238" i="13"/>
  <c r="AA238" i="13" s="1"/>
  <c r="O235" i="13"/>
  <c r="AA235" i="13" s="1"/>
  <c r="O82" i="13"/>
  <c r="AA82" i="13" s="1"/>
  <c r="O178" i="13"/>
  <c r="AA178" i="13" s="1"/>
  <c r="O116" i="13"/>
  <c r="AA116" i="13" s="1"/>
  <c r="O167" i="13"/>
  <c r="AA167" i="13" s="1"/>
  <c r="O80" i="13"/>
  <c r="AA80" i="13" s="1"/>
  <c r="O194" i="13"/>
  <c r="AA194" i="13" s="1"/>
  <c r="O210" i="13"/>
  <c r="AA210" i="13" s="1"/>
  <c r="O165" i="13"/>
  <c r="AA165" i="13" s="1"/>
  <c r="O228" i="13"/>
  <c r="AA228" i="13" s="1"/>
  <c r="O70" i="13"/>
  <c r="AA70" i="13" s="1"/>
  <c r="O106" i="13"/>
  <c r="AA106" i="13" s="1"/>
  <c r="O102" i="13"/>
  <c r="AA102" i="13" s="1"/>
  <c r="O195" i="13"/>
  <c r="AA195" i="13" s="1"/>
  <c r="O109" i="13"/>
  <c r="AA109" i="13" s="1"/>
  <c r="O66" i="13"/>
  <c r="AA66" i="13" s="1"/>
  <c r="O138" i="13"/>
  <c r="AA138" i="13" s="1"/>
  <c r="O234" i="13"/>
  <c r="AA234" i="13" s="1"/>
  <c r="M148" i="13"/>
  <c r="M146" i="13"/>
  <c r="O129" i="13"/>
  <c r="AA129" i="13" s="1"/>
  <c r="O244" i="13"/>
  <c r="AA244" i="13" s="1"/>
  <c r="O73" i="13"/>
  <c r="AA73" i="13" s="1"/>
  <c r="O87" i="13"/>
  <c r="AA87" i="13" s="1"/>
  <c r="O83" i="13"/>
  <c r="AA83" i="13" s="1"/>
  <c r="O245" i="13"/>
  <c r="AA245" i="13" s="1"/>
  <c r="O205" i="13"/>
  <c r="AA205" i="13" s="1"/>
  <c r="O96" i="13"/>
  <c r="AA96" i="13" s="1"/>
  <c r="O206" i="13"/>
  <c r="AA206" i="13" s="1"/>
  <c r="O185" i="13"/>
  <c r="AA185" i="13" s="1"/>
  <c r="O208" i="13"/>
  <c r="AA208" i="13" s="1"/>
  <c r="O177" i="13"/>
  <c r="AA177" i="13" s="1"/>
  <c r="O122" i="13"/>
  <c r="AA122" i="13" s="1"/>
  <c r="O233" i="13"/>
  <c r="AA233" i="13" s="1"/>
  <c r="O135" i="13"/>
  <c r="AA135" i="13" s="1"/>
  <c r="O93" i="13"/>
  <c r="AA93" i="13" s="1"/>
  <c r="M145" i="13"/>
  <c r="O151" i="13"/>
  <c r="O69" i="13"/>
  <c r="AA69" i="13" s="1"/>
  <c r="O68" i="13"/>
  <c r="AA68" i="13" s="1"/>
  <c r="O92" i="13"/>
  <c r="AA92" i="13" s="1"/>
  <c r="O191" i="13"/>
  <c r="AA191" i="13" s="1"/>
  <c r="O113" i="13"/>
  <c r="AA113" i="13" s="1"/>
  <c r="O76" i="13"/>
  <c r="AA76" i="13" s="1"/>
  <c r="O162" i="13"/>
  <c r="AA162" i="13" s="1"/>
  <c r="O199" i="13"/>
  <c r="AA199" i="13" s="1"/>
  <c r="O119" i="13"/>
  <c r="AA119" i="13" s="1"/>
  <c r="O180" i="13"/>
  <c r="AA180" i="13" s="1"/>
  <c r="O140" i="13"/>
  <c r="AA140" i="13" s="1"/>
  <c r="O115" i="13"/>
  <c r="AA115" i="13" s="1"/>
  <c r="M142" i="13"/>
  <c r="O160" i="13"/>
  <c r="AA160" i="13" s="1"/>
  <c r="O90" i="13"/>
  <c r="AA90" i="13" s="1"/>
  <c r="O237" i="13"/>
  <c r="AA237" i="13" s="1"/>
  <c r="O65" i="13"/>
  <c r="AA65" i="13" s="1"/>
  <c r="O118" i="13"/>
  <c r="AA118" i="13" s="1"/>
  <c r="O196" i="13"/>
  <c r="AA196" i="13" s="1"/>
  <c r="O183" i="13"/>
  <c r="AA183" i="13" s="1"/>
  <c r="O172" i="13"/>
  <c r="AA172" i="13" s="1"/>
  <c r="O240" i="13"/>
  <c r="AA240" i="13" s="1"/>
  <c r="O75" i="13"/>
  <c r="AA75" i="13" s="1"/>
  <c r="O125" i="13"/>
  <c r="AA125" i="13" s="1"/>
  <c r="O204" i="13"/>
  <c r="AA204" i="13" s="1"/>
  <c r="O215" i="13"/>
  <c r="AA215" i="13" s="1"/>
  <c r="O144" i="13"/>
  <c r="O71" i="13"/>
  <c r="AA71" i="13" s="1"/>
  <c r="O89" i="13"/>
  <c r="AA89" i="13" s="1"/>
  <c r="O120" i="13"/>
  <c r="AA120" i="13" s="1"/>
  <c r="O192" i="13"/>
  <c r="AA192" i="13" s="1"/>
  <c r="O107" i="13"/>
  <c r="AA107" i="13" s="1"/>
  <c r="O63" i="13"/>
  <c r="AA63" i="13" s="1"/>
  <c r="O203" i="13"/>
  <c r="AA203" i="13" s="1"/>
  <c r="O166" i="13"/>
  <c r="AA166" i="13" s="1"/>
  <c r="O110" i="13"/>
  <c r="AA110" i="13" s="1"/>
  <c r="O108" i="13"/>
  <c r="AA108" i="13" s="1"/>
  <c r="O173" i="13"/>
  <c r="AA173" i="13" s="1"/>
  <c r="O200" i="13"/>
  <c r="AA200" i="13" s="1"/>
  <c r="O98" i="13"/>
  <c r="AA98" i="13" s="1"/>
  <c r="O168" i="13"/>
  <c r="AA168" i="13" s="1"/>
  <c r="O232" i="13"/>
  <c r="AA232" i="13" s="1"/>
  <c r="O114" i="13"/>
  <c r="AA114" i="13" s="1"/>
  <c r="O190" i="13"/>
  <c r="AA190" i="13" s="1"/>
  <c r="O62" i="13"/>
  <c r="AA62" i="13" s="1"/>
  <c r="O222" i="13"/>
  <c r="AA222" i="13" s="1"/>
  <c r="O217" i="13"/>
  <c r="AA217" i="13" s="1"/>
  <c r="O230" i="13"/>
  <c r="AA230" i="13" s="1"/>
  <c r="M122" i="13"/>
  <c r="Q122" i="13" s="1"/>
  <c r="M85" i="13"/>
  <c r="Q85" i="13" s="1"/>
  <c r="M144" i="13"/>
  <c r="O181" i="13"/>
  <c r="AA181" i="13" s="1"/>
  <c r="O182" i="13"/>
  <c r="AA182" i="13" s="1"/>
  <c r="O193" i="13"/>
  <c r="AA193" i="13" s="1"/>
  <c r="O198" i="13"/>
  <c r="AA198" i="13" s="1"/>
  <c r="O229" i="13"/>
  <c r="AA229" i="13" s="1"/>
  <c r="O139" i="13"/>
  <c r="AA139" i="13" s="1"/>
  <c r="O175" i="13"/>
  <c r="AA175" i="13" s="1"/>
  <c r="O121" i="13"/>
  <c r="AA121" i="13" s="1"/>
  <c r="M151" i="13"/>
  <c r="O197" i="13"/>
  <c r="AA197" i="13" s="1"/>
  <c r="O127" i="13"/>
  <c r="AA127" i="13" s="1"/>
  <c r="O99" i="13"/>
  <c r="AA99" i="13" s="1"/>
  <c r="O236" i="13"/>
  <c r="AA236" i="13" s="1"/>
  <c r="O74" i="13"/>
  <c r="AA74" i="13" s="1"/>
  <c r="O105" i="13"/>
  <c r="AA105" i="13" s="1"/>
  <c r="O171" i="13"/>
  <c r="AA171" i="13" s="1"/>
  <c r="O239" i="13"/>
  <c r="AA239" i="13" s="1"/>
  <c r="O146" i="13"/>
  <c r="O188" i="13"/>
  <c r="AA188" i="13" s="1"/>
  <c r="O224" i="13"/>
  <c r="AA224" i="13" s="1"/>
  <c r="O123" i="13"/>
  <c r="AA123" i="13" s="1"/>
  <c r="O141" i="13"/>
  <c r="AA141" i="13" s="1"/>
  <c r="O189" i="13"/>
  <c r="AA189" i="13" s="1"/>
  <c r="O131" i="13"/>
  <c r="AA131" i="13" s="1"/>
  <c r="O101" i="13"/>
  <c r="AA101" i="13" s="1"/>
  <c r="M167" i="13"/>
  <c r="Q167" i="13" s="1"/>
  <c r="M239" i="13"/>
  <c r="Q239" i="13" s="1"/>
  <c r="M134" i="13"/>
  <c r="Q134" i="13" s="1"/>
  <c r="M119" i="13"/>
  <c r="Q119" i="13" s="1"/>
  <c r="O84" i="13"/>
  <c r="AA84" i="13" s="1"/>
  <c r="O220" i="13"/>
  <c r="AA220" i="13" s="1"/>
  <c r="O104" i="13"/>
  <c r="AA104" i="13" s="1"/>
  <c r="O225" i="13"/>
  <c r="AA225" i="13" s="1"/>
  <c r="O219" i="13"/>
  <c r="AA219" i="13" s="1"/>
  <c r="O81" i="13"/>
  <c r="AA81" i="13" s="1"/>
  <c r="O223" i="13"/>
  <c r="AA223" i="13" s="1"/>
  <c r="M176" i="13"/>
  <c r="Q176" i="13" s="1"/>
  <c r="M100" i="13"/>
  <c r="Q100" i="13" s="1"/>
  <c r="M170" i="13"/>
  <c r="Q170" i="13" s="1"/>
  <c r="M230" i="13"/>
  <c r="Q230" i="13" s="1"/>
  <c r="M206" i="13"/>
  <c r="Q206" i="13" s="1"/>
  <c r="M209" i="13"/>
  <c r="Q209" i="13" s="1"/>
  <c r="M229" i="13"/>
  <c r="Q229" i="13" s="1"/>
  <c r="M103" i="13"/>
  <c r="Q103" i="13" s="1"/>
  <c r="M187" i="13"/>
  <c r="Q187" i="13" s="1"/>
  <c r="M192" i="13"/>
  <c r="Q192" i="13" s="1"/>
  <c r="M220" i="13"/>
  <c r="Q220" i="13" s="1"/>
  <c r="M178" i="13"/>
  <c r="Q178" i="13" s="1"/>
  <c r="M233" i="13"/>
  <c r="Q233" i="13" s="1"/>
  <c r="M126" i="13"/>
  <c r="Q126" i="13" s="1"/>
  <c r="M92" i="13"/>
  <c r="Q92" i="13" s="1"/>
  <c r="M218" i="13"/>
  <c r="Q218" i="13" s="1"/>
  <c r="M221" i="13"/>
  <c r="Q221" i="13" s="1"/>
  <c r="M205" i="13"/>
  <c r="Q205" i="13" s="1"/>
  <c r="O142" i="13"/>
  <c r="O164" i="13"/>
  <c r="AA164" i="13" s="1"/>
  <c r="O207" i="13"/>
  <c r="AA207" i="13" s="1"/>
  <c r="O77" i="13"/>
  <c r="O246" i="13"/>
  <c r="M240" i="13"/>
  <c r="Q240" i="13" s="1"/>
  <c r="M112" i="13"/>
  <c r="Q112" i="13" s="1"/>
  <c r="M123" i="13"/>
  <c r="Q123" i="13" s="1"/>
  <c r="M217" i="13"/>
  <c r="Q217" i="13" s="1"/>
  <c r="M179" i="13"/>
  <c r="Q179" i="13" s="1"/>
  <c r="M135" i="13"/>
  <c r="Q135" i="13" s="1"/>
  <c r="O79" i="13"/>
  <c r="AA79" i="13" s="1"/>
  <c r="O212" i="13"/>
  <c r="AA212" i="13" s="1"/>
  <c r="M116" i="13"/>
  <c r="Q116" i="13" s="1"/>
  <c r="M219" i="13"/>
  <c r="Q219" i="13" s="1"/>
  <c r="M108" i="13"/>
  <c r="Q108" i="13" s="1"/>
  <c r="M216" i="13"/>
  <c r="Q216" i="13" s="1"/>
  <c r="M235" i="13"/>
  <c r="Q235" i="13" s="1"/>
  <c r="O227" i="13"/>
  <c r="AA227" i="13" s="1"/>
  <c r="O134" i="13"/>
  <c r="AA134" i="13" s="1"/>
  <c r="M243" i="13"/>
  <c r="Q243" i="13" s="1"/>
  <c r="M201" i="13"/>
  <c r="Q201" i="13" s="1"/>
  <c r="M76" i="13"/>
  <c r="Q76" i="13" s="1"/>
  <c r="M184" i="13"/>
  <c r="Q184" i="13" s="1"/>
  <c r="O202" i="13"/>
  <c r="AA202" i="13" s="1"/>
  <c r="M237" i="13"/>
  <c r="Q237" i="13" s="1"/>
  <c r="M118" i="13"/>
  <c r="Q118" i="13" s="1"/>
  <c r="O64" i="13"/>
  <c r="M232" i="13"/>
  <c r="Q232" i="13" s="1"/>
  <c r="M104" i="13"/>
  <c r="Q104" i="13" s="1"/>
  <c r="M74" i="13"/>
  <c r="Q74" i="13" s="1"/>
  <c r="M160" i="13"/>
  <c r="Q160" i="13" s="1"/>
  <c r="M191" i="13"/>
  <c r="Q191" i="13" s="1"/>
  <c r="M101" i="13"/>
  <c r="Q101" i="13" s="1"/>
  <c r="O91" i="13"/>
  <c r="AA91" i="13" s="1"/>
  <c r="M106" i="13"/>
  <c r="Q106" i="13" s="1"/>
  <c r="M111" i="13"/>
  <c r="Q111" i="13" s="1"/>
  <c r="M169" i="13"/>
  <c r="Q169" i="13" s="1"/>
  <c r="M244" i="13"/>
  <c r="Q244" i="13" s="1"/>
  <c r="M162" i="13"/>
  <c r="Q162" i="13" s="1"/>
  <c r="O158" i="13"/>
  <c r="M177" i="13"/>
  <c r="Q177" i="13" s="1"/>
  <c r="M115" i="13"/>
  <c r="Q115" i="13" s="1"/>
  <c r="M121" i="13"/>
  <c r="Q121" i="13" s="1"/>
  <c r="M137" i="13"/>
  <c r="Q137" i="13" s="1"/>
  <c r="M215" i="13"/>
  <c r="Q215" i="13" s="1"/>
  <c r="M248" i="13"/>
  <c r="Q248" i="13" s="1"/>
  <c r="M80" i="13"/>
  <c r="Q80" i="13" s="1"/>
  <c r="O137" i="13"/>
  <c r="AA137" i="13" s="1"/>
  <c r="M173" i="13"/>
  <c r="Q173" i="13" s="1"/>
  <c r="M90" i="13"/>
  <c r="Q90" i="13" s="1"/>
  <c r="M236" i="13"/>
  <c r="Q236" i="13" s="1"/>
  <c r="O179" i="13"/>
  <c r="AA179" i="13" s="1"/>
  <c r="M196" i="13"/>
  <c r="Q196" i="13" s="1"/>
  <c r="M188" i="13"/>
  <c r="Q188" i="13" s="1"/>
  <c r="M87" i="13"/>
  <c r="Q87" i="13" s="1"/>
  <c r="M213" i="13"/>
  <c r="Q213" i="13" s="1"/>
  <c r="M93" i="13"/>
  <c r="Q93" i="13" s="1"/>
  <c r="M62" i="13"/>
  <c r="Q62" i="13" s="1"/>
  <c r="M71" i="13"/>
  <c r="Q71" i="13" s="1"/>
  <c r="M114" i="13"/>
  <c r="Q114" i="13" s="1"/>
  <c r="M94" i="13"/>
  <c r="Q94" i="13" s="1"/>
  <c r="M65" i="13"/>
  <c r="Q65" i="13" s="1"/>
  <c r="M189" i="13"/>
  <c r="Q189" i="13" s="1"/>
  <c r="M198" i="13"/>
  <c r="Q198" i="13" s="1"/>
  <c r="M180" i="13"/>
  <c r="Q180" i="13" s="1"/>
  <c r="M212" i="13"/>
  <c r="Q212" i="13" s="1"/>
  <c r="M234" i="13"/>
  <c r="Q234" i="13" s="1"/>
  <c r="M82" i="13"/>
  <c r="Q82" i="13" s="1"/>
  <c r="M166" i="13"/>
  <c r="Q166" i="13" s="1"/>
  <c r="M171" i="13"/>
  <c r="Q171" i="13" s="1"/>
  <c r="M136" i="13"/>
  <c r="Q136" i="13" s="1"/>
  <c r="M228" i="13"/>
  <c r="Q228" i="13" s="1"/>
  <c r="M132" i="13"/>
  <c r="Q132" i="13" s="1"/>
  <c r="M75" i="13"/>
  <c r="Q75" i="13" s="1"/>
  <c r="M225" i="13"/>
  <c r="Q225" i="13" s="1"/>
  <c r="M199" i="13"/>
  <c r="Q199" i="13" s="1"/>
  <c r="M203" i="13"/>
  <c r="Q203" i="13" s="1"/>
  <c r="M117" i="13"/>
  <c r="Q117" i="13" s="1"/>
  <c r="M102" i="13"/>
  <c r="Q102" i="13" s="1"/>
  <c r="M120" i="13"/>
  <c r="Q120" i="13" s="1"/>
  <c r="M211" i="13"/>
  <c r="Q211" i="13" s="1"/>
  <c r="M131" i="13"/>
  <c r="Q131" i="13" s="1"/>
  <c r="M79" i="13"/>
  <c r="Q79" i="13" s="1"/>
  <c r="M88" i="13"/>
  <c r="Q88" i="13" s="1"/>
  <c r="M194" i="13"/>
  <c r="Q194" i="13" s="1"/>
  <c r="M193" i="13"/>
  <c r="Q193" i="13" s="1"/>
  <c r="M200" i="13"/>
  <c r="Q200" i="13" s="1"/>
  <c r="M224" i="13"/>
  <c r="Q224" i="13" s="1"/>
  <c r="M245" i="13"/>
  <c r="Q245" i="13" s="1"/>
  <c r="M210" i="13"/>
  <c r="Q210" i="13" s="1"/>
  <c r="M197" i="13"/>
  <c r="Q197" i="13" s="1"/>
  <c r="M109" i="13"/>
  <c r="Q109" i="13" s="1"/>
  <c r="M84" i="13"/>
  <c r="Q84" i="13" s="1"/>
  <c r="M140" i="13"/>
  <c r="Q140" i="13" s="1"/>
  <c r="M67" i="13"/>
  <c r="Q67" i="13" s="1"/>
  <c r="M66" i="13"/>
  <c r="Q66" i="13" s="1"/>
  <c r="M241" i="13"/>
  <c r="Q241" i="13" s="1"/>
  <c r="M73" i="13"/>
  <c r="Q73" i="13" s="1"/>
  <c r="M141" i="13"/>
  <c r="Q141" i="13" s="1"/>
  <c r="M168" i="13"/>
  <c r="Q168" i="13" s="1"/>
  <c r="M128" i="13"/>
  <c r="Q128" i="13" s="1"/>
  <c r="M204" i="13"/>
  <c r="Q204" i="13" s="1"/>
  <c r="M185" i="13"/>
  <c r="Q185" i="13" s="1"/>
  <c r="M124" i="13"/>
  <c r="Q124" i="13" s="1"/>
  <c r="M139" i="13"/>
  <c r="Q139" i="13" s="1"/>
  <c r="M127" i="13"/>
  <c r="Q127" i="13" s="1"/>
  <c r="M130" i="13"/>
  <c r="Q130" i="13" s="1"/>
  <c r="M138" i="13"/>
  <c r="Q138" i="13" s="1"/>
  <c r="M190" i="13"/>
  <c r="Q190" i="13" s="1"/>
  <c r="M175" i="13"/>
  <c r="Q175" i="13" s="1"/>
  <c r="M207" i="13"/>
  <c r="Q207" i="13" s="1"/>
  <c r="M105" i="13"/>
  <c r="Q105" i="13" s="1"/>
  <c r="M89" i="13"/>
  <c r="Q89" i="13" s="1"/>
  <c r="M86" i="13"/>
  <c r="Q86" i="13" s="1"/>
  <c r="M182" i="13"/>
  <c r="Q182" i="13" s="1"/>
  <c r="M63" i="13"/>
  <c r="Q63" i="13" s="1"/>
  <c r="M238" i="13"/>
  <c r="Q238" i="13" s="1"/>
  <c r="M181" i="13"/>
  <c r="Q181" i="13" s="1"/>
  <c r="M110" i="13"/>
  <c r="Q110" i="13" s="1"/>
  <c r="M223" i="13"/>
  <c r="Q223" i="13" s="1"/>
  <c r="M165" i="13"/>
  <c r="Q165" i="13" s="1"/>
  <c r="M70" i="13"/>
  <c r="Q70" i="13" s="1"/>
  <c r="M227" i="13"/>
  <c r="Q227" i="13" s="1"/>
  <c r="M81" i="13"/>
  <c r="Q81" i="13" s="1"/>
  <c r="M195" i="13"/>
  <c r="Q195" i="13" s="1"/>
  <c r="M83" i="13"/>
  <c r="Q83" i="13" s="1"/>
  <c r="M91" i="13"/>
  <c r="Q91" i="13" s="1"/>
  <c r="M113" i="13"/>
  <c r="Q113" i="13" s="1"/>
  <c r="M163" i="13"/>
  <c r="Q163" i="13" s="1"/>
  <c r="M214" i="13"/>
  <c r="Q214" i="13" s="1"/>
  <c r="M97" i="13"/>
  <c r="Q97" i="13" s="1"/>
  <c r="M129" i="13"/>
  <c r="Q129" i="13" s="1"/>
  <c r="M158" i="13"/>
  <c r="Q158" i="13" s="1"/>
  <c r="M161" i="13"/>
  <c r="Q161" i="13" s="1"/>
  <c r="M208" i="13"/>
  <c r="Q208" i="13" s="1"/>
  <c r="M159" i="13"/>
  <c r="Q159" i="13" s="1"/>
  <c r="O100" i="13"/>
  <c r="AA100" i="13" s="1"/>
  <c r="M186" i="13"/>
  <c r="Q186" i="13" s="1"/>
  <c r="M69" i="13"/>
  <c r="Q69" i="13" s="1"/>
  <c r="M242" i="13"/>
  <c r="Q242" i="13" s="1"/>
  <c r="M174" i="13"/>
  <c r="Q174" i="13" s="1"/>
  <c r="M183" i="13"/>
  <c r="Q183" i="13" s="1"/>
  <c r="M125" i="13"/>
  <c r="Q125" i="13" s="1"/>
  <c r="M133" i="13"/>
  <c r="Q133" i="13" s="1"/>
  <c r="M95" i="13"/>
  <c r="Q95" i="13" s="1"/>
  <c r="M96" i="13"/>
  <c r="Q96" i="13" s="1"/>
  <c r="M249" i="13"/>
  <c r="Q249" i="13" s="1"/>
  <c r="M231" i="13"/>
  <c r="Q231" i="13" s="1"/>
  <c r="M78" i="13"/>
  <c r="Q78" i="13" s="1"/>
  <c r="M164" i="13"/>
  <c r="Q164" i="13" s="1"/>
  <c r="M246" i="13"/>
  <c r="M64" i="13"/>
  <c r="Q64" i="13" s="1"/>
  <c r="O216" i="13"/>
  <c r="AA216" i="13" s="1"/>
  <c r="M172" i="13"/>
  <c r="Q172" i="13" s="1"/>
  <c r="M68" i="13"/>
  <c r="Q68" i="13" s="1"/>
  <c r="M226" i="13"/>
  <c r="Q226" i="13" s="1"/>
  <c r="M202" i="13"/>
  <c r="Q202" i="13" s="1"/>
  <c r="M72" i="13"/>
  <c r="Q72" i="13" s="1"/>
  <c r="M107" i="13"/>
  <c r="Q107" i="13" s="1"/>
  <c r="M99" i="13"/>
  <c r="Q99" i="13" s="1"/>
  <c r="O243" i="13"/>
  <c r="AA243" i="13" s="1"/>
  <c r="M222" i="13"/>
  <c r="Q222" i="13" s="1"/>
  <c r="O111" i="13"/>
  <c r="AA111" i="13" s="1"/>
  <c r="M77" i="13"/>
  <c r="Q77" i="13" s="1"/>
  <c r="M98" i="13"/>
  <c r="Q98" i="13" s="1"/>
  <c r="S21" i="13"/>
  <c r="T21" i="13" s="1"/>
  <c r="S30" i="13"/>
  <c r="T30" i="13" s="1"/>
  <c r="V40" i="13" l="1"/>
  <c r="AB40" i="13" s="1"/>
  <c r="D24" i="10"/>
  <c r="E24" i="10" s="1"/>
  <c r="O12" i="7" s="1"/>
  <c r="Q12" i="7" s="1"/>
  <c r="V39" i="13"/>
  <c r="W39" i="13" s="1"/>
  <c r="X39" i="13" s="1"/>
  <c r="Y39" i="13" s="1"/>
  <c r="D23" i="10"/>
  <c r="E23" i="10" s="1"/>
  <c r="O11" i="7" s="1"/>
  <c r="Q11" i="7" s="1"/>
  <c r="V49" i="13"/>
  <c r="W49" i="13" s="1"/>
  <c r="X49" i="13" s="1"/>
  <c r="Y49" i="13" s="1"/>
  <c r="D31" i="10"/>
  <c r="E31" i="10" s="1"/>
  <c r="O18" i="7" s="1"/>
  <c r="Q18" i="7" s="1"/>
  <c r="V48" i="13"/>
  <c r="D30" i="10"/>
  <c r="E30" i="10" s="1"/>
  <c r="O17" i="7" s="1"/>
  <c r="Q17" i="7" s="1"/>
  <c r="V20" i="13"/>
  <c r="W20" i="13" s="1"/>
  <c r="D8" i="10"/>
  <c r="E8" i="10" s="1"/>
  <c r="O2" i="7" s="1"/>
  <c r="Q2" i="7" s="1"/>
  <c r="V28" i="13"/>
  <c r="W28" i="13" s="1"/>
  <c r="X28" i="13" s="1"/>
  <c r="Y28" i="13" s="1"/>
  <c r="D14" i="10"/>
  <c r="E14" i="10" s="1"/>
  <c r="O6" i="7" s="1"/>
  <c r="Q6" i="7" s="1"/>
  <c r="V44" i="13"/>
  <c r="AB44" i="13" s="1"/>
  <c r="D28" i="10"/>
  <c r="E28" i="10" s="1"/>
  <c r="O51" i="7" s="1"/>
  <c r="V24" i="13"/>
  <c r="AB24" i="13" s="1"/>
  <c r="D12" i="10"/>
  <c r="E12" i="10" s="1"/>
  <c r="O48" i="7" s="1"/>
  <c r="V46" i="13"/>
  <c r="W46" i="13" s="1"/>
  <c r="X46" i="13" s="1"/>
  <c r="Y46" i="13" s="1"/>
  <c r="D32" i="10"/>
  <c r="E32" i="10" s="1"/>
  <c r="O19" i="7" s="1"/>
  <c r="Q19" i="7" s="1"/>
  <c r="V29" i="13"/>
  <c r="W29" i="13" s="1"/>
  <c r="X29" i="13" s="1"/>
  <c r="Y29" i="13" s="1"/>
  <c r="D15" i="10"/>
  <c r="E15" i="10" s="1"/>
  <c r="O7" i="7" s="1"/>
  <c r="Q7" i="7" s="1"/>
  <c r="V43" i="13"/>
  <c r="W43" i="13" s="1"/>
  <c r="X43" i="13" s="1"/>
  <c r="Y43" i="13" s="1"/>
  <c r="D27" i="10"/>
  <c r="E27" i="10" s="1"/>
  <c r="O15" i="7" s="1"/>
  <c r="Q15" i="7" s="1"/>
  <c r="V50" i="13"/>
  <c r="W50" i="13" s="1"/>
  <c r="X50" i="13" s="1"/>
  <c r="Y50" i="13" s="1"/>
  <c r="D35" i="10"/>
  <c r="E35" i="10" s="1"/>
  <c r="O52" i="7" s="1"/>
  <c r="V23" i="13"/>
  <c r="W23" i="13" s="1"/>
  <c r="X23" i="13" s="1"/>
  <c r="Y23" i="13" s="1"/>
  <c r="D11" i="10"/>
  <c r="E11" i="10" s="1"/>
  <c r="O5" i="7" s="1"/>
  <c r="Q5" i="7" s="1"/>
  <c r="V27" i="13"/>
  <c r="AB27" i="13" s="1"/>
  <c r="D17" i="10"/>
  <c r="E17" i="10" s="1"/>
  <c r="O9" i="7" s="1"/>
  <c r="Q9" i="7" s="1"/>
  <c r="V22" i="13"/>
  <c r="AB22" i="13" s="1"/>
  <c r="D10" i="10"/>
  <c r="E10" i="10" s="1"/>
  <c r="O4" i="7" s="1"/>
  <c r="Q4" i="7" s="1"/>
  <c r="V31" i="13"/>
  <c r="W31" i="13" s="1"/>
  <c r="X31" i="13" s="1"/>
  <c r="Y31" i="13" s="1"/>
  <c r="D20" i="10"/>
  <c r="E20" i="10" s="1"/>
  <c r="O50" i="7" s="1"/>
  <c r="V25" i="13"/>
  <c r="W25" i="13" s="1"/>
  <c r="X25" i="13" s="1"/>
  <c r="Y25" i="13" s="1"/>
  <c r="D13" i="10"/>
  <c r="E13" i="10" s="1"/>
  <c r="O49" i="7" s="1"/>
  <c r="V30" i="13"/>
  <c r="W30" i="13" s="1"/>
  <c r="X30" i="13" s="1"/>
  <c r="Y30" i="13" s="1"/>
  <c r="D16" i="10"/>
  <c r="E16" i="10" s="1"/>
  <c r="O8" i="7" s="1"/>
  <c r="Q8" i="7" s="1"/>
  <c r="V41" i="13"/>
  <c r="W41" i="13" s="1"/>
  <c r="X41" i="13" s="1"/>
  <c r="Y41" i="13" s="1"/>
  <c r="D25" i="10"/>
  <c r="E25" i="10" s="1"/>
  <c r="O13" i="7" s="1"/>
  <c r="Q13" i="7" s="1"/>
  <c r="V21" i="13"/>
  <c r="AB21" i="13" s="1"/>
  <c r="D9" i="10"/>
  <c r="E9" i="10" s="1"/>
  <c r="O3" i="7" s="1"/>
  <c r="Q3" i="7" s="1"/>
  <c r="V47" i="13"/>
  <c r="W47" i="13" s="1"/>
  <c r="X47" i="13" s="1"/>
  <c r="Y47" i="13" s="1"/>
  <c r="D29" i="10"/>
  <c r="E29" i="10" s="1"/>
  <c r="O16" i="7" s="1"/>
  <c r="Q16" i="7" s="1"/>
  <c r="V42" i="13"/>
  <c r="AB42" i="13" s="1"/>
  <c r="D26" i="10"/>
  <c r="E26" i="10" s="1"/>
  <c r="O14" i="7" s="1"/>
  <c r="Q14" i="7" s="1"/>
  <c r="W44" i="13"/>
  <c r="X44" i="13" s="1"/>
  <c r="Y44" i="13" s="1"/>
  <c r="AB29" i="13"/>
  <c r="AB45" i="13"/>
  <c r="W45" i="13"/>
  <c r="X45" i="13" s="1"/>
  <c r="Y45" i="13" s="1"/>
  <c r="AB28" i="13"/>
  <c r="S222" i="13"/>
  <c r="T222" i="13" s="1"/>
  <c r="S172" i="13"/>
  <c r="T172" i="13" s="1"/>
  <c r="S164" i="13"/>
  <c r="T164" i="13" s="1"/>
  <c r="V164" i="13" s="1"/>
  <c r="S183" i="13"/>
  <c r="T183" i="13" s="1"/>
  <c r="V183" i="13" s="1"/>
  <c r="S161" i="13"/>
  <c r="T161" i="13" s="1"/>
  <c r="R83" i="13"/>
  <c r="S83" i="13"/>
  <c r="T83" i="13" s="1"/>
  <c r="S181" i="13"/>
  <c r="T181" i="13" s="1"/>
  <c r="V181" i="13" s="1"/>
  <c r="R86" i="13"/>
  <c r="S86" i="13"/>
  <c r="T86" i="13" s="1"/>
  <c r="R127" i="13"/>
  <c r="S127" i="13"/>
  <c r="T127" i="13" s="1"/>
  <c r="S73" i="13"/>
  <c r="T73" i="13" s="1"/>
  <c r="R73" i="13"/>
  <c r="S210" i="13"/>
  <c r="T210" i="13" s="1"/>
  <c r="V210" i="13" s="1"/>
  <c r="S131" i="13"/>
  <c r="T131" i="13" s="1"/>
  <c r="R131" i="13"/>
  <c r="S75" i="13"/>
  <c r="T75" i="13" s="1"/>
  <c r="R75" i="13"/>
  <c r="S171" i="13"/>
  <c r="T171" i="13" s="1"/>
  <c r="R65" i="13"/>
  <c r="S65" i="13"/>
  <c r="T65" i="13" s="1"/>
  <c r="S188" i="13"/>
  <c r="T188" i="13" s="1"/>
  <c r="S115" i="13"/>
  <c r="T115" i="13" s="1"/>
  <c r="V115" i="13" s="1"/>
  <c r="R115" i="13"/>
  <c r="R118" i="13"/>
  <c r="S118" i="13"/>
  <c r="T118" i="13" s="1"/>
  <c r="S219" i="13"/>
  <c r="T219" i="13" s="1"/>
  <c r="S112" i="13"/>
  <c r="T112" i="13" s="1"/>
  <c r="R112" i="13"/>
  <c r="S221" i="13"/>
  <c r="T221" i="13" s="1"/>
  <c r="V221" i="13" s="1"/>
  <c r="S187" i="13"/>
  <c r="T187" i="13" s="1"/>
  <c r="V187" i="13" s="1"/>
  <c r="S176" i="13"/>
  <c r="T176" i="13" s="1"/>
  <c r="V176" i="13" s="1"/>
  <c r="S119" i="13"/>
  <c r="T119" i="13" s="1"/>
  <c r="R119" i="13"/>
  <c r="AB39" i="13"/>
  <c r="R95" i="13"/>
  <c r="S95" i="13"/>
  <c r="T95" i="13" s="1"/>
  <c r="V95" i="13" s="1"/>
  <c r="S195" i="13"/>
  <c r="T195" i="13" s="1"/>
  <c r="S238" i="13"/>
  <c r="T238" i="13" s="1"/>
  <c r="V238" i="13" s="1"/>
  <c r="W238" i="13" s="1"/>
  <c r="X238" i="13" s="1"/>
  <c r="Y238" i="13" s="1"/>
  <c r="S190" i="13"/>
  <c r="T190" i="13" s="1"/>
  <c r="R128" i="13"/>
  <c r="S128" i="13"/>
  <c r="T128" i="13" s="1"/>
  <c r="V128" i="13" s="1"/>
  <c r="S245" i="13"/>
  <c r="T245" i="13" s="1"/>
  <c r="V245" i="13" s="1"/>
  <c r="W245" i="13" s="1"/>
  <c r="X245" i="13" s="1"/>
  <c r="Y245" i="13" s="1"/>
  <c r="S211" i="13"/>
  <c r="T211" i="13" s="1"/>
  <c r="S132" i="13"/>
  <c r="T132" i="13" s="1"/>
  <c r="V132" i="13" s="1"/>
  <c r="R132" i="13"/>
  <c r="S180" i="13"/>
  <c r="T180" i="13" s="1"/>
  <c r="S196" i="13"/>
  <c r="T196" i="13" s="1"/>
  <c r="V196" i="13" s="1"/>
  <c r="S215" i="13"/>
  <c r="T215" i="13" s="1"/>
  <c r="S169" i="13"/>
  <c r="T169" i="13" s="1"/>
  <c r="R104" i="13"/>
  <c r="S104" i="13"/>
  <c r="T104" i="13" s="1"/>
  <c r="V104" i="13" s="1"/>
  <c r="S201" i="13"/>
  <c r="T201" i="13" s="1"/>
  <c r="S116" i="13"/>
  <c r="T116" i="13" s="1"/>
  <c r="V116" i="13" s="1"/>
  <c r="R116" i="13"/>
  <c r="S240" i="13"/>
  <c r="T240" i="13" s="1"/>
  <c r="V240" i="13" s="1"/>
  <c r="W240" i="13" s="1"/>
  <c r="X240" i="13" s="1"/>
  <c r="Y240" i="13" s="1"/>
  <c r="S218" i="13"/>
  <c r="T218" i="13" s="1"/>
  <c r="R103" i="13"/>
  <c r="S103" i="13"/>
  <c r="T103" i="13" s="1"/>
  <c r="V103" i="13" s="1"/>
  <c r="S230" i="13"/>
  <c r="T230" i="13" s="1"/>
  <c r="V230" i="13" s="1"/>
  <c r="S134" i="13"/>
  <c r="T134" i="13" s="1"/>
  <c r="V134" i="13" s="1"/>
  <c r="R134" i="13"/>
  <c r="W48" i="13"/>
  <c r="X48" i="13" s="1"/>
  <c r="Y48" i="13" s="1"/>
  <c r="AB48" i="13"/>
  <c r="R77" i="13"/>
  <c r="S77" i="13"/>
  <c r="T77" i="13" s="1"/>
  <c r="V77" i="13" s="1"/>
  <c r="S99" i="13"/>
  <c r="T99" i="13" s="1"/>
  <c r="R99" i="13"/>
  <c r="S226" i="13"/>
  <c r="T226" i="13" s="1"/>
  <c r="R64" i="13"/>
  <c r="S64" i="13"/>
  <c r="T64" i="13" s="1"/>
  <c r="S231" i="13"/>
  <c r="T231" i="13" s="1"/>
  <c r="V231" i="13" s="1"/>
  <c r="S133" i="13"/>
  <c r="T133" i="13" s="1"/>
  <c r="R133" i="13"/>
  <c r="S242" i="13"/>
  <c r="T242" i="13" s="1"/>
  <c r="V242" i="13" s="1"/>
  <c r="W242" i="13" s="1"/>
  <c r="X242" i="13" s="1"/>
  <c r="Y242" i="13" s="1"/>
  <c r="S159" i="13"/>
  <c r="T159" i="13" s="1"/>
  <c r="R129" i="13"/>
  <c r="S129" i="13"/>
  <c r="T129" i="13" s="1"/>
  <c r="V129" i="13" s="1"/>
  <c r="R113" i="13"/>
  <c r="S113" i="13"/>
  <c r="T113" i="13" s="1"/>
  <c r="V113" i="13" s="1"/>
  <c r="S81" i="13"/>
  <c r="T81" i="13" s="1"/>
  <c r="R81" i="13"/>
  <c r="S223" i="13"/>
  <c r="T223" i="13" s="1"/>
  <c r="V223" i="13" s="1"/>
  <c r="S63" i="13"/>
  <c r="T63" i="13" s="1"/>
  <c r="V63" i="13" s="1"/>
  <c r="R63" i="13"/>
  <c r="R105" i="13"/>
  <c r="S105" i="13"/>
  <c r="T105" i="13" s="1"/>
  <c r="V105" i="13" s="1"/>
  <c r="S138" i="13"/>
  <c r="T138" i="13" s="1"/>
  <c r="R138" i="13"/>
  <c r="R124" i="13"/>
  <c r="S124" i="13"/>
  <c r="T124" i="13" s="1"/>
  <c r="V124" i="13" s="1"/>
  <c r="S168" i="13"/>
  <c r="T168" i="13" s="1"/>
  <c r="V168" i="13" s="1"/>
  <c r="R66" i="13"/>
  <c r="S66" i="13"/>
  <c r="T66" i="13" s="1"/>
  <c r="V66" i="13" s="1"/>
  <c r="R109" i="13"/>
  <c r="S109" i="13"/>
  <c r="T109" i="13" s="1"/>
  <c r="S224" i="13"/>
  <c r="T224" i="13" s="1"/>
  <c r="V224" i="13" s="1"/>
  <c r="S88" i="13"/>
  <c r="T88" i="13" s="1"/>
  <c r="R88" i="13"/>
  <c r="R120" i="13"/>
  <c r="S120" i="13"/>
  <c r="T120" i="13" s="1"/>
  <c r="S199" i="13"/>
  <c r="T199" i="13" s="1"/>
  <c r="S228" i="13"/>
  <c r="T228" i="13" s="1"/>
  <c r="V228" i="13" s="1"/>
  <c r="R82" i="13"/>
  <c r="S82" i="13"/>
  <c r="T82" i="13" s="1"/>
  <c r="V82" i="13" s="1"/>
  <c r="S198" i="13"/>
  <c r="T198" i="13" s="1"/>
  <c r="V198" i="13" s="1"/>
  <c r="R114" i="13"/>
  <c r="S114" i="13"/>
  <c r="T114" i="13" s="1"/>
  <c r="V114" i="13" s="1"/>
  <c r="S213" i="13"/>
  <c r="T213" i="13" s="1"/>
  <c r="R137" i="13"/>
  <c r="S137" i="13"/>
  <c r="T137" i="13" s="1"/>
  <c r="V137" i="13" s="1"/>
  <c r="O251" i="13"/>
  <c r="AA158" i="13"/>
  <c r="S111" i="13"/>
  <c r="T111" i="13" s="1"/>
  <c r="V111" i="13" s="1"/>
  <c r="R111" i="13"/>
  <c r="S191" i="13"/>
  <c r="T191" i="13" s="1"/>
  <c r="V191" i="13" s="1"/>
  <c r="S232" i="13"/>
  <c r="T232" i="13" s="1"/>
  <c r="V232" i="13" s="1"/>
  <c r="S243" i="13"/>
  <c r="T243" i="13" s="1"/>
  <c r="V243" i="13" s="1"/>
  <c r="W243" i="13" s="1"/>
  <c r="X243" i="13" s="1"/>
  <c r="Y243" i="13" s="1"/>
  <c r="S216" i="13"/>
  <c r="T216" i="13" s="1"/>
  <c r="V216" i="13" s="1"/>
  <c r="S217" i="13"/>
  <c r="T217" i="13" s="1"/>
  <c r="AA246" i="13"/>
  <c r="R92" i="13"/>
  <c r="S92" i="13"/>
  <c r="T92" i="13" s="1"/>
  <c r="V92" i="13" s="1"/>
  <c r="S220" i="13"/>
  <c r="T220" i="13" s="1"/>
  <c r="V220" i="13" s="1"/>
  <c r="S229" i="13"/>
  <c r="T229" i="13" s="1"/>
  <c r="S170" i="13"/>
  <c r="T170" i="13" s="1"/>
  <c r="V170" i="13" s="1"/>
  <c r="S239" i="13"/>
  <c r="T239" i="13" s="1"/>
  <c r="V239" i="13" s="1"/>
  <c r="W239" i="13" s="1"/>
  <c r="X239" i="13" s="1"/>
  <c r="Y239" i="13" s="1"/>
  <c r="R85" i="13"/>
  <c r="S85" i="13"/>
  <c r="T85" i="13" s="1"/>
  <c r="V85" i="13" s="1"/>
  <c r="R72" i="13"/>
  <c r="S72" i="13"/>
  <c r="T72" i="13" s="1"/>
  <c r="S96" i="13"/>
  <c r="T96" i="13" s="1"/>
  <c r="R96" i="13"/>
  <c r="S186" i="13"/>
  <c r="T186" i="13" s="1"/>
  <c r="V186" i="13" s="1"/>
  <c r="S214" i="13"/>
  <c r="T214" i="13" s="1"/>
  <c r="S70" i="13"/>
  <c r="T70" i="13" s="1"/>
  <c r="V70" i="13" s="1"/>
  <c r="R70" i="13"/>
  <c r="S175" i="13"/>
  <c r="T175" i="13" s="1"/>
  <c r="V175" i="13" s="1"/>
  <c r="S204" i="13"/>
  <c r="T204" i="13" s="1"/>
  <c r="V204" i="13" s="1"/>
  <c r="S140" i="13"/>
  <c r="T140" i="13" s="1"/>
  <c r="V140" i="13" s="1"/>
  <c r="R140" i="13"/>
  <c r="S193" i="13"/>
  <c r="T193" i="13" s="1"/>
  <c r="S117" i="13"/>
  <c r="T117" i="13" s="1"/>
  <c r="R117" i="13"/>
  <c r="S212" i="13"/>
  <c r="T212" i="13" s="1"/>
  <c r="S62" i="13"/>
  <c r="T62" i="13" s="1"/>
  <c r="V62" i="13" s="1"/>
  <c r="R62" i="13"/>
  <c r="S90" i="13"/>
  <c r="T90" i="13" s="1"/>
  <c r="R90" i="13"/>
  <c r="S248" i="13"/>
  <c r="T248" i="13" s="1"/>
  <c r="V248" i="13" s="1"/>
  <c r="S244" i="13"/>
  <c r="T244" i="13" s="1"/>
  <c r="V244" i="13" s="1"/>
  <c r="W244" i="13" s="1"/>
  <c r="X244" i="13" s="1"/>
  <c r="Y244" i="13" s="1"/>
  <c r="S74" i="13"/>
  <c r="T74" i="13" s="1"/>
  <c r="V74" i="13" s="1"/>
  <c r="R74" i="13"/>
  <c r="R76" i="13"/>
  <c r="S76" i="13"/>
  <c r="T76" i="13" s="1"/>
  <c r="V76" i="13" s="1"/>
  <c r="S135" i="13"/>
  <c r="T135" i="13" s="1"/>
  <c r="V135" i="13" s="1"/>
  <c r="R135" i="13"/>
  <c r="S233" i="13"/>
  <c r="T233" i="13" s="1"/>
  <c r="V233" i="13" s="1"/>
  <c r="S206" i="13"/>
  <c r="T206" i="13" s="1"/>
  <c r="AB30" i="13"/>
  <c r="S98" i="13"/>
  <c r="T98" i="13" s="1"/>
  <c r="R98" i="13"/>
  <c r="S202" i="13"/>
  <c r="T202" i="13" s="1"/>
  <c r="S78" i="13"/>
  <c r="T78" i="13" s="1"/>
  <c r="R78" i="13"/>
  <c r="S174" i="13"/>
  <c r="T174" i="13" s="1"/>
  <c r="S158" i="13"/>
  <c r="T158" i="13" s="1"/>
  <c r="S163" i="13"/>
  <c r="T163" i="13" s="1"/>
  <c r="S165" i="13"/>
  <c r="T165" i="13" s="1"/>
  <c r="R89" i="13"/>
  <c r="S89" i="13"/>
  <c r="T89" i="13" s="1"/>
  <c r="V89" i="13" s="1"/>
  <c r="R139" i="13"/>
  <c r="S139" i="13"/>
  <c r="T139" i="13" s="1"/>
  <c r="S241" i="13"/>
  <c r="T241" i="13" s="1"/>
  <c r="V241" i="13" s="1"/>
  <c r="W241" i="13" s="1"/>
  <c r="X241" i="13" s="1"/>
  <c r="Y241" i="13" s="1"/>
  <c r="S84" i="13"/>
  <c r="T84" i="13" s="1"/>
  <c r="V84" i="13" s="1"/>
  <c r="R84" i="13"/>
  <c r="S194" i="13"/>
  <c r="T194" i="13" s="1"/>
  <c r="V194" i="13" s="1"/>
  <c r="S203" i="13"/>
  <c r="T203" i="13" s="1"/>
  <c r="S166" i="13"/>
  <c r="T166" i="13" s="1"/>
  <c r="S94" i="13"/>
  <c r="T94" i="13" s="1"/>
  <c r="V94" i="13" s="1"/>
  <c r="R94" i="13"/>
  <c r="R93" i="13"/>
  <c r="S93" i="13"/>
  <c r="T93" i="13" s="1"/>
  <c r="V93" i="13" s="1"/>
  <c r="S173" i="13"/>
  <c r="T173" i="13" s="1"/>
  <c r="V173" i="13" s="1"/>
  <c r="S177" i="13"/>
  <c r="T177" i="13" s="1"/>
  <c r="S101" i="13"/>
  <c r="T101" i="13" s="1"/>
  <c r="V101" i="13" s="1"/>
  <c r="R101" i="13"/>
  <c r="S237" i="13"/>
  <c r="T237" i="13" s="1"/>
  <c r="V237" i="13" s="1"/>
  <c r="W237" i="13" s="1"/>
  <c r="X237" i="13" s="1"/>
  <c r="Y237" i="13" s="1"/>
  <c r="S235" i="13"/>
  <c r="T235" i="13" s="1"/>
  <c r="S179" i="13"/>
  <c r="T179" i="13" s="1"/>
  <c r="S178" i="13"/>
  <c r="T178" i="13" s="1"/>
  <c r="R107" i="13"/>
  <c r="S107" i="13"/>
  <c r="T107" i="13" s="1"/>
  <c r="R68" i="13"/>
  <c r="S68" i="13"/>
  <c r="T68" i="13" s="1"/>
  <c r="M256" i="13"/>
  <c r="Q246" i="13"/>
  <c r="S249" i="13"/>
  <c r="T249" i="13" s="1"/>
  <c r="V249" i="13" s="1"/>
  <c r="S125" i="13"/>
  <c r="T125" i="13" s="1"/>
  <c r="V125" i="13" s="1"/>
  <c r="R125" i="13"/>
  <c r="R69" i="13"/>
  <c r="S69" i="13"/>
  <c r="T69" i="13"/>
  <c r="S208" i="13"/>
  <c r="T208" i="13" s="1"/>
  <c r="V208" i="13" s="1"/>
  <c r="R97" i="13"/>
  <c r="S97" i="13"/>
  <c r="T97" i="13" s="1"/>
  <c r="R91" i="13"/>
  <c r="S91" i="13"/>
  <c r="T91" i="13" s="1"/>
  <c r="V91" i="13" s="1"/>
  <c r="S227" i="13"/>
  <c r="T227" i="13" s="1"/>
  <c r="R110" i="13"/>
  <c r="S110" i="13"/>
  <c r="T110" i="13" s="1"/>
  <c r="V110" i="13" s="1"/>
  <c r="S182" i="13"/>
  <c r="T182" i="13" s="1"/>
  <c r="S207" i="13"/>
  <c r="T207" i="13" s="1"/>
  <c r="V207" i="13" s="1"/>
  <c r="S130" i="13"/>
  <c r="T130" i="13" s="1"/>
  <c r="V130" i="13" s="1"/>
  <c r="R130" i="13"/>
  <c r="S185" i="13"/>
  <c r="T185" i="13" s="1"/>
  <c r="V185" i="13" s="1"/>
  <c r="S141" i="13"/>
  <c r="T141" i="13" s="1"/>
  <c r="V141" i="13" s="1"/>
  <c r="R141" i="13"/>
  <c r="R67" i="13"/>
  <c r="S67" i="13"/>
  <c r="T67" i="13" s="1"/>
  <c r="V67" i="13" s="1"/>
  <c r="S197" i="13"/>
  <c r="T197" i="13" s="1"/>
  <c r="V197" i="13" s="1"/>
  <c r="S200" i="13"/>
  <c r="T200" i="13" s="1"/>
  <c r="R79" i="13"/>
  <c r="S79" i="13"/>
  <c r="T79" i="13" s="1"/>
  <c r="V79" i="13" s="1"/>
  <c r="R102" i="13"/>
  <c r="S102" i="13"/>
  <c r="T102" i="13" s="1"/>
  <c r="S225" i="13"/>
  <c r="T225" i="13" s="1"/>
  <c r="V225" i="13" s="1"/>
  <c r="R136" i="13"/>
  <c r="S136" i="13"/>
  <c r="T136" i="13" s="1"/>
  <c r="V136" i="13" s="1"/>
  <c r="S234" i="13"/>
  <c r="T234" i="13" s="1"/>
  <c r="S189" i="13"/>
  <c r="T189" i="13" s="1"/>
  <c r="S71" i="13"/>
  <c r="T71" i="13" s="1"/>
  <c r="R71" i="13"/>
  <c r="S87" i="13"/>
  <c r="T87" i="13" s="1"/>
  <c r="R87" i="13"/>
  <c r="S236" i="13"/>
  <c r="T236" i="13" s="1"/>
  <c r="V236" i="13" s="1"/>
  <c r="S80" i="13"/>
  <c r="T80" i="13" s="1"/>
  <c r="R80" i="13"/>
  <c r="S121" i="13"/>
  <c r="T121" i="13" s="1"/>
  <c r="V121" i="13" s="1"/>
  <c r="R121" i="13"/>
  <c r="S162" i="13"/>
  <c r="T162" i="13" s="1"/>
  <c r="S106" i="13"/>
  <c r="T106" i="13" s="1"/>
  <c r="R106" i="13"/>
  <c r="S160" i="13"/>
  <c r="T160" i="13" s="1"/>
  <c r="O9" i="13"/>
  <c r="O154" i="13"/>
  <c r="O256" i="13" s="1"/>
  <c r="AA64" i="13"/>
  <c r="S184" i="13"/>
  <c r="T184" i="13" s="1"/>
  <c r="V184" i="13" s="1"/>
  <c r="R108" i="13"/>
  <c r="S108" i="13"/>
  <c r="T108" i="13" s="1"/>
  <c r="S123" i="13"/>
  <c r="T123" i="13" s="1"/>
  <c r="R123" i="13"/>
  <c r="O10" i="13"/>
  <c r="AA77" i="13"/>
  <c r="S205" i="13"/>
  <c r="T205" i="13" s="1"/>
  <c r="V205" i="13" s="1"/>
  <c r="R126" i="13"/>
  <c r="S126" i="13"/>
  <c r="T126" i="13" s="1"/>
  <c r="V126" i="13" s="1"/>
  <c r="S192" i="13"/>
  <c r="T192" i="13" s="1"/>
  <c r="S209" i="13"/>
  <c r="T209" i="13" s="1"/>
  <c r="V209" i="13" s="1"/>
  <c r="S100" i="13"/>
  <c r="T100" i="13" s="1"/>
  <c r="V100" i="13" s="1"/>
  <c r="R100" i="13"/>
  <c r="S167" i="13"/>
  <c r="T167" i="13" s="1"/>
  <c r="S122" i="13"/>
  <c r="T122" i="13" s="1"/>
  <c r="R122" i="13"/>
  <c r="W21" i="13" l="1"/>
  <c r="X21" i="13" s="1"/>
  <c r="Y21" i="13" s="1"/>
  <c r="W24" i="13"/>
  <c r="X24" i="13" s="1"/>
  <c r="Y24" i="13" s="1"/>
  <c r="W27" i="13"/>
  <c r="X27" i="13" s="1"/>
  <c r="Y27" i="13" s="1"/>
  <c r="W22" i="13"/>
  <c r="X22" i="13" s="1"/>
  <c r="Y22" i="13" s="1"/>
  <c r="AB46" i="13"/>
  <c r="AB20" i="13"/>
  <c r="AB25" i="13"/>
  <c r="AB47" i="13"/>
  <c r="AB43" i="13"/>
  <c r="AB41" i="13"/>
  <c r="AB49" i="13"/>
  <c r="O7" i="13"/>
  <c r="AA251" i="13"/>
  <c r="W42" i="13"/>
  <c r="X42" i="13" s="1"/>
  <c r="Y42" i="13" s="1"/>
  <c r="AA154" i="13"/>
  <c r="V218" i="13"/>
  <c r="W218" i="13" s="1"/>
  <c r="X218" i="13" s="1"/>
  <c r="Y218" i="13" s="1"/>
  <c r="D78" i="10"/>
  <c r="E78" i="10" s="1"/>
  <c r="D94" i="10"/>
  <c r="E94" i="10" s="1"/>
  <c r="D79" i="10"/>
  <c r="E79" i="10" s="1"/>
  <c r="V206" i="13"/>
  <c r="W206" i="13" s="1"/>
  <c r="X206" i="13" s="1"/>
  <c r="Y206" i="13" s="1"/>
  <c r="D46" i="10"/>
  <c r="E46" i="10" s="1"/>
  <c r="O41" i="7" s="1"/>
  <c r="Q41" i="7" s="1"/>
  <c r="V180" i="13"/>
  <c r="AB180" i="13" s="1"/>
  <c r="D90" i="10"/>
  <c r="E90" i="10" s="1"/>
  <c r="V235" i="13"/>
  <c r="AB235" i="13" s="1"/>
  <c r="D60" i="10"/>
  <c r="E60" i="10" s="1"/>
  <c r="O67" i="7" s="1"/>
  <c r="V159" i="13"/>
  <c r="W159" i="13" s="1"/>
  <c r="X159" i="13" s="1"/>
  <c r="Y159" i="13" s="1"/>
  <c r="D50" i="10"/>
  <c r="E50" i="10" s="1"/>
  <c r="O57" i="7" s="1"/>
  <c r="V133" i="13"/>
  <c r="W133" i="13" s="1"/>
  <c r="X133" i="13" s="1"/>
  <c r="Y133" i="13" s="1"/>
  <c r="D110" i="10"/>
  <c r="E110" i="10" s="1"/>
  <c r="O30" i="7" s="1"/>
  <c r="Q30" i="7" s="1"/>
  <c r="V215" i="13"/>
  <c r="AB215" i="13" s="1"/>
  <c r="D86" i="10"/>
  <c r="E86" i="10" s="1"/>
  <c r="O76" i="7" s="1"/>
  <c r="V190" i="13"/>
  <c r="W190" i="13" s="1"/>
  <c r="X190" i="13" s="1"/>
  <c r="Y190" i="13" s="1"/>
  <c r="D71" i="10"/>
  <c r="E71" i="10" s="1"/>
  <c r="O68" i="7" s="1"/>
  <c r="V139" i="13"/>
  <c r="AB139" i="13" s="1"/>
  <c r="D122" i="10"/>
  <c r="E122" i="10" s="1"/>
  <c r="V178" i="13"/>
  <c r="AB178" i="13" s="1"/>
  <c r="D63" i="10"/>
  <c r="E63" i="10" s="1"/>
  <c r="V177" i="13"/>
  <c r="AB177" i="13" s="1"/>
  <c r="D55" i="10"/>
  <c r="E55" i="10" s="1"/>
  <c r="O62" i="7" s="1"/>
  <c r="V117" i="13"/>
  <c r="W117" i="13" s="1"/>
  <c r="X117" i="13" s="1"/>
  <c r="Y117" i="13" s="1"/>
  <c r="D118" i="10"/>
  <c r="E118" i="10" s="1"/>
  <c r="O88" i="7" s="1"/>
  <c r="V222" i="13"/>
  <c r="AB222" i="13" s="1"/>
  <c r="D47" i="10"/>
  <c r="E47" i="10" s="1"/>
  <c r="O56" i="7" s="1"/>
  <c r="V167" i="13"/>
  <c r="W167" i="13" s="1"/>
  <c r="X167" i="13" s="1"/>
  <c r="Y167" i="13" s="1"/>
  <c r="D89" i="10"/>
  <c r="E89" i="10" s="1"/>
  <c r="V108" i="13"/>
  <c r="AB108" i="13" s="1"/>
  <c r="D155" i="10"/>
  <c r="E155" i="10" s="1"/>
  <c r="D140" i="10"/>
  <c r="E140" i="10" s="1"/>
  <c r="V162" i="13"/>
  <c r="AB162" i="13" s="1"/>
  <c r="D40" i="10"/>
  <c r="E40" i="10" s="1"/>
  <c r="O36" i="7" s="1"/>
  <c r="Q36" i="7" s="1"/>
  <c r="V87" i="13"/>
  <c r="AB87" i="13" s="1"/>
  <c r="D146" i="10"/>
  <c r="E146" i="10" s="1"/>
  <c r="O101" i="7" s="1"/>
  <c r="V165" i="13"/>
  <c r="AB165" i="13" s="1"/>
  <c r="D53" i="10"/>
  <c r="E53" i="10" s="1"/>
  <c r="O60" i="7" s="1"/>
  <c r="D41" i="10"/>
  <c r="E41" i="10" s="1"/>
  <c r="O37" i="7" s="1"/>
  <c r="Q37" i="7" s="1"/>
  <c r="V158" i="13"/>
  <c r="AB158" i="13" s="1"/>
  <c r="D38" i="10"/>
  <c r="E38" i="10" s="1"/>
  <c r="O53" i="7" s="1"/>
  <c r="V98" i="13"/>
  <c r="AB98" i="13" s="1"/>
  <c r="D154" i="10"/>
  <c r="E154" i="10" s="1"/>
  <c r="D139" i="10"/>
  <c r="E139" i="10" s="1"/>
  <c r="V96" i="13"/>
  <c r="AB96" i="13" s="1"/>
  <c r="D116" i="10"/>
  <c r="E116" i="10" s="1"/>
  <c r="O86" i="7" s="1"/>
  <c r="V109" i="13"/>
  <c r="W109" i="13" s="1"/>
  <c r="X109" i="13" s="1"/>
  <c r="Y109" i="13" s="1"/>
  <c r="D148" i="10"/>
  <c r="E148" i="10" s="1"/>
  <c r="O103" i="7" s="1"/>
  <c r="V138" i="13"/>
  <c r="AB138" i="13" s="1"/>
  <c r="D120" i="10"/>
  <c r="E120" i="10" s="1"/>
  <c r="O32" i="7" s="1"/>
  <c r="Q32" i="7" s="1"/>
  <c r="V192" i="13"/>
  <c r="W192" i="13" s="1"/>
  <c r="X192" i="13" s="1"/>
  <c r="Y192" i="13" s="1"/>
  <c r="D84" i="10"/>
  <c r="E84" i="10" s="1"/>
  <c r="O74" i="7" s="1"/>
  <c r="V123" i="13"/>
  <c r="W123" i="13" s="1"/>
  <c r="X123" i="13" s="1"/>
  <c r="Y123" i="13" s="1"/>
  <c r="D150" i="10"/>
  <c r="E150" i="10" s="1"/>
  <c r="O105" i="7" s="1"/>
  <c r="D157" i="10"/>
  <c r="E157" i="10" s="1"/>
  <c r="D142" i="10"/>
  <c r="E142" i="10" s="1"/>
  <c r="V80" i="13"/>
  <c r="W80" i="13" s="1"/>
  <c r="X80" i="13" s="1"/>
  <c r="Y80" i="13" s="1"/>
  <c r="D114" i="10"/>
  <c r="E114" i="10" s="1"/>
  <c r="O84" i="7" s="1"/>
  <c r="V102" i="13"/>
  <c r="W102" i="13" s="1"/>
  <c r="X102" i="13" s="1"/>
  <c r="Y102" i="13" s="1"/>
  <c r="D107" i="10"/>
  <c r="E107" i="10" s="1"/>
  <c r="O27" i="7" s="1"/>
  <c r="Q27" i="7" s="1"/>
  <c r="V182" i="13"/>
  <c r="AB182" i="13" s="1"/>
  <c r="D44" i="10"/>
  <c r="E44" i="10" s="1"/>
  <c r="O39" i="7" s="1"/>
  <c r="Q39" i="7" s="1"/>
  <c r="V97" i="13"/>
  <c r="W97" i="13" s="1"/>
  <c r="X97" i="13" s="1"/>
  <c r="Y97" i="13" s="1"/>
  <c r="D134" i="10"/>
  <c r="E134" i="10" s="1"/>
  <c r="O96" i="7" s="1"/>
  <c r="V69" i="13"/>
  <c r="AB69" i="13" s="1"/>
  <c r="D130" i="10"/>
  <c r="E130" i="10" s="1"/>
  <c r="O94" i="7" s="1"/>
  <c r="V107" i="13"/>
  <c r="AB107" i="13" s="1"/>
  <c r="D135" i="10"/>
  <c r="E135" i="10" s="1"/>
  <c r="O97" i="7" s="1"/>
  <c r="V179" i="13"/>
  <c r="AB179" i="13" s="1"/>
  <c r="D83" i="10"/>
  <c r="E83" i="10" s="1"/>
  <c r="O73" i="7" s="1"/>
  <c r="V203" i="13"/>
  <c r="W203" i="13" s="1"/>
  <c r="X203" i="13" s="1"/>
  <c r="Y203" i="13" s="1"/>
  <c r="D85" i="10"/>
  <c r="E85" i="10" s="1"/>
  <c r="O75" i="7" s="1"/>
  <c r="V78" i="13"/>
  <c r="W78" i="13" s="1"/>
  <c r="X78" i="13" s="1"/>
  <c r="Y78" i="13" s="1"/>
  <c r="D104" i="10"/>
  <c r="E104" i="10" s="1"/>
  <c r="O24" i="7" s="1"/>
  <c r="Q24" i="7" s="1"/>
  <c r="V212" i="13"/>
  <c r="AB212" i="13" s="1"/>
  <c r="D66" i="10"/>
  <c r="E66" i="10" s="1"/>
  <c r="V72" i="13"/>
  <c r="AB72" i="13" s="1"/>
  <c r="D103" i="10"/>
  <c r="E103" i="10" s="1"/>
  <c r="O23" i="7" s="1"/>
  <c r="Q23" i="7" s="1"/>
  <c r="D127" i="10"/>
  <c r="E127" i="10" s="1"/>
  <c r="O92" i="7" s="1"/>
  <c r="V217" i="13"/>
  <c r="W217" i="13" s="1"/>
  <c r="X217" i="13" s="1"/>
  <c r="Y217" i="13" s="1"/>
  <c r="D74" i="10"/>
  <c r="E74" i="10" s="1"/>
  <c r="O71" i="7" s="1"/>
  <c r="V213" i="13"/>
  <c r="AB213" i="13" s="1"/>
  <c r="D73" i="10"/>
  <c r="E73" i="10" s="1"/>
  <c r="O70" i="7" s="1"/>
  <c r="V199" i="13"/>
  <c r="W199" i="13" s="1"/>
  <c r="X199" i="13" s="1"/>
  <c r="Y199" i="13" s="1"/>
  <c r="D57" i="10"/>
  <c r="E57" i="10" s="1"/>
  <c r="O64" i="7" s="1"/>
  <c r="D76" i="10"/>
  <c r="E76" i="10" s="1"/>
  <c r="W40" i="13"/>
  <c r="X40" i="13" s="1"/>
  <c r="Y40" i="13" s="1"/>
  <c r="V201" i="13"/>
  <c r="W201" i="13" s="1"/>
  <c r="X201" i="13" s="1"/>
  <c r="Y201" i="13" s="1"/>
  <c r="D72" i="10"/>
  <c r="E72" i="10" s="1"/>
  <c r="O69" i="7" s="1"/>
  <c r="V169" i="13"/>
  <c r="W169" i="13" s="1"/>
  <c r="X169" i="13" s="1"/>
  <c r="Y169" i="13" s="1"/>
  <c r="D42" i="10"/>
  <c r="E42" i="10" s="1"/>
  <c r="O55" i="7" s="1"/>
  <c r="AB23" i="13"/>
  <c r="V118" i="13"/>
  <c r="W118" i="13" s="1"/>
  <c r="X118" i="13" s="1"/>
  <c r="Y118" i="13" s="1"/>
  <c r="D136" i="10"/>
  <c r="E136" i="10" s="1"/>
  <c r="O98" i="7" s="1"/>
  <c r="V171" i="13"/>
  <c r="W171" i="13" s="1"/>
  <c r="X171" i="13" s="1"/>
  <c r="Y171" i="13" s="1"/>
  <c r="D54" i="10"/>
  <c r="E54" i="10" s="1"/>
  <c r="O61" i="7" s="1"/>
  <c r="V172" i="13"/>
  <c r="AB172" i="13" s="1"/>
  <c r="D62" i="10"/>
  <c r="E62" i="10" s="1"/>
  <c r="R3" i="7"/>
  <c r="T3" i="7"/>
  <c r="T9" i="7"/>
  <c r="R9" i="7"/>
  <c r="T7" i="7"/>
  <c r="R7" i="7"/>
  <c r="R6" i="7"/>
  <c r="T6" i="7"/>
  <c r="R17" i="7"/>
  <c r="T17" i="7"/>
  <c r="V68" i="13"/>
  <c r="AB68" i="13" s="1"/>
  <c r="D102" i="10"/>
  <c r="E102" i="10" s="1"/>
  <c r="O22" i="7" s="1"/>
  <c r="Q22" i="7" s="1"/>
  <c r="D126" i="10"/>
  <c r="E126" i="10" s="1"/>
  <c r="O91" i="7" s="1"/>
  <c r="V163" i="13"/>
  <c r="W163" i="13" s="1"/>
  <c r="X163" i="13" s="1"/>
  <c r="Y163" i="13" s="1"/>
  <c r="D52" i="10"/>
  <c r="E52" i="10" s="1"/>
  <c r="O59" i="7" s="1"/>
  <c r="V174" i="13"/>
  <c r="W174" i="13" s="1"/>
  <c r="X174" i="13" s="1"/>
  <c r="Y174" i="13" s="1"/>
  <c r="D43" i="10"/>
  <c r="E43" i="10" s="1"/>
  <c r="O38" i="7" s="1"/>
  <c r="Q38" i="7" s="1"/>
  <c r="V202" i="13"/>
  <c r="W202" i="13" s="1"/>
  <c r="X202" i="13" s="1"/>
  <c r="Y202" i="13" s="1"/>
  <c r="D92" i="10"/>
  <c r="E92" i="10" s="1"/>
  <c r="V193" i="13"/>
  <c r="AB193" i="13" s="1"/>
  <c r="D91" i="10"/>
  <c r="E91" i="10" s="1"/>
  <c r="V120" i="13"/>
  <c r="W120" i="13" s="1"/>
  <c r="X120" i="13" s="1"/>
  <c r="Y120" i="13" s="1"/>
  <c r="D149" i="10"/>
  <c r="E149" i="10" s="1"/>
  <c r="O104" i="7" s="1"/>
  <c r="V195" i="13"/>
  <c r="AB195" i="13" s="1"/>
  <c r="D45" i="10"/>
  <c r="E45" i="10" s="1"/>
  <c r="O40" i="7" s="1"/>
  <c r="Q40" i="7" s="1"/>
  <c r="V119" i="13"/>
  <c r="W119" i="13" s="1"/>
  <c r="X119" i="13" s="1"/>
  <c r="Y119" i="13" s="1"/>
  <c r="D156" i="10"/>
  <c r="E156" i="10" s="1"/>
  <c r="D141" i="10"/>
  <c r="E141" i="10" s="1"/>
  <c r="V188" i="13"/>
  <c r="W188" i="13" s="1"/>
  <c r="X188" i="13" s="1"/>
  <c r="Y188" i="13" s="1"/>
  <c r="D56" i="10"/>
  <c r="E56" i="10" s="1"/>
  <c r="O63" i="7" s="1"/>
  <c r="V86" i="13"/>
  <c r="W86" i="13" s="1"/>
  <c r="X86" i="13" s="1"/>
  <c r="Y86" i="13" s="1"/>
  <c r="D115" i="10"/>
  <c r="E115" i="10" s="1"/>
  <c r="O85" i="7" s="1"/>
  <c r="V83" i="13"/>
  <c r="W83" i="13" s="1"/>
  <c r="X83" i="13" s="1"/>
  <c r="Y83" i="13" s="1"/>
  <c r="D105" i="10"/>
  <c r="E105" i="10" s="1"/>
  <c r="O25" i="7" s="1"/>
  <c r="Q25" i="7" s="1"/>
  <c r="V160" i="13"/>
  <c r="W160" i="13" s="1"/>
  <c r="X160" i="13" s="1"/>
  <c r="Y160" i="13" s="1"/>
  <c r="D39" i="10"/>
  <c r="E39" i="10" s="1"/>
  <c r="O54" i="7" s="1"/>
  <c r="V234" i="13"/>
  <c r="AB234" i="13" s="1"/>
  <c r="D68" i="10"/>
  <c r="E68" i="10" s="1"/>
  <c r="V227" i="13"/>
  <c r="AB227" i="13" s="1"/>
  <c r="D67" i="10"/>
  <c r="E67" i="10" s="1"/>
  <c r="V166" i="13"/>
  <c r="W166" i="13" s="1"/>
  <c r="X166" i="13" s="1"/>
  <c r="Y166" i="13" s="1"/>
  <c r="D82" i="10"/>
  <c r="E82" i="10" s="1"/>
  <c r="O72" i="7" s="1"/>
  <c r="V90" i="13"/>
  <c r="W90" i="13" s="1"/>
  <c r="X90" i="13" s="1"/>
  <c r="Y90" i="13" s="1"/>
  <c r="D106" i="10"/>
  <c r="E106" i="10" s="1"/>
  <c r="O26" i="7" s="1"/>
  <c r="Q26" i="7" s="1"/>
  <c r="V88" i="13"/>
  <c r="W88" i="13" s="1"/>
  <c r="X88" i="13" s="1"/>
  <c r="Y88" i="13" s="1"/>
  <c r="D153" i="10"/>
  <c r="E153" i="10" s="1"/>
  <c r="V99" i="13"/>
  <c r="W99" i="13" s="1"/>
  <c r="X99" i="13" s="1"/>
  <c r="Y99" i="13" s="1"/>
  <c r="D147" i="10"/>
  <c r="E147" i="10" s="1"/>
  <c r="O102" i="7" s="1"/>
  <c r="V219" i="13"/>
  <c r="AB219" i="13" s="1"/>
  <c r="D87" i="10"/>
  <c r="E87" i="10" s="1"/>
  <c r="O77" i="7" s="1"/>
  <c r="V75" i="13"/>
  <c r="W75" i="13" s="1"/>
  <c r="X75" i="13" s="1"/>
  <c r="Y75" i="13" s="1"/>
  <c r="D113" i="10"/>
  <c r="E113" i="10" s="1"/>
  <c r="O83" i="7" s="1"/>
  <c r="V127" i="13"/>
  <c r="W127" i="13" s="1"/>
  <c r="X127" i="13" s="1"/>
  <c r="Y127" i="13" s="1"/>
  <c r="D109" i="10"/>
  <c r="E109" i="10" s="1"/>
  <c r="O29" i="7" s="1"/>
  <c r="Q29" i="7" s="1"/>
  <c r="V161" i="13"/>
  <c r="AB161" i="13" s="1"/>
  <c r="D51" i="10"/>
  <c r="E51" i="10" s="1"/>
  <c r="O58" i="7" s="1"/>
  <c r="V214" i="13"/>
  <c r="W214" i="13" s="1"/>
  <c r="X214" i="13" s="1"/>
  <c r="Y214" i="13" s="1"/>
  <c r="D93" i="10"/>
  <c r="E93" i="10" s="1"/>
  <c r="V229" i="13"/>
  <c r="AB229" i="13" s="1"/>
  <c r="D48" i="10"/>
  <c r="E48" i="10" s="1"/>
  <c r="O42" i="7" s="1"/>
  <c r="Q42" i="7" s="1"/>
  <c r="V81" i="13"/>
  <c r="W81" i="13" s="1"/>
  <c r="X81" i="13" s="1"/>
  <c r="Y81" i="13" s="1"/>
  <c r="D152" i="10"/>
  <c r="E152" i="10" s="1"/>
  <c r="D145" i="10"/>
  <c r="E145" i="10" s="1"/>
  <c r="O100" i="7" s="1"/>
  <c r="V226" i="13"/>
  <c r="W226" i="13" s="1"/>
  <c r="X226" i="13" s="1"/>
  <c r="Y226" i="13" s="1"/>
  <c r="D59" i="10"/>
  <c r="E59" i="10" s="1"/>
  <c r="O66" i="7" s="1"/>
  <c r="V112" i="13"/>
  <c r="W112" i="13" s="1"/>
  <c r="X112" i="13" s="1"/>
  <c r="Y112" i="13" s="1"/>
  <c r="D108" i="10"/>
  <c r="E108" i="10" s="1"/>
  <c r="O28" i="7" s="1"/>
  <c r="Q28" i="7" s="1"/>
  <c r="V131" i="13"/>
  <c r="W131" i="13" s="1"/>
  <c r="X131" i="13" s="1"/>
  <c r="Y131" i="13" s="1"/>
  <c r="D119" i="10"/>
  <c r="E119" i="10" s="1"/>
  <c r="O89" i="7" s="1"/>
  <c r="R14" i="7"/>
  <c r="T14" i="7"/>
  <c r="T8" i="7"/>
  <c r="R8" i="7"/>
  <c r="R11" i="7"/>
  <c r="T11" i="7"/>
  <c r="V122" i="13"/>
  <c r="W122" i="13" s="1"/>
  <c r="X122" i="13" s="1"/>
  <c r="Y122" i="13" s="1"/>
  <c r="D137" i="10"/>
  <c r="E137" i="10" s="1"/>
  <c r="O99" i="7" s="1"/>
  <c r="V71" i="13"/>
  <c r="AB71" i="13" s="1"/>
  <c r="D112" i="10"/>
  <c r="E112" i="10" s="1"/>
  <c r="O82" i="7" s="1"/>
  <c r="V200" i="13"/>
  <c r="AB200" i="13" s="1"/>
  <c r="D65" i="10"/>
  <c r="E65" i="10" s="1"/>
  <c r="V106" i="13"/>
  <c r="AB106" i="13" s="1"/>
  <c r="D117" i="10"/>
  <c r="E117" i="10" s="1"/>
  <c r="O31" i="7" s="1"/>
  <c r="Q31" i="7" s="1"/>
  <c r="V189" i="13"/>
  <c r="AB189" i="13" s="1"/>
  <c r="D64" i="10"/>
  <c r="E64" i="10" s="1"/>
  <c r="V64" i="13"/>
  <c r="W64" i="13" s="1"/>
  <c r="D125" i="10"/>
  <c r="E125" i="10" s="1"/>
  <c r="O33" i="7" s="1"/>
  <c r="Q33" i="7" s="1"/>
  <c r="D101" i="10"/>
  <c r="E101" i="10" s="1"/>
  <c r="O80" i="7" s="1"/>
  <c r="V211" i="13"/>
  <c r="W211" i="13" s="1"/>
  <c r="X211" i="13" s="1"/>
  <c r="Y211" i="13" s="1"/>
  <c r="D77" i="10"/>
  <c r="E77" i="10" s="1"/>
  <c r="D58" i="10"/>
  <c r="E58" i="10" s="1"/>
  <c r="O65" i="7" s="1"/>
  <c r="V65" i="13"/>
  <c r="W65" i="13" s="1"/>
  <c r="X65" i="13" s="1"/>
  <c r="Y65" i="13" s="1"/>
  <c r="D129" i="10"/>
  <c r="E129" i="10" s="1"/>
  <c r="O93" i="7" s="1"/>
  <c r="D111" i="10"/>
  <c r="E111" i="10" s="1"/>
  <c r="O81" i="7" s="1"/>
  <c r="V73" i="13"/>
  <c r="AB73" i="13" s="1"/>
  <c r="D131" i="10"/>
  <c r="E131" i="10" s="1"/>
  <c r="O95" i="7" s="1"/>
  <c r="R16" i="7"/>
  <c r="T16" i="7"/>
  <c r="R13" i="7"/>
  <c r="T13" i="7"/>
  <c r="R4" i="7"/>
  <c r="T4" i="7"/>
  <c r="R5" i="7"/>
  <c r="T5" i="7"/>
  <c r="R15" i="7"/>
  <c r="T15" i="7"/>
  <c r="R19" i="7"/>
  <c r="T19" i="7"/>
  <c r="R2" i="7"/>
  <c r="T2" i="7"/>
  <c r="Q21" i="7"/>
  <c r="R18" i="7"/>
  <c r="T18" i="7"/>
  <c r="R12" i="7"/>
  <c r="T12" i="7"/>
  <c r="AB125" i="13"/>
  <c r="W125" i="13"/>
  <c r="X125" i="13" s="1"/>
  <c r="Y125" i="13" s="1"/>
  <c r="AB135" i="13"/>
  <c r="W135" i="13"/>
  <c r="X135" i="13" s="1"/>
  <c r="Y135" i="13" s="1"/>
  <c r="W92" i="13"/>
  <c r="X92" i="13" s="1"/>
  <c r="Y92" i="13" s="1"/>
  <c r="AB92" i="13"/>
  <c r="AB191" i="13"/>
  <c r="W191" i="13"/>
  <c r="X191" i="13" s="1"/>
  <c r="Y191" i="13" s="1"/>
  <c r="W213" i="13"/>
  <c r="X213" i="13" s="1"/>
  <c r="Y213" i="13" s="1"/>
  <c r="W168" i="13"/>
  <c r="X168" i="13" s="1"/>
  <c r="Y168" i="13" s="1"/>
  <c r="AB168" i="13"/>
  <c r="AB129" i="13"/>
  <c r="W129" i="13"/>
  <c r="X129" i="13" s="1"/>
  <c r="Y129" i="13" s="1"/>
  <c r="AB77" i="13"/>
  <c r="W77" i="13"/>
  <c r="X77" i="13" s="1"/>
  <c r="Y77" i="13" s="1"/>
  <c r="W128" i="13"/>
  <c r="X128" i="13" s="1"/>
  <c r="Y128" i="13" s="1"/>
  <c r="AB128" i="13"/>
  <c r="AB181" i="13"/>
  <c r="W181" i="13"/>
  <c r="X181" i="13" s="1"/>
  <c r="Y181" i="13" s="1"/>
  <c r="AB100" i="13"/>
  <c r="W100" i="13"/>
  <c r="X100" i="13" s="1"/>
  <c r="Y100" i="13" s="1"/>
  <c r="AB205" i="13"/>
  <c r="W205" i="13"/>
  <c r="X205" i="13" s="1"/>
  <c r="Y205" i="13" s="1"/>
  <c r="W236" i="13"/>
  <c r="X236" i="13" s="1"/>
  <c r="Y236" i="13" s="1"/>
  <c r="AB236" i="13"/>
  <c r="W141" i="13"/>
  <c r="X141" i="13" s="1"/>
  <c r="Y141" i="13" s="1"/>
  <c r="AB141" i="13"/>
  <c r="AB110" i="13"/>
  <c r="W110" i="13"/>
  <c r="X110" i="13" s="1"/>
  <c r="Y110" i="13" s="1"/>
  <c r="W94" i="13"/>
  <c r="X94" i="13" s="1"/>
  <c r="Y94" i="13" s="1"/>
  <c r="AB94" i="13"/>
  <c r="AB194" i="13"/>
  <c r="W194" i="13"/>
  <c r="X194" i="13" s="1"/>
  <c r="Y194" i="13" s="1"/>
  <c r="AB89" i="13"/>
  <c r="W89" i="13"/>
  <c r="X89" i="13" s="1"/>
  <c r="Y89" i="13" s="1"/>
  <c r="W193" i="13"/>
  <c r="X193" i="13" s="1"/>
  <c r="Y193" i="13" s="1"/>
  <c r="AB186" i="13"/>
  <c r="W186" i="13"/>
  <c r="X186" i="13" s="1"/>
  <c r="Y186" i="13" s="1"/>
  <c r="AB216" i="13"/>
  <c r="W216" i="13"/>
  <c r="X216" i="13" s="1"/>
  <c r="Y216" i="13" s="1"/>
  <c r="W114" i="13"/>
  <c r="X114" i="13" s="1"/>
  <c r="Y114" i="13" s="1"/>
  <c r="AB114" i="13"/>
  <c r="AB82" i="13"/>
  <c r="W82" i="13"/>
  <c r="X82" i="13" s="1"/>
  <c r="Y82" i="13" s="1"/>
  <c r="AB124" i="13"/>
  <c r="W124" i="13"/>
  <c r="X124" i="13" s="1"/>
  <c r="Y124" i="13" s="1"/>
  <c r="W63" i="13"/>
  <c r="X63" i="13" s="1"/>
  <c r="Y63" i="13" s="1"/>
  <c r="AB63" i="13"/>
  <c r="AB231" i="13"/>
  <c r="W231" i="13"/>
  <c r="X231" i="13" s="1"/>
  <c r="Y231" i="13" s="1"/>
  <c r="AB134" i="13"/>
  <c r="W134" i="13"/>
  <c r="X134" i="13" s="1"/>
  <c r="Y134" i="13" s="1"/>
  <c r="AB132" i="13"/>
  <c r="W132" i="13"/>
  <c r="X132" i="13" s="1"/>
  <c r="Y132" i="13" s="1"/>
  <c r="W189" i="13"/>
  <c r="X189" i="13" s="1"/>
  <c r="Y189" i="13" s="1"/>
  <c r="W233" i="13"/>
  <c r="X233" i="13" s="1"/>
  <c r="Y233" i="13" s="1"/>
  <c r="AB233" i="13"/>
  <c r="AB111" i="13"/>
  <c r="W111" i="13"/>
  <c r="X111" i="13" s="1"/>
  <c r="Y111" i="13" s="1"/>
  <c r="AB224" i="13"/>
  <c r="W224" i="13"/>
  <c r="X224" i="13" s="1"/>
  <c r="Y224" i="13" s="1"/>
  <c r="AB105" i="13"/>
  <c r="W105" i="13"/>
  <c r="X105" i="13" s="1"/>
  <c r="Y105" i="13" s="1"/>
  <c r="AB223" i="13"/>
  <c r="W223" i="13"/>
  <c r="X223" i="13" s="1"/>
  <c r="Y223" i="13" s="1"/>
  <c r="AB230" i="13"/>
  <c r="W230" i="13"/>
  <c r="X230" i="13" s="1"/>
  <c r="Y230" i="13" s="1"/>
  <c r="AB136" i="13"/>
  <c r="W136" i="13"/>
  <c r="X136" i="13" s="1"/>
  <c r="Y136" i="13" s="1"/>
  <c r="AB79" i="13"/>
  <c r="W79" i="13"/>
  <c r="X79" i="13" s="1"/>
  <c r="Y79" i="13" s="1"/>
  <c r="AB207" i="13"/>
  <c r="W207" i="13"/>
  <c r="X207" i="13" s="1"/>
  <c r="Y207" i="13" s="1"/>
  <c r="AB84" i="13"/>
  <c r="W84" i="13"/>
  <c r="X84" i="13" s="1"/>
  <c r="Y84" i="13" s="1"/>
  <c r="AB62" i="13"/>
  <c r="W62" i="13"/>
  <c r="X62" i="13" s="1"/>
  <c r="Y62" i="13" s="1"/>
  <c r="W85" i="13"/>
  <c r="X85" i="13" s="1"/>
  <c r="Y85" i="13" s="1"/>
  <c r="AB85" i="13"/>
  <c r="W170" i="13"/>
  <c r="X170" i="13" s="1"/>
  <c r="Y170" i="13" s="1"/>
  <c r="AB170" i="13"/>
  <c r="AB232" i="13"/>
  <c r="W232" i="13"/>
  <c r="X232" i="13" s="1"/>
  <c r="Y232" i="13" s="1"/>
  <c r="AB228" i="13"/>
  <c r="W228" i="13"/>
  <c r="X228" i="13" s="1"/>
  <c r="Y228" i="13" s="1"/>
  <c r="AB116" i="13"/>
  <c r="W116" i="13"/>
  <c r="X116" i="13" s="1"/>
  <c r="Y116" i="13" s="1"/>
  <c r="AB127" i="13"/>
  <c r="AB164" i="13"/>
  <c r="W164" i="13"/>
  <c r="X164" i="13" s="1"/>
  <c r="Y164" i="13" s="1"/>
  <c r="AB184" i="13"/>
  <c r="W184" i="13"/>
  <c r="X184" i="13" s="1"/>
  <c r="Y184" i="13" s="1"/>
  <c r="AB121" i="13"/>
  <c r="W121" i="13"/>
  <c r="X121" i="13" s="1"/>
  <c r="Y121" i="13" s="1"/>
  <c r="AB225" i="13"/>
  <c r="W225" i="13"/>
  <c r="X225" i="13" s="1"/>
  <c r="Y225" i="13" s="1"/>
  <c r="AB67" i="13"/>
  <c r="W67" i="13"/>
  <c r="X67" i="13" s="1"/>
  <c r="Y67" i="13" s="1"/>
  <c r="AB130" i="13"/>
  <c r="W130" i="13"/>
  <c r="X130" i="13" s="1"/>
  <c r="Y130" i="13" s="1"/>
  <c r="S246" i="13"/>
  <c r="T246" i="13" s="1"/>
  <c r="V246" i="13" s="1"/>
  <c r="W246" i="13" s="1"/>
  <c r="X246" i="13" s="1"/>
  <c r="Y246" i="13" s="1"/>
  <c r="AB70" i="13"/>
  <c r="W70" i="13"/>
  <c r="X70" i="13" s="1"/>
  <c r="Y70" i="13" s="1"/>
  <c r="AB137" i="13"/>
  <c r="W137" i="13"/>
  <c r="X137" i="13" s="1"/>
  <c r="Y137" i="13" s="1"/>
  <c r="AB198" i="13"/>
  <c r="W198" i="13"/>
  <c r="X198" i="13" s="1"/>
  <c r="Y198" i="13" s="1"/>
  <c r="AB209" i="13"/>
  <c r="W209" i="13"/>
  <c r="X209" i="13" s="1"/>
  <c r="Y209" i="13" s="1"/>
  <c r="W126" i="13"/>
  <c r="X126" i="13" s="1"/>
  <c r="Y126" i="13" s="1"/>
  <c r="AB126" i="13"/>
  <c r="AB197" i="13"/>
  <c r="W197" i="13"/>
  <c r="X197" i="13" s="1"/>
  <c r="Y197" i="13" s="1"/>
  <c r="W185" i="13"/>
  <c r="X185" i="13" s="1"/>
  <c r="Y185" i="13" s="1"/>
  <c r="AB185" i="13"/>
  <c r="AB208" i="13"/>
  <c r="W208" i="13"/>
  <c r="X208" i="13" s="1"/>
  <c r="Y208" i="13" s="1"/>
  <c r="AB249" i="13"/>
  <c r="W249" i="13"/>
  <c r="X249" i="13" s="1"/>
  <c r="Y249" i="13" s="1"/>
  <c r="AB173" i="13"/>
  <c r="W173" i="13"/>
  <c r="X173" i="13" s="1"/>
  <c r="Y173" i="13" s="1"/>
  <c r="AB76" i="13"/>
  <c r="W76" i="13"/>
  <c r="X76" i="13" s="1"/>
  <c r="Y76" i="13" s="1"/>
  <c r="AB248" i="13"/>
  <c r="W248" i="13"/>
  <c r="X248" i="13" s="1"/>
  <c r="Y248" i="13" s="1"/>
  <c r="AB175" i="13"/>
  <c r="W175" i="13"/>
  <c r="X175" i="13" s="1"/>
  <c r="Y175" i="13" s="1"/>
  <c r="W220" i="13"/>
  <c r="X220" i="13" s="1"/>
  <c r="Y220" i="13" s="1"/>
  <c r="AB220" i="13"/>
  <c r="AB113" i="13"/>
  <c r="W113" i="13"/>
  <c r="X113" i="13" s="1"/>
  <c r="Y113" i="13" s="1"/>
  <c r="AB196" i="13"/>
  <c r="W196" i="13"/>
  <c r="X196" i="13" s="1"/>
  <c r="Y196" i="13" s="1"/>
  <c r="AB95" i="13"/>
  <c r="W95" i="13"/>
  <c r="X95" i="13" s="1"/>
  <c r="Y95" i="13" s="1"/>
  <c r="W176" i="13"/>
  <c r="X176" i="13" s="1"/>
  <c r="Y176" i="13" s="1"/>
  <c r="AB176" i="13"/>
  <c r="AB221" i="13"/>
  <c r="W221" i="13"/>
  <c r="X221" i="13" s="1"/>
  <c r="Y221" i="13" s="1"/>
  <c r="W183" i="13"/>
  <c r="X183" i="13" s="1"/>
  <c r="Y183" i="13" s="1"/>
  <c r="AB183" i="13"/>
  <c r="AB160" i="13"/>
  <c r="AB91" i="13"/>
  <c r="W91" i="13"/>
  <c r="X91" i="13" s="1"/>
  <c r="Y91" i="13" s="1"/>
  <c r="AB101" i="13"/>
  <c r="W101" i="13"/>
  <c r="X101" i="13" s="1"/>
  <c r="Y101" i="13" s="1"/>
  <c r="W93" i="13"/>
  <c r="X93" i="13" s="1"/>
  <c r="Y93" i="13" s="1"/>
  <c r="AB93" i="13"/>
  <c r="W204" i="13"/>
  <c r="X204" i="13" s="1"/>
  <c r="Y204" i="13" s="1"/>
  <c r="AB204" i="13"/>
  <c r="AB66" i="13"/>
  <c r="W66" i="13"/>
  <c r="X66" i="13" s="1"/>
  <c r="Y66" i="13" s="1"/>
  <c r="W103" i="13"/>
  <c r="X103" i="13" s="1"/>
  <c r="Y103" i="13" s="1"/>
  <c r="AB103" i="13"/>
  <c r="AB104" i="13"/>
  <c r="W104" i="13"/>
  <c r="X104" i="13" s="1"/>
  <c r="Y104" i="13" s="1"/>
  <c r="W215" i="13"/>
  <c r="X215" i="13" s="1"/>
  <c r="Y215" i="13" s="1"/>
  <c r="W187" i="13"/>
  <c r="X187" i="13" s="1"/>
  <c r="Y187" i="13" s="1"/>
  <c r="AB187" i="13"/>
  <c r="AB115" i="13"/>
  <c r="W115" i="13"/>
  <c r="X115" i="13" s="1"/>
  <c r="Y115" i="13" s="1"/>
  <c r="AB210" i="13"/>
  <c r="W210" i="13"/>
  <c r="X210" i="13" s="1"/>
  <c r="Y210" i="13" s="1"/>
  <c r="W222" i="13"/>
  <c r="X222" i="13" s="1"/>
  <c r="Y222" i="13" s="1"/>
  <c r="X20" i="13"/>
  <c r="W74" i="13"/>
  <c r="X74" i="13" s="1"/>
  <c r="Y74" i="13" s="1"/>
  <c r="AB74" i="13"/>
  <c r="AB140" i="13"/>
  <c r="W140" i="13"/>
  <c r="X140" i="13" s="1"/>
  <c r="Y140" i="13" s="1"/>
  <c r="W165" i="13" l="1"/>
  <c r="X165" i="13" s="1"/>
  <c r="Y165" i="13" s="1"/>
  <c r="AB86" i="13"/>
  <c r="AB99" i="13"/>
  <c r="AB226" i="13"/>
  <c r="AB169" i="13"/>
  <c r="AB174" i="13"/>
  <c r="W108" i="13"/>
  <c r="X108" i="13" s="1"/>
  <c r="Y108" i="13" s="1"/>
  <c r="W139" i="13"/>
  <c r="X139" i="13" s="1"/>
  <c r="Y139" i="13" s="1"/>
  <c r="W227" i="13"/>
  <c r="X227" i="13" s="1"/>
  <c r="Y227" i="13" s="1"/>
  <c r="W177" i="13"/>
  <c r="X177" i="13" s="1"/>
  <c r="Y177" i="13" s="1"/>
  <c r="W73" i="13"/>
  <c r="X73" i="13" s="1"/>
  <c r="Y73" i="13" s="1"/>
  <c r="W72" i="13"/>
  <c r="X72" i="13" s="1"/>
  <c r="Y72" i="13" s="1"/>
  <c r="AB75" i="13"/>
  <c r="AB78" i="13"/>
  <c r="AB118" i="13"/>
  <c r="W179" i="13"/>
  <c r="X179" i="13" s="1"/>
  <c r="Y179" i="13" s="1"/>
  <c r="AB90" i="13"/>
  <c r="W69" i="13"/>
  <c r="X69" i="13" s="1"/>
  <c r="Y69" i="13" s="1"/>
  <c r="W182" i="13"/>
  <c r="X182" i="13" s="1"/>
  <c r="Y182" i="13" s="1"/>
  <c r="AB65" i="13"/>
  <c r="AB122" i="13"/>
  <c r="W180" i="13"/>
  <c r="X180" i="13" s="1"/>
  <c r="Y180" i="13" s="1"/>
  <c r="AB131" i="13"/>
  <c r="AB159" i="13"/>
  <c r="W98" i="13"/>
  <c r="X98" i="13" s="1"/>
  <c r="Y98" i="13" s="1"/>
  <c r="AB64" i="13"/>
  <c r="AB109" i="13"/>
  <c r="AB120" i="13"/>
  <c r="AB199" i="13"/>
  <c r="W162" i="13"/>
  <c r="X162" i="13" s="1"/>
  <c r="Y162" i="13" s="1"/>
  <c r="AB123" i="13"/>
  <c r="W161" i="13"/>
  <c r="X161" i="13" s="1"/>
  <c r="Y161" i="13" s="1"/>
  <c r="W138" i="13"/>
  <c r="X138" i="13" s="1"/>
  <c r="Y138" i="13" s="1"/>
  <c r="W172" i="13"/>
  <c r="X172" i="13" s="1"/>
  <c r="Y172" i="13" s="1"/>
  <c r="W68" i="13"/>
  <c r="X68" i="13" s="1"/>
  <c r="Y68" i="13" s="1"/>
  <c r="W229" i="13"/>
  <c r="X229" i="13" s="1"/>
  <c r="Y229" i="13" s="1"/>
  <c r="AB117" i="13"/>
  <c r="W96" i="13"/>
  <c r="X96" i="13" s="1"/>
  <c r="Y96" i="13" s="1"/>
  <c r="AB80" i="13"/>
  <c r="AB119" i="13"/>
  <c r="AB112" i="13"/>
  <c r="W71" i="13"/>
  <c r="X71" i="13" s="1"/>
  <c r="Y71" i="13" s="1"/>
  <c r="AB201" i="13"/>
  <c r="AB171" i="13"/>
  <c r="AB88" i="13"/>
  <c r="AB163" i="13"/>
  <c r="AB202" i="13"/>
  <c r="W234" i="13"/>
  <c r="X234" i="13" s="1"/>
  <c r="Y234" i="13" s="1"/>
  <c r="W195" i="13"/>
  <c r="X195" i="13" s="1"/>
  <c r="Y195" i="13" s="1"/>
  <c r="W212" i="13"/>
  <c r="X212" i="13" s="1"/>
  <c r="Y212" i="13" s="1"/>
  <c r="AB102" i="13"/>
  <c r="W200" i="13"/>
  <c r="X200" i="13" s="1"/>
  <c r="Y200" i="13" s="1"/>
  <c r="W87" i="13"/>
  <c r="X87" i="13" s="1"/>
  <c r="Y87" i="13" s="1"/>
  <c r="AB214" i="13"/>
  <c r="W107" i="13"/>
  <c r="X107" i="13" s="1"/>
  <c r="Y107" i="13" s="1"/>
  <c r="AB211" i="13"/>
  <c r="AB83" i="13"/>
  <c r="AA256" i="13"/>
  <c r="AB166" i="13"/>
  <c r="AB81" i="13"/>
  <c r="AB203" i="13"/>
  <c r="AB192" i="13"/>
  <c r="W219" i="13"/>
  <c r="X219" i="13" s="1"/>
  <c r="Y219" i="13" s="1"/>
  <c r="AB97" i="13"/>
  <c r="AB188" i="13"/>
  <c r="T21" i="7"/>
  <c r="R25" i="7"/>
  <c r="T25" i="7"/>
  <c r="AB206" i="13"/>
  <c r="AB218" i="13"/>
  <c r="W158" i="13"/>
  <c r="X158" i="13" s="1"/>
  <c r="AB167" i="13"/>
  <c r="W235" i="13"/>
  <c r="X235" i="13" s="1"/>
  <c r="Y235" i="13" s="1"/>
  <c r="W106" i="13"/>
  <c r="X106" i="13" s="1"/>
  <c r="Y106" i="13" s="1"/>
  <c r="R38" i="7"/>
  <c r="T38" i="7"/>
  <c r="R37" i="7"/>
  <c r="T37" i="7"/>
  <c r="W58" i="13"/>
  <c r="AB190" i="13"/>
  <c r="AB133" i="13"/>
  <c r="W178" i="13"/>
  <c r="X178" i="13" s="1"/>
  <c r="Y178" i="13" s="1"/>
  <c r="AB217" i="13"/>
  <c r="R42" i="7"/>
  <c r="T42" i="7"/>
  <c r="R26" i="7"/>
  <c r="T26" i="7"/>
  <c r="R22" i="7"/>
  <c r="Q35" i="7"/>
  <c r="T22" i="7"/>
  <c r="T23" i="7"/>
  <c r="R23" i="7"/>
  <c r="R24" i="7"/>
  <c r="T24" i="7"/>
  <c r="R39" i="7"/>
  <c r="T39" i="7"/>
  <c r="R32" i="7"/>
  <c r="T32" i="7"/>
  <c r="R36" i="7"/>
  <c r="Q44" i="7"/>
  <c r="T36" i="7"/>
  <c r="R29" i="7"/>
  <c r="T29" i="7"/>
  <c r="R27" i="7"/>
  <c r="T27" i="7"/>
  <c r="R21" i="7"/>
  <c r="R40" i="7"/>
  <c r="T40" i="7"/>
  <c r="R33" i="7"/>
  <c r="T33" i="7"/>
  <c r="R31" i="7"/>
  <c r="T31" i="7"/>
  <c r="R28" i="7"/>
  <c r="T28" i="7"/>
  <c r="R30" i="7"/>
  <c r="T30" i="7"/>
  <c r="R41" i="7"/>
  <c r="T41" i="7"/>
  <c r="X64" i="13"/>
  <c r="X58" i="13"/>
  <c r="Y20" i="13"/>
  <c r="Y58" i="13" s="1"/>
  <c r="Q45" i="7" l="1"/>
  <c r="W251" i="13"/>
  <c r="T35" i="7"/>
  <c r="R44" i="7"/>
  <c r="T44" i="7"/>
  <c r="W154" i="13"/>
  <c r="W256" i="13" s="1"/>
  <c r="R35" i="7"/>
  <c r="X154" i="13"/>
  <c r="Y64" i="13"/>
  <c r="Y154" i="13" s="1"/>
  <c r="AA155" i="13" s="1"/>
  <c r="X251" i="13"/>
  <c r="Y158" i="13"/>
  <c r="Y251" i="13" s="1"/>
  <c r="T45" i="7" l="1"/>
  <c r="R45" i="7"/>
  <c r="B60" i="4" s="1"/>
  <c r="B61" i="4" s="1"/>
  <c r="C65" i="4" s="1"/>
  <c r="X256" i="13"/>
  <c r="Y256" i="13"/>
</calcChain>
</file>

<file path=xl/comments1.xml><?xml version="1.0" encoding="utf-8"?>
<comments xmlns="http://schemas.openxmlformats.org/spreadsheetml/2006/main">
  <authors>
    <author>Allied Waste</author>
  </authors>
  <commentList>
    <comment ref="L5" authorId="0">
      <text>
        <r>
          <rPr>
            <b/>
            <sz val="8"/>
            <color indexed="81"/>
            <rFont val="Tahoma"/>
            <family val="2"/>
          </rPr>
          <t>Allied Waste: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These are regulated garbage disposal tons
</t>
        </r>
      </text>
    </comment>
  </commentList>
</comments>
</file>

<file path=xl/sharedStrings.xml><?xml version="1.0" encoding="utf-8"?>
<sst xmlns="http://schemas.openxmlformats.org/spreadsheetml/2006/main" count="664" uniqueCount="352">
  <si>
    <t>Monthly Frequency</t>
  </si>
  <si>
    <t>Annual PU's</t>
  </si>
  <si>
    <t>Gross Up</t>
  </si>
  <si>
    <t>Totals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</si>
  <si>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</si>
  <si>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</si>
  <si>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</si>
  <si>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</si>
  <si>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</si>
  <si>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</si>
  <si>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</si>
  <si>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</si>
  <si>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</si>
  <si>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</si>
  <si>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</si>
  <si>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</si>
  <si>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</si>
  <si>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</si>
  <si>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</si>
  <si>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</si>
  <si>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</si>
  <si>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</si>
  <si>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</si>
  <si>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</si>
  <si>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</si>
  <si>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</si>
  <si>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</si>
  <si>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</si>
  <si>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</si>
  <si>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</si>
  <si>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</si>
  <si>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</si>
  <si>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</si>
  <si>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</si>
  <si>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</si>
  <si>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</si>
  <si>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</si>
  <si>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Staff Calculated Rate</t>
  </si>
  <si>
    <t>Company Proposed Tariff</t>
  </si>
  <si>
    <t>Company Proposed Revenue</t>
  </si>
  <si>
    <t>Company Current Tariff</t>
  </si>
  <si>
    <t>Company Current Revenue</t>
  </si>
  <si>
    <t>Staff Calculated Revenue</t>
  </si>
  <si>
    <t>Monthly Customers</t>
  </si>
  <si>
    <t xml:space="preserve"> Company Over/(Under) collecting</t>
  </si>
  <si>
    <t>Tariff Rate Increase</t>
  </si>
  <si>
    <t>Company Increased Revenue</t>
  </si>
  <si>
    <t>Revised Tariff Rate</t>
  </si>
  <si>
    <t>Revised Revenue Increase</t>
  </si>
  <si>
    <t>Revised Revenue</t>
  </si>
  <si>
    <t>1 unit</t>
  </si>
  <si>
    <t>2 units</t>
  </si>
  <si>
    <t>3 units</t>
  </si>
  <si>
    <t>n/a</t>
  </si>
  <si>
    <t>Revenue from Revised Rates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</si>
  <si>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</si>
  <si>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</si>
  <si>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</si>
  <si>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</si>
  <si>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</si>
  <si>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</si>
  <si>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</si>
  <si>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</si>
  <si>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</si>
  <si>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</si>
  <si>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</si>
  <si>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</si>
  <si>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</si>
  <si>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</si>
  <si>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</si>
  <si>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</si>
  <si>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</si>
  <si>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</si>
  <si>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</si>
  <si>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</si>
  <si>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</si>
  <si>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</si>
  <si>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</si>
  <si>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</si>
  <si>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</si>
  <si>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</si>
  <si>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</si>
  <si>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</si>
  <si>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</si>
  <si>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</si>
  <si>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</si>
  <si>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</si>
  <si>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</si>
  <si>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</si>
  <si>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</si>
  <si>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</si>
  <si>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</si>
  <si>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Res'l &amp; Com'l</t>
  </si>
  <si>
    <t>Revenue Inc from Co Proposed Rates</t>
  </si>
  <si>
    <t>Company Proposed Rates</t>
  </si>
  <si>
    <t>Staff Revised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</si>
  <si>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</si>
  <si>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</si>
  <si>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</si>
  <si>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</si>
  <si>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</si>
  <si>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Comments</t>
  </si>
  <si>
    <t>Not on Meeks</t>
  </si>
  <si>
    <t>Differ from Company</t>
  </si>
  <si>
    <t>35 gallon Can</t>
  </si>
  <si>
    <t>Calculated Annual PUs based on freq</t>
  </si>
  <si>
    <t>na - multiple pickups not on tariff</t>
  </si>
  <si>
    <t>Current</t>
  </si>
  <si>
    <t>Proposed</t>
  </si>
  <si>
    <t>Tariff</t>
  </si>
  <si>
    <t>Company</t>
  </si>
  <si>
    <t>Proposed Increase</t>
  </si>
  <si>
    <t>Each</t>
  </si>
  <si>
    <t>1 Can Monthly</t>
  </si>
  <si>
    <t>Annual</t>
  </si>
  <si>
    <t>Unit</t>
  </si>
  <si>
    <t>Revenue</t>
  </si>
  <si>
    <t>* not on meeks - calculated by staff in previous cases</t>
  </si>
  <si>
    <t>1 Mini Can</t>
  </si>
  <si>
    <t>1 Can wk</t>
  </si>
  <si>
    <t>2  Can wk</t>
  </si>
  <si>
    <t>3 Can wk</t>
  </si>
  <si>
    <t>4 Can wk</t>
  </si>
  <si>
    <t>32 Gal Tote wk</t>
  </si>
  <si>
    <t>6 yd  On Call</t>
  </si>
  <si>
    <t>6 yd 1xweek</t>
  </si>
  <si>
    <t>6 yd 2xweek</t>
  </si>
  <si>
    <t>8 yd   On Call</t>
  </si>
  <si>
    <t>8 yd  1xweek</t>
  </si>
  <si>
    <t>8 yd  2xweek</t>
  </si>
  <si>
    <t xml:space="preserve">32 Gal Toter 1xweek </t>
  </si>
  <si>
    <t xml:space="preserve">64 Gal Toter 1xweek  </t>
  </si>
  <si>
    <t>96 Gal Toter 1xweek</t>
  </si>
  <si>
    <t>1 yd  1xweek</t>
  </si>
  <si>
    <t>2yd On Call</t>
  </si>
  <si>
    <t>2 yd 1xweek</t>
  </si>
  <si>
    <t>2 yd 2xweek</t>
  </si>
  <si>
    <t>3 yd  On Call</t>
  </si>
  <si>
    <t>3 yd 1xweek</t>
  </si>
  <si>
    <t>3 yd 2xweek</t>
  </si>
  <si>
    <t>3 yd 3xweek</t>
  </si>
  <si>
    <t>4 yd On Call</t>
  </si>
  <si>
    <t>4 yd 1xweek</t>
  </si>
  <si>
    <t>4 yd 2xweek</t>
  </si>
  <si>
    <t>4 yd 3xweek</t>
  </si>
  <si>
    <t>Multi-Family</t>
  </si>
  <si>
    <t>King County</t>
  </si>
  <si>
    <t>1 yd  2xweek</t>
  </si>
  <si>
    <t>20 Gallon Can</t>
  </si>
  <si>
    <t>1 Can</t>
  </si>
  <si>
    <t>2 Can</t>
  </si>
  <si>
    <t>3 Can</t>
  </si>
  <si>
    <t>32 Gal Toter</t>
  </si>
  <si>
    <t>64 Gal Toter</t>
  </si>
  <si>
    <t>96 Gal Toter</t>
  </si>
  <si>
    <t>4 Can</t>
  </si>
  <si>
    <t>32 Gallon First Pickup</t>
  </si>
  <si>
    <t>64 Gallon First Pickup</t>
  </si>
  <si>
    <t>96 Gallon First Pickup</t>
  </si>
  <si>
    <t>1 Yard First Pickup</t>
  </si>
  <si>
    <t>1.5 Yard First Pickup</t>
  </si>
  <si>
    <t>2 Yard First Pickup</t>
  </si>
  <si>
    <t>3 Yard First Pickup</t>
  </si>
  <si>
    <t>4 Yard First Pickup</t>
  </si>
  <si>
    <t>6 Yard First Pickup</t>
  </si>
  <si>
    <t>8 Yard First Pickup</t>
  </si>
  <si>
    <t>Rabanco dba SeaTac Disposal</t>
  </si>
  <si>
    <t>5 Can wk</t>
  </si>
  <si>
    <t>6 Can wk</t>
  </si>
  <si>
    <t>64 Gal Tote wk</t>
  </si>
  <si>
    <t>96 Gal Tote wk</t>
  </si>
  <si>
    <t>3 Yard Pickup Temp</t>
  </si>
  <si>
    <t>8 Yard Pickup Temp</t>
  </si>
  <si>
    <t>Allied Waste of SeaTac</t>
  </si>
  <si>
    <t>Adj Factor</t>
  </si>
  <si>
    <t>C.O.S.</t>
  </si>
  <si>
    <t>INPUTS</t>
  </si>
  <si>
    <t>RES/COMM</t>
  </si>
  <si>
    <t>COMM'L</t>
  </si>
  <si>
    <t>DROPBOX</t>
  </si>
  <si>
    <t>TOTAL ALL SERVICES</t>
  </si>
  <si>
    <t xml:space="preserve"> RESIDENTIAL</t>
  </si>
  <si>
    <t xml:space="preserve"> COMM. CANS</t>
  </si>
  <si>
    <t>Current Disposal Rate</t>
  </si>
  <si>
    <t>Current B&amp;O Tax Rate</t>
  </si>
  <si>
    <t xml:space="preserve"> CONTAINERS</t>
  </si>
  <si>
    <t>Jan 1, 2012 Disposal Rate</t>
  </si>
  <si>
    <t>Current WUTC Fee Rate</t>
  </si>
  <si>
    <t>Difference</t>
  </si>
  <si>
    <t>Total Revenue Tax</t>
  </si>
  <si>
    <t>Per Lb Difference</t>
  </si>
  <si>
    <t>No. of</t>
  </si>
  <si>
    <t>Pickup</t>
  </si>
  <si>
    <t xml:space="preserve">Current </t>
  </si>
  <si>
    <t>adjust</t>
  </si>
  <si>
    <t>Calculated</t>
  </si>
  <si>
    <t>Actual</t>
  </si>
  <si>
    <t xml:space="preserve"> </t>
  </si>
  <si>
    <t>Cust.</t>
  </si>
  <si>
    <t>Freq</t>
  </si>
  <si>
    <t>Monthly</t>
  </si>
  <si>
    <t>Lbs.</t>
  </si>
  <si>
    <t xml:space="preserve">unit </t>
  </si>
  <si>
    <t>Disposal</t>
  </si>
  <si>
    <t xml:space="preserve">PER </t>
  </si>
  <si>
    <t>PER</t>
  </si>
  <si>
    <t>Rev Tax</t>
  </si>
  <si>
    <t>TOTAL</t>
  </si>
  <si>
    <t>Current Rates</t>
  </si>
  <si>
    <t>Per</t>
  </si>
  <si>
    <t>Tons</t>
  </si>
  <si>
    <t>PICKUP</t>
  </si>
  <si>
    <t>MONTH</t>
  </si>
  <si>
    <t>Impact</t>
  </si>
  <si>
    <t xml:space="preserve">MONTHLY </t>
  </si>
  <si>
    <t>w/Disposal Increase</t>
  </si>
  <si>
    <t>Monthly Revenue</t>
  </si>
  <si>
    <t>Annual Revenue</t>
  </si>
  <si>
    <t>Annual Disposal</t>
  </si>
  <si>
    <t>Year</t>
  </si>
  <si>
    <t>Rate</t>
  </si>
  <si>
    <t>CHANGE</t>
  </si>
  <si>
    <t>Tariff 26</t>
  </si>
  <si>
    <t>Mini Can Rental</t>
  </si>
  <si>
    <t>1 Can Rental</t>
  </si>
  <si>
    <t>32 Gal Toter Rental</t>
  </si>
  <si>
    <t>60 Gal Toter Rental</t>
  </si>
  <si>
    <t>90 Gal Toter Rental</t>
  </si>
  <si>
    <t>total residential</t>
  </si>
  <si>
    <t>COMMERCIAL-Tariff 26</t>
  </si>
  <si>
    <t>#</t>
  </si>
  <si>
    <t>pu</t>
  </si>
  <si>
    <t>yds</t>
  </si>
  <si>
    <t>1 yd Comp Week (5x Comp)</t>
  </si>
  <si>
    <t>1 yd  on call</t>
  </si>
  <si>
    <t>1.5 yd On Call</t>
  </si>
  <si>
    <t>1.5 yd 1xweek</t>
  </si>
  <si>
    <t>1.5 yd 2xweek</t>
  </si>
  <si>
    <t>1.5 yd 3xweek</t>
  </si>
  <si>
    <t>2 yd Comp Week (5x Comp)</t>
  </si>
  <si>
    <t>2 yd 3xweek</t>
  </si>
  <si>
    <t>2 yd 4xweek</t>
  </si>
  <si>
    <t>2 yd 5xweek</t>
  </si>
  <si>
    <t>2 yd 6xweek</t>
  </si>
  <si>
    <t>3 yd Comp Week</t>
  </si>
  <si>
    <t>3 yd Comp Week (5x Comp)</t>
  </si>
  <si>
    <t>3 yd 4xweek</t>
  </si>
  <si>
    <t>4 yd Comp Week</t>
  </si>
  <si>
    <t>4 yd Comp Week (5x Comp)</t>
  </si>
  <si>
    <t>4 yd 4xweek</t>
  </si>
  <si>
    <t>4 yd 6xweek</t>
  </si>
  <si>
    <t>5 yd Comp Week</t>
  </si>
  <si>
    <t>5 yd Comp Week (5x Comp)</t>
  </si>
  <si>
    <t>6 yd Comp Week</t>
  </si>
  <si>
    <t>6 yd Comp Week (5x Comp)</t>
  </si>
  <si>
    <t>6 yd 3xweek</t>
  </si>
  <si>
    <t>6 yd 4xweek</t>
  </si>
  <si>
    <t>8 yd  3xweek</t>
  </si>
  <si>
    <t>8 yd  4xweek</t>
  </si>
  <si>
    <t>8 yd  5xweek</t>
  </si>
  <si>
    <t>32 Gal Toter Rent</t>
  </si>
  <si>
    <t>64 Gal Toter Rent</t>
  </si>
  <si>
    <t>96 Gal Toter Rent</t>
  </si>
  <si>
    <t>1 yd Rent</t>
  </si>
  <si>
    <t>1.5 yd Rent</t>
  </si>
  <si>
    <t>2 yd Rent</t>
  </si>
  <si>
    <t>3 yd Rent</t>
  </si>
  <si>
    <t>4 yd Rent</t>
  </si>
  <si>
    <t>6 yd Rent</t>
  </si>
  <si>
    <t>8 yd Rent</t>
  </si>
  <si>
    <t xml:space="preserve">  Commercial Subtotal-Tariff 26</t>
  </si>
  <si>
    <t>Multi-Family-Tariff 4</t>
  </si>
  <si>
    <t xml:space="preserve">20 Gal Toter 1xweek </t>
  </si>
  <si>
    <t xml:space="preserve">  Multi-Family Subtotal-Tariff 26</t>
  </si>
  <si>
    <t>no customer</t>
  </si>
  <si>
    <t>5 Can</t>
  </si>
  <si>
    <t>32 Can or Bag, Extra</t>
  </si>
  <si>
    <t>20 Gallon</t>
  </si>
  <si>
    <t>32 Gallon</t>
  </si>
  <si>
    <t>20 Gallon Special</t>
  </si>
  <si>
    <t>32 Gallon Special</t>
  </si>
  <si>
    <t>64 Gallon Special</t>
  </si>
  <si>
    <t>96 Gallon Special</t>
  </si>
  <si>
    <t>1 Yard</t>
  </si>
  <si>
    <t>1 Yard Special</t>
  </si>
  <si>
    <t>1.5 Yard Special</t>
  </si>
  <si>
    <t>2 Yard Special</t>
  </si>
  <si>
    <t>3 Yard Special</t>
  </si>
  <si>
    <t>4 Yard Special</t>
  </si>
  <si>
    <t>6 Yard</t>
  </si>
  <si>
    <t>8 Yard Special</t>
  </si>
  <si>
    <t>3 Yard</t>
  </si>
  <si>
    <t>4 Yard</t>
  </si>
  <si>
    <t>5 Yard</t>
  </si>
  <si>
    <t>2 Yard</t>
  </si>
  <si>
    <t xml:space="preserve">Item 150, pg 38 </t>
  </si>
  <si>
    <t>Bulky</t>
  </si>
  <si>
    <t>Per Yard</t>
  </si>
  <si>
    <t>Loose Material</t>
  </si>
  <si>
    <t>1 Yard Pickup Temp</t>
  </si>
  <si>
    <t>1.5 Yard Pickup Temp</t>
  </si>
  <si>
    <t>2 Yard Pickup Temp</t>
  </si>
  <si>
    <t>4 Yard Pickup Temp</t>
  </si>
  <si>
    <t>6 Yard Pickup Temp</t>
  </si>
  <si>
    <t>No Customers</t>
  </si>
  <si>
    <t>32 Gal Special</t>
  </si>
  <si>
    <t>64 Gal Special</t>
  </si>
  <si>
    <t>96 Gal Special</t>
  </si>
  <si>
    <t>DF Effective 1/1/2019</t>
  </si>
  <si>
    <t>32 Gal Special Item 245</t>
  </si>
  <si>
    <t>3 yd Comp Week Special</t>
  </si>
  <si>
    <t>4 yd Comp Week Special</t>
  </si>
  <si>
    <t>5 yd Comp Week Special</t>
  </si>
  <si>
    <t>6 yd Comp Week Special</t>
  </si>
  <si>
    <t>1 yd Comp Week (5x Comp) Special</t>
  </si>
  <si>
    <t>2 yd Comp Week (5x Comp) Special</t>
  </si>
  <si>
    <t>3 yd Comp Week (5x Comp) Special</t>
  </si>
  <si>
    <t>4 yd Comp Week (5x Comp) Special</t>
  </si>
  <si>
    <t>5 yd Comp Week (5x Comp) Special</t>
  </si>
  <si>
    <t>6 yd Comp Week (5x Comp) Special</t>
  </si>
  <si>
    <t>RESIDENTIAL Appendix A</t>
  </si>
  <si>
    <t>RESIDENTIAL Appendix B</t>
  </si>
  <si>
    <t>1 Yard Temp</t>
  </si>
  <si>
    <t>1.5 Yard Temp</t>
  </si>
  <si>
    <t>2 Yard Temp</t>
  </si>
  <si>
    <t>3 Yard Temp</t>
  </si>
  <si>
    <t>4 Yard Temp</t>
  </si>
  <si>
    <t>6 Yard Temp</t>
  </si>
  <si>
    <t>8 Yard Temp</t>
  </si>
  <si>
    <t>6 Yard Sepcial</t>
  </si>
  <si>
    <t>Extra</t>
  </si>
  <si>
    <t>20 Gal Toter Special</t>
  </si>
  <si>
    <t>Current Bad Debt</t>
  </si>
  <si>
    <t>5 Yard Special</t>
  </si>
  <si>
    <t>6 Yard Special</t>
  </si>
  <si>
    <t>64 Gal Special Item 245</t>
  </si>
  <si>
    <t>64 Gal Item 245</t>
  </si>
  <si>
    <t>32 Gal Item 245</t>
  </si>
  <si>
    <t>96 Gal Item 245</t>
  </si>
  <si>
    <t>96 Gal Special Item 245</t>
  </si>
  <si>
    <t>Annual PU</t>
  </si>
  <si>
    <t xml:space="preserve">Item 100, pg 21 Appendix A </t>
  </si>
  <si>
    <t>Item 100, pg 22</t>
  </si>
  <si>
    <t>Item 100, pg 25 Appendix B</t>
  </si>
  <si>
    <t>Item 100, pg 26</t>
  </si>
  <si>
    <t>Item 105, pg 31</t>
  </si>
  <si>
    <t>Item 106, pg 34 Compacted</t>
  </si>
  <si>
    <t>Item 106, pg 35 Compacted</t>
  </si>
  <si>
    <t>Item 240, pg 45</t>
  </si>
  <si>
    <t>Item 245, pg 46</t>
  </si>
  <si>
    <t>Item 255, pg 47 Compacted</t>
  </si>
  <si>
    <t>Item 255, pg 48 Compacted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</si>
</sst>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#,##0.000_);\(#,##0.000\)"/>
    <numFmt numFmtId="173" formatCode="#,##0.0_);\(#,##0.0\)"/>
    <numFmt numFmtId="174" formatCode="0.000"/>
    <numFmt numFmtId="175" formatCode="0.0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theme="3" tint="0.3999755851924192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12"/>
      <name val="Arial"/>
      <family val="2"/>
    </font>
    <font>
      <sz val="12"/>
      <name val="SWISS"/>
    </font>
    <font>
      <b/>
      <sz val="8"/>
      <color indexed="45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sz val="10"/>
      <color indexed="81"/>
      <name val="Tahoma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8"/>
      <color rgb="FF0000FF"/>
      <name val="Arial"/>
      <family val="2"/>
    </font>
    <font>
      <sz val="8"/>
      <name val="Arial"/>
    </font>
  </fonts>
  <fills count="4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4" applyNumberFormat="0" applyAlignment="0" applyProtection="0"/>
    <xf numFmtId="0" fontId="32" fillId="24" borderId="4" applyNumberFormat="0" applyAlignment="0" applyProtection="0"/>
    <xf numFmtId="0" fontId="17" fillId="25" borderId="5" applyNumberFormat="0" applyAlignment="0" applyProtection="0"/>
    <xf numFmtId="0" fontId="17" fillId="26" borderId="6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7" applyNumberFormat="0" applyFill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0" borderId="10" applyNumberFormat="0" applyFill="0" applyAlignment="0" applyProtection="0"/>
    <xf numFmtId="0" fontId="24" fillId="0" borderId="11" applyNumberFormat="0" applyFill="0" applyAlignment="0" applyProtection="0"/>
    <xf numFmtId="0" fontId="38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4" applyNumberFormat="0" applyAlignment="0" applyProtection="0"/>
    <xf numFmtId="0" fontId="41" fillId="13" borderId="4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3" applyNumberFormat="0" applyFill="0" applyAlignment="0" applyProtection="0"/>
    <xf numFmtId="0" fontId="42" fillId="0" borderId="14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5" applyNumberFormat="0" applyFont="0" applyAlignment="0" applyProtection="0"/>
    <xf numFmtId="0" fontId="18" fillId="10" borderId="15" applyNumberFormat="0" applyFont="0" applyAlignment="0" applyProtection="0"/>
    <xf numFmtId="171" fontId="44" fillId="0" borderId="0" applyNumberFormat="0"/>
    <xf numFmtId="0" fontId="29" fillId="24" borderId="16" applyNumberFormat="0" applyAlignment="0" applyProtection="0"/>
    <xf numFmtId="0" fontId="24" fillId="24" borderId="17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" fillId="1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16" borderId="0" applyNumberFormat="0" applyBorder="0" applyAlignment="0" applyProtection="0"/>
    <xf numFmtId="0" fontId="48" fillId="24" borderId="4" applyNumberFormat="0" applyAlignment="0" applyProtection="0"/>
    <xf numFmtId="0" fontId="48" fillId="12" borderId="4" applyNumberFormat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7" applyNumberFormat="0" applyFill="0" applyAlignment="0" applyProtection="0"/>
    <xf numFmtId="0" fontId="50" fillId="0" borderId="28" applyNumberFormat="0" applyFill="0" applyAlignment="0" applyProtection="0"/>
    <xf numFmtId="0" fontId="23" fillId="0" borderId="10" applyNumberFormat="0" applyFill="0" applyAlignment="0" applyProtection="0"/>
    <xf numFmtId="0" fontId="51" fillId="0" borderId="10" applyNumberFormat="0" applyFill="0" applyAlignment="0" applyProtection="0"/>
    <xf numFmtId="0" fontId="24" fillId="0" borderId="29" applyNumberFormat="0" applyFill="0" applyAlignment="0" applyProtection="0"/>
    <xf numFmtId="0" fontId="52" fillId="0" borderId="30" applyNumberFormat="0" applyFill="0" applyAlignment="0" applyProtection="0"/>
    <xf numFmtId="0" fontId="53" fillId="0" borderId="31" applyNumberFormat="0" applyFill="0" applyAlignment="0" applyProtection="0"/>
    <xf numFmtId="0" fontId="54" fillId="13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10" borderId="15" applyNumberFormat="0" applyFont="0" applyAlignment="0" applyProtection="0"/>
    <xf numFmtId="0" fontId="49" fillId="10" borderId="15" applyNumberFormat="0" applyFont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7" fontId="56" fillId="0" borderId="0"/>
    <xf numFmtId="0" fontId="31" fillId="0" borderId="32" applyNumberFormat="0" applyFill="0" applyAlignment="0" applyProtection="0"/>
    <xf numFmtId="0" fontId="31" fillId="0" borderId="33" applyNumberFormat="0" applyFill="0" applyAlignment="0" applyProtection="0"/>
    <xf numFmtId="0" fontId="58" fillId="0" borderId="0"/>
    <xf numFmtId="43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39" borderId="0" applyProtection="0"/>
    <xf numFmtId="0" fontId="49" fillId="0" borderId="0"/>
    <xf numFmtId="0" fontId="8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8" borderId="0" applyNumberFormat="0" applyBorder="0" applyAlignment="0" applyProtection="0"/>
    <xf numFmtId="0" fontId="8" fillId="35" borderId="0" applyNumberFormat="0" applyBorder="0" applyAlignment="0" applyProtection="0"/>
    <xf numFmtId="0" fontId="14" fillId="22" borderId="0" applyNumberFormat="0" applyBorder="0" applyAlignment="0" applyProtection="0"/>
    <xf numFmtId="0" fontId="14" fillId="36" borderId="0" applyNumberFormat="0" applyBorder="0" applyAlignment="0" applyProtection="0"/>
    <xf numFmtId="0" fontId="52" fillId="0" borderId="0" applyNumberFormat="0" applyFill="0" applyBorder="0" applyAlignment="0" applyProtection="0"/>
    <xf numFmtId="0" fontId="25" fillId="8" borderId="4" applyNumberFormat="0" applyAlignment="0" applyProtection="0"/>
    <xf numFmtId="0" fontId="29" fillId="12" borderId="16" applyNumberFormat="0" applyAlignment="0" applyProtection="0"/>
    <xf numFmtId="37" fontId="71" fillId="0" borderId="0"/>
    <xf numFmtId="0" fontId="7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74" fillId="0" borderId="0"/>
    <xf numFmtId="43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0" fontId="74" fillId="10" borderId="15" applyNumberFormat="0" applyFont="0" applyAlignment="0" applyProtection="0"/>
    <xf numFmtId="9" fontId="74" fillId="0" borderId="0" applyFont="0" applyFill="0" applyBorder="0" applyAlignment="0" applyProtection="0"/>
  </cellStyleXfs>
  <cellXfs count="355">
    <xf numFmtId="0" fontId="0" fillId="0" borderId="0" xfId="0"/>
    <xf numFmtId="43" fontId="0" fillId="0" borderId="0" xfId="1" applyFont="1"/>
    <xf numFmtId="0" fontId="3" fillId="0" borderId="0" xfId="0" applyFont="1"/>
    <xf numFmtId="0" fontId="0" fillId="0" borderId="0" xfId="0" applyFont="1"/>
    <xf numFmtId="44" fontId="3" fillId="0" borderId="0" xfId="0" applyNumberFormat="1" applyFont="1"/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1" xfId="1" applyNumberFormat="1" applyFont="1" applyBorder="1"/>
    <xf numFmtId="166" fontId="0" fillId="0" borderId="0" xfId="1" applyNumberFormat="1" applyFont="1"/>
    <xf numFmtId="166" fontId="0" fillId="0" borderId="1" xfId="1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/>
    <xf numFmtId="0" fontId="3" fillId="6" borderId="1" xfId="0" applyFont="1" applyFill="1" applyBorder="1"/>
    <xf numFmtId="0" fontId="0" fillId="0" borderId="0" xfId="0" applyFont="1"/>
    <xf numFmtId="43" fontId="0" fillId="0" borderId="0" xfId="0" applyNumberFormat="1" applyFont="1"/>
    <xf numFmtId="0" fontId="3" fillId="0" borderId="0" xfId="0" applyFont="1"/>
    <xf numFmtId="166" fontId="0" fillId="0" borderId="0" xfId="1" applyNumberFormat="1" applyFont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43" fontId="0" fillId="0" borderId="0" xfId="1" applyFont="1" applyAlignment="1">
      <alignment horizontal="center"/>
    </xf>
    <xf numFmtId="164" fontId="0" fillId="0" borderId="0" xfId="2" applyNumberFormat="1" applyFont="1" applyBorder="1"/>
    <xf numFmtId="10" fontId="0" fillId="0" borderId="0" xfId="3" applyNumberFormat="1" applyFont="1" applyBorder="1"/>
    <xf numFmtId="43" fontId="0" fillId="0" borderId="0" xfId="1" applyFont="1" applyFill="1" applyBorder="1"/>
    <xf numFmtId="43" fontId="0" fillId="0" borderId="0" xfId="1" applyFont="1" applyBorder="1"/>
    <xf numFmtId="165" fontId="0" fillId="0" borderId="0" xfId="2" applyNumberFormat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3" fillId="0" borderId="0" xfId="0" applyFont="1" applyBorder="1" applyAlignment="1">
      <alignment horizontal="center"/>
    </xf>
    <xf numFmtId="43" fontId="0" fillId="0" borderId="0" xfId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0" fillId="6" borderId="1" xfId="0" applyFont="1" applyFill="1" applyBorder="1" applyAlignment="1">
      <alignment vertical="center" textRotation="90"/>
    </xf>
    <xf numFmtId="0" fontId="12" fillId="6" borderId="1" xfId="4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right"/>
    </xf>
    <xf numFmtId="43" fontId="0" fillId="6" borderId="1" xfId="1" applyFont="1" applyFill="1" applyBorder="1"/>
    <xf numFmtId="166" fontId="3" fillId="0" borderId="1" xfId="1" applyNumberFormat="1" applyFont="1" applyBorder="1" applyAlignment="1">
      <alignment horizontal="center"/>
    </xf>
    <xf numFmtId="44" fontId="0" fillId="0" borderId="0" xfId="1" applyNumberFormat="1" applyFont="1" applyFill="1" applyBorder="1"/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4" applyFont="1" applyFill="1" applyBorder="1" applyAlignment="1">
      <alignment horizontal="left"/>
    </xf>
    <xf numFmtId="166" fontId="3" fillId="0" borderId="0" xfId="1" applyNumberFormat="1" applyFont="1" applyBorder="1" applyAlignment="1">
      <alignment horizontal="right"/>
    </xf>
    <xf numFmtId="0" fontId="9" fillId="0" borderId="0" xfId="274" applyFont="1" applyBorder="1" applyAlignment="1">
      <alignment horizontal="left"/>
    </xf>
    <xf numFmtId="166" fontId="0" fillId="5" borderId="0" xfId="1" applyNumberFormat="1" applyFont="1" applyFill="1" applyBorder="1" applyAlignment="1">
      <alignment horizontal="right"/>
    </xf>
    <xf numFmtId="44" fontId="0" fillId="0" borderId="0" xfId="2" applyFont="1" applyFill="1" applyBorder="1"/>
    <xf numFmtId="166" fontId="0" fillId="0" borderId="0" xfId="1" applyNumberFormat="1" applyFont="1" applyFill="1" applyBorder="1"/>
    <xf numFmtId="43" fontId="0" fillId="0" borderId="0" xfId="1" applyNumberFormat="1" applyFont="1" applyFill="1" applyBorder="1"/>
    <xf numFmtId="43" fontId="0" fillId="0" borderId="3" xfId="1" applyNumberFormat="1" applyFont="1" applyFill="1" applyBorder="1"/>
    <xf numFmtId="44" fontId="0" fillId="2" borderId="0" xfId="2" applyFont="1" applyFill="1" applyBorder="1"/>
    <xf numFmtId="44" fontId="0" fillId="0" borderId="3" xfId="2" applyFont="1" applyFill="1" applyBorder="1"/>
    <xf numFmtId="44" fontId="3" fillId="6" borderId="1" xfId="2" applyFont="1" applyFill="1" applyBorder="1"/>
    <xf numFmtId="44" fontId="0" fillId="6" borderId="1" xfId="2" applyFont="1" applyFill="1" applyBorder="1"/>
    <xf numFmtId="44" fontId="3" fillId="0" borderId="0" xfId="2" applyFont="1" applyBorder="1" applyAlignment="1">
      <alignment horizontal="right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11" fillId="0" borderId="0" xfId="274" applyFont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0" fontId="9" fillId="0" borderId="0" xfId="4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44" fontId="0" fillId="0" borderId="0" xfId="2" applyFont="1" applyBorder="1"/>
    <xf numFmtId="0" fontId="3" fillId="0" borderId="20" xfId="0" applyFont="1" applyBorder="1"/>
    <xf numFmtId="0" fontId="0" fillId="6" borderId="25" xfId="0" applyFont="1" applyFill="1" applyBorder="1" applyAlignment="1">
      <alignment horizontal="center"/>
    </xf>
    <xf numFmtId="0" fontId="0" fillId="0" borderId="21" xfId="0" applyFont="1" applyBorder="1"/>
    <xf numFmtId="44" fontId="0" fillId="0" borderId="22" xfId="2" applyFont="1" applyBorder="1"/>
    <xf numFmtId="0" fontId="0" fillId="0" borderId="22" xfId="0" applyFont="1" applyBorder="1"/>
    <xf numFmtId="0" fontId="3" fillId="0" borderId="21" xfId="0" applyFont="1" applyBorder="1"/>
    <xf numFmtId="0" fontId="0" fillId="6" borderId="26" xfId="0" applyFont="1" applyFill="1" applyBorder="1" applyAlignment="1">
      <alignment horizontal="center"/>
    </xf>
    <xf numFmtId="44" fontId="1" fillId="0" borderId="22" xfId="2" applyFont="1" applyBorder="1"/>
    <xf numFmtId="0" fontId="0" fillId="0" borderId="23" xfId="0" applyFont="1" applyBorder="1" applyAlignment="1">
      <alignment horizontal="left"/>
    </xf>
    <xf numFmtId="44" fontId="0" fillId="0" borderId="24" xfId="2" applyFont="1" applyBorder="1"/>
    <xf numFmtId="164" fontId="0" fillId="0" borderId="0" xfId="0" applyNumberFormat="1" applyFont="1" applyFill="1" applyBorder="1"/>
    <xf numFmtId="0" fontId="3" fillId="6" borderId="1" xfId="0" applyFont="1" applyFill="1" applyBorder="1" applyAlignment="1">
      <alignment wrapText="1"/>
    </xf>
    <xf numFmtId="0" fontId="57" fillId="0" borderId="0" xfId="1" applyNumberFormat="1" applyFont="1" applyBorder="1" applyAlignment="1">
      <alignment horizontal="left"/>
    </xf>
    <xf numFmtId="0" fontId="0" fillId="0" borderId="0" xfId="1" applyNumberFormat="1" applyFont="1" applyBorder="1"/>
    <xf numFmtId="0" fontId="3" fillId="6" borderId="0" xfId="0" applyFont="1" applyFill="1" applyBorder="1" applyAlignment="1">
      <alignment horizontal="center" wrapText="1"/>
    </xf>
    <xf numFmtId="166" fontId="3" fillId="6" borderId="0" xfId="1" applyNumberFormat="1" applyFont="1" applyFill="1" applyBorder="1" applyAlignment="1">
      <alignment horizontal="center" wrapText="1"/>
    </xf>
    <xf numFmtId="43" fontId="0" fillId="0" borderId="0" xfId="1" applyNumberFormat="1" applyFont="1" applyBorder="1"/>
    <xf numFmtId="0" fontId="59" fillId="0" borderId="0" xfId="389" applyFont="1" applyFill="1" applyBorder="1"/>
    <xf numFmtId="43" fontId="1" fillId="0" borderId="0" xfId="1" applyFont="1"/>
    <xf numFmtId="0" fontId="59" fillId="0" borderId="0" xfId="390" applyFont="1"/>
    <xf numFmtId="0" fontId="60" fillId="0" borderId="0" xfId="389" applyFont="1" applyBorder="1"/>
    <xf numFmtId="43" fontId="49" fillId="0" borderId="0" xfId="1" applyFont="1" applyFill="1" applyBorder="1"/>
    <xf numFmtId="43" fontId="2" fillId="0" borderId="0" xfId="1" applyFont="1"/>
    <xf numFmtId="0" fontId="2" fillId="0" borderId="0" xfId="390"/>
    <xf numFmtId="43" fontId="59" fillId="0" borderId="0" xfId="1" applyFont="1" applyFill="1" applyAlignment="1">
      <alignment horizontal="center"/>
    </xf>
    <xf numFmtId="43" fontId="59" fillId="0" borderId="0" xfId="1" applyFont="1" applyAlignment="1">
      <alignment horizontal="center"/>
    </xf>
    <xf numFmtId="14" fontId="3" fillId="0" borderId="0" xfId="1" applyNumberFormat="1" applyFont="1" applyAlignment="1">
      <alignment horizontal="center"/>
    </xf>
    <xf numFmtId="43" fontId="2" fillId="0" borderId="0" xfId="1" applyFont="1" applyFill="1"/>
    <xf numFmtId="0" fontId="2" fillId="0" borderId="0" xfId="390" applyFill="1"/>
    <xf numFmtId="0" fontId="2" fillId="0" borderId="0" xfId="390" applyFont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/>
    <xf numFmtId="166" fontId="3" fillId="6" borderId="1" xfId="1" applyNumberFormat="1" applyFont="1" applyFill="1" applyBorder="1" applyAlignment="1">
      <alignment horizontal="left" wrapText="1" indent="2"/>
    </xf>
    <xf numFmtId="166" fontId="0" fillId="6" borderId="1" xfId="1" applyNumberFormat="1" applyFont="1" applyFill="1" applyBorder="1" applyAlignment="1">
      <alignment horizontal="left" indent="2"/>
    </xf>
    <xf numFmtId="166" fontId="3" fillId="6" borderId="1" xfId="1" applyNumberFormat="1" applyFont="1" applyFill="1" applyBorder="1" applyAlignment="1">
      <alignment horizontal="left" indent="2"/>
    </xf>
    <xf numFmtId="166" fontId="3" fillId="0" borderId="0" xfId="1" applyNumberFormat="1" applyFont="1" applyBorder="1" applyAlignment="1">
      <alignment horizontal="left" indent="2"/>
    </xf>
    <xf numFmtId="166" fontId="0" fillId="0" borderId="0" xfId="1" applyNumberFormat="1" applyFont="1" applyBorder="1" applyAlignment="1">
      <alignment horizontal="left" indent="2"/>
    </xf>
    <xf numFmtId="166" fontId="0" fillId="0" borderId="0" xfId="1" applyNumberFormat="1" applyFont="1" applyFill="1" applyBorder="1" applyAlignment="1">
      <alignment horizontal="left" indent="2"/>
    </xf>
    <xf numFmtId="166" fontId="11" fillId="0" borderId="0" xfId="1" applyNumberFormat="1" applyFont="1" applyFill="1" applyBorder="1" applyAlignment="1">
      <alignment horizontal="left" indent="2"/>
    </xf>
    <xf numFmtId="0" fontId="0" fillId="0" borderId="3" xfId="0" applyFont="1" applyBorder="1" applyAlignment="1">
      <alignment horizontal="left" vertical="top" indent="1"/>
    </xf>
    <xf numFmtId="0" fontId="0" fillId="0" borderId="0" xfId="0" applyFont="1" applyAlignment="1">
      <alignment horizontal="left" vertical="top" indent="1"/>
    </xf>
    <xf numFmtId="0" fontId="0" fillId="0" borderId="0" xfId="0" applyFont="1" applyFill="1" applyBorder="1" applyAlignment="1">
      <alignment vertical="center"/>
    </xf>
    <xf numFmtId="166" fontId="11" fillId="0" borderId="0" xfId="373" applyNumberFormat="1" applyFont="1"/>
    <xf numFmtId="37" fontId="11" fillId="0" borderId="0" xfId="4" applyNumberFormat="1" applyFont="1" applyAlignment="1" applyProtection="1">
      <alignment horizontal="right"/>
    </xf>
    <xf numFmtId="166" fontId="11" fillId="0" borderId="0" xfId="1" applyNumberFormat="1" applyFont="1" applyAlignment="1">
      <alignment horizontal="left" indent="2"/>
    </xf>
    <xf numFmtId="44" fontId="11" fillId="0" borderId="0" xfId="10" applyFont="1"/>
    <xf numFmtId="0" fontId="11" fillId="0" borderId="0" xfId="4" applyFont="1" applyFill="1" applyBorder="1" applyAlignment="1">
      <alignment horizontal="left"/>
    </xf>
    <xf numFmtId="166" fontId="11" fillId="0" borderId="0" xfId="1" applyNumberFormat="1" applyFont="1"/>
    <xf numFmtId="166" fontId="11" fillId="0" borderId="0" xfId="1" applyNumberFormat="1" applyFont="1" applyFill="1"/>
    <xf numFmtId="166" fontId="11" fillId="0" borderId="0" xfId="1" applyNumberFormat="1" applyFont="1" applyFill="1" applyAlignment="1">
      <alignment horizontal="left" indent="2"/>
    </xf>
    <xf numFmtId="44" fontId="0" fillId="0" borderId="0" xfId="0" applyNumberFormat="1" applyFont="1" applyFill="1" applyBorder="1"/>
    <xf numFmtId="44" fontId="3" fillId="6" borderId="1" xfId="2" applyFont="1" applyFill="1" applyBorder="1" applyAlignment="1">
      <alignment horizontal="right"/>
    </xf>
    <xf numFmtId="0" fontId="0" fillId="0" borderId="0" xfId="0" applyFont="1" applyBorder="1" applyAlignment="1">
      <alignment horizontal="left" vertical="top" indent="1"/>
    </xf>
    <xf numFmtId="166" fontId="11" fillId="0" borderId="0" xfId="373" applyNumberFormat="1" applyFont="1" applyBorder="1"/>
    <xf numFmtId="37" fontId="11" fillId="0" borderId="0" xfId="4" applyNumberFormat="1" applyFont="1" applyBorder="1" applyAlignment="1" applyProtection="1">
      <alignment horizontal="right"/>
    </xf>
    <xf numFmtId="166" fontId="11" fillId="0" borderId="0" xfId="1" applyNumberFormat="1" applyFont="1" applyBorder="1" applyAlignment="1">
      <alignment horizontal="left" indent="2"/>
    </xf>
    <xf numFmtId="44" fontId="11" fillId="0" borderId="0" xfId="10" applyFont="1" applyBorder="1"/>
    <xf numFmtId="0" fontId="11" fillId="0" borderId="0" xfId="0" applyFont="1"/>
    <xf numFmtId="44" fontId="63" fillId="0" borderId="0" xfId="2" applyFont="1" applyFill="1" applyAlignment="1">
      <alignment horizontal="center"/>
    </xf>
    <xf numFmtId="0" fontId="49" fillId="0" borderId="0" xfId="4" applyFont="1" applyFill="1" applyAlignment="1">
      <alignment horizontal="left"/>
    </xf>
    <xf numFmtId="3" fontId="63" fillId="0" borderId="0" xfId="4" applyNumberFormat="1" applyFont="1" applyFill="1" applyAlignment="1">
      <alignment horizontal="center"/>
    </xf>
    <xf numFmtId="0" fontId="49" fillId="0" borderId="0" xfId="391" applyNumberFormat="1" applyFont="1" applyFill="1"/>
    <xf numFmtId="41" fontId="49" fillId="0" borderId="0" xfId="391" applyNumberFormat="1" applyFont="1" applyFill="1"/>
    <xf numFmtId="0" fontId="49" fillId="0" borderId="0" xfId="391" applyNumberFormat="1" applyFont="1" applyFill="1" applyBorder="1"/>
    <xf numFmtId="0" fontId="49" fillId="0" borderId="0" xfId="391" applyNumberFormat="1" applyFont="1" applyFill="1" applyAlignment="1">
      <alignment horizontal="center"/>
    </xf>
    <xf numFmtId="37" fontId="49" fillId="0" borderId="0" xfId="391" applyNumberFormat="1" applyFont="1" applyFill="1"/>
    <xf numFmtId="172" fontId="49" fillId="0" borderId="0" xfId="391" applyNumberFormat="1" applyFont="1" applyFill="1"/>
    <xf numFmtId="166" fontId="49" fillId="0" borderId="0" xfId="1" applyNumberFormat="1" applyFont="1" applyFill="1"/>
    <xf numFmtId="43" fontId="49" fillId="0" borderId="0" xfId="1" applyFont="1" applyFill="1"/>
    <xf numFmtId="43" fontId="49" fillId="0" borderId="0" xfId="391" applyNumberFormat="1" applyFont="1" applyFill="1"/>
    <xf numFmtId="3" fontId="49" fillId="0" borderId="0" xfId="391" applyNumberFormat="1" applyFont="1" applyFill="1"/>
    <xf numFmtId="37" fontId="63" fillId="0" borderId="0" xfId="391" applyNumberFormat="1" applyFont="1" applyFill="1"/>
    <xf numFmtId="37" fontId="65" fillId="0" borderId="0" xfId="391" applyNumberFormat="1" applyFont="1" applyFill="1"/>
    <xf numFmtId="0" fontId="49" fillId="0" borderId="34" xfId="391" applyNumberFormat="1" applyFont="1" applyFill="1" applyBorder="1"/>
    <xf numFmtId="37" fontId="49" fillId="0" borderId="34" xfId="391" applyNumberFormat="1" applyFont="1" applyFill="1" applyBorder="1"/>
    <xf numFmtId="37" fontId="49" fillId="0" borderId="34" xfId="391" applyNumberFormat="1" applyFont="1" applyFill="1" applyBorder="1" applyAlignment="1"/>
    <xf numFmtId="41" fontId="49" fillId="0" borderId="34" xfId="391" applyNumberFormat="1" applyFont="1" applyFill="1" applyBorder="1"/>
    <xf numFmtId="0" fontId="49" fillId="0" borderId="35" xfId="391" applyNumberFormat="1" applyFont="1" applyFill="1" applyBorder="1"/>
    <xf numFmtId="10" fontId="49" fillId="0" borderId="0" xfId="3" applyNumberFormat="1" applyFont="1" applyFill="1"/>
    <xf numFmtId="166" fontId="49" fillId="0" borderId="0" xfId="1" applyNumberFormat="1" applyFont="1" applyFill="1" applyAlignment="1">
      <alignment horizontal="center"/>
    </xf>
    <xf numFmtId="0" fontId="49" fillId="0" borderId="36" xfId="391" applyNumberFormat="1" applyFont="1" applyFill="1" applyBorder="1"/>
    <xf numFmtId="0" fontId="49" fillId="0" borderId="0" xfId="391" applyNumberFormat="1" applyFont="1" applyFill="1" applyAlignment="1">
      <alignment horizontal="right"/>
    </xf>
    <xf numFmtId="44" fontId="49" fillId="4" borderId="37" xfId="2" applyFont="1" applyFill="1" applyBorder="1"/>
    <xf numFmtId="168" fontId="49" fillId="4" borderId="37" xfId="391" applyNumberFormat="1" applyFont="1" applyFill="1" applyBorder="1"/>
    <xf numFmtId="37" fontId="49" fillId="0" borderId="0" xfId="391" applyNumberFormat="1" applyFont="1" applyFill="1" applyBorder="1"/>
    <xf numFmtId="41" fontId="49" fillId="0" borderId="0" xfId="391" applyNumberFormat="1" applyFont="1" applyFill="1" applyBorder="1"/>
    <xf numFmtId="0" fontId="49" fillId="0" borderId="0" xfId="391" applyNumberFormat="1" applyFont="1" applyFill="1" applyBorder="1" applyAlignment="1">
      <alignment horizontal="right"/>
    </xf>
    <xf numFmtId="166" fontId="65" fillId="0" borderId="0" xfId="1" applyNumberFormat="1" applyFont="1" applyFill="1" applyAlignment="1">
      <alignment horizontal="center"/>
    </xf>
    <xf numFmtId="44" fontId="49" fillId="0" borderId="0" xfId="2" applyFont="1" applyFill="1"/>
    <xf numFmtId="0" fontId="49" fillId="0" borderId="2" xfId="391" applyNumberFormat="1" applyFont="1" applyFill="1" applyBorder="1"/>
    <xf numFmtId="37" fontId="66" fillId="0" borderId="2" xfId="391" applyNumberFormat="1" applyFont="1" applyFill="1" applyBorder="1"/>
    <xf numFmtId="166" fontId="66" fillId="0" borderId="2" xfId="1" applyNumberFormat="1" applyFont="1" applyFill="1" applyBorder="1"/>
    <xf numFmtId="41" fontId="66" fillId="0" borderId="2" xfId="391" applyNumberFormat="1" applyFont="1" applyFill="1" applyBorder="1"/>
    <xf numFmtId="165" fontId="49" fillId="0" borderId="0" xfId="2" applyNumberFormat="1" applyFont="1" applyFill="1"/>
    <xf numFmtId="0" fontId="49" fillId="0" borderId="38" xfId="391" applyNumberFormat="1" applyFont="1" applyFill="1" applyBorder="1"/>
    <xf numFmtId="2" fontId="49" fillId="0" borderId="0" xfId="391" applyNumberFormat="1" applyFont="1" applyFill="1" applyAlignment="1">
      <alignment horizontal="center"/>
    </xf>
    <xf numFmtId="41" fontId="49" fillId="0" borderId="0" xfId="391" applyNumberFormat="1" applyFont="1" applyFill="1" applyAlignment="1">
      <alignment horizontal="center"/>
    </xf>
    <xf numFmtId="0" fontId="49" fillId="40" borderId="39" xfId="391" applyNumberFormat="1" applyFont="1" applyFill="1" applyBorder="1"/>
    <xf numFmtId="0" fontId="49" fillId="0" borderId="39" xfId="391" applyNumberFormat="1" applyFont="1" applyFill="1" applyBorder="1"/>
    <xf numFmtId="0" fontId="49" fillId="40" borderId="40" xfId="391" applyNumberFormat="1" applyFont="1" applyFill="1" applyBorder="1" applyAlignment="1">
      <alignment horizontal="center"/>
    </xf>
    <xf numFmtId="0" fontId="60" fillId="40" borderId="40" xfId="391" applyNumberFormat="1" applyFont="1" applyFill="1" applyBorder="1" applyAlignment="1">
      <alignment horizontal="center"/>
    </xf>
    <xf numFmtId="0" fontId="49" fillId="0" borderId="40" xfId="391" applyNumberFormat="1" applyFont="1" applyFill="1" applyBorder="1" applyAlignment="1">
      <alignment horizontal="center"/>
    </xf>
    <xf numFmtId="37" fontId="49" fillId="0" borderId="0" xfId="391" applyNumberFormat="1" applyFont="1" applyFill="1" applyAlignment="1">
      <alignment horizontal="center"/>
    </xf>
    <xf numFmtId="0" fontId="49" fillId="40" borderId="41" xfId="391" applyNumberFormat="1" applyFont="1" applyFill="1" applyBorder="1"/>
    <xf numFmtId="0" fontId="60" fillId="40" borderId="41" xfId="391" applyNumberFormat="1" applyFont="1" applyFill="1" applyBorder="1" applyAlignment="1">
      <alignment horizontal="center"/>
    </xf>
    <xf numFmtId="0" fontId="49" fillId="0" borderId="41" xfId="391" applyNumberFormat="1" applyFont="1" applyFill="1" applyBorder="1"/>
    <xf numFmtId="0" fontId="49" fillId="0" borderId="41" xfId="391" applyNumberFormat="1" applyFont="1" applyFill="1" applyBorder="1" applyAlignment="1">
      <alignment horizontal="center"/>
    </xf>
    <xf numFmtId="37" fontId="66" fillId="0" borderId="0" xfId="391" applyNumberFormat="1" applyFont="1" applyFill="1" applyBorder="1"/>
    <xf numFmtId="41" fontId="66" fillId="0" borderId="0" xfId="391" applyNumberFormat="1" applyFont="1" applyFill="1" applyBorder="1"/>
    <xf numFmtId="0" fontId="49" fillId="0" borderId="42" xfId="391" applyNumberFormat="1" applyFont="1" applyFill="1" applyBorder="1"/>
    <xf numFmtId="43" fontId="63" fillId="0" borderId="0" xfId="1" applyFont="1" applyFill="1" applyProtection="1"/>
    <xf numFmtId="2" fontId="49" fillId="0" borderId="0" xfId="391" applyNumberFormat="1" applyFont="1" applyFill="1"/>
    <xf numFmtId="44" fontId="49" fillId="0" borderId="0" xfId="391" applyNumberFormat="1" applyFont="1" applyFill="1"/>
    <xf numFmtId="44" fontId="49" fillId="0" borderId="43" xfId="391" applyNumberFormat="1" applyFont="1" applyFill="1" applyBorder="1"/>
    <xf numFmtId="164" fontId="49" fillId="0" borderId="0" xfId="391" applyNumberFormat="1" applyFont="1" applyFill="1"/>
    <xf numFmtId="164" fontId="49" fillId="0" borderId="0" xfId="2" applyNumberFormat="1" applyFont="1" applyFill="1"/>
    <xf numFmtId="164" fontId="49" fillId="0" borderId="36" xfId="391" applyNumberFormat="1" applyFont="1" applyFill="1" applyBorder="1"/>
    <xf numFmtId="171" fontId="49" fillId="0" borderId="0" xfId="3" applyNumberFormat="1" applyFont="1" applyFill="1" applyBorder="1"/>
    <xf numFmtId="44" fontId="67" fillId="0" borderId="0" xfId="391" applyNumberFormat="1" applyFont="1" applyFill="1"/>
    <xf numFmtId="4" fontId="63" fillId="0" borderId="0" xfId="4" applyNumberFormat="1" applyFont="1" applyFill="1" applyAlignment="1">
      <alignment horizontal="center"/>
    </xf>
    <xf numFmtId="0" fontId="63" fillId="0" borderId="0" xfId="391" applyFont="1" applyFill="1" applyAlignment="1">
      <alignment horizontal="center"/>
    </xf>
    <xf numFmtId="39" fontId="63" fillId="0" borderId="0" xfId="391" applyNumberFormat="1" applyFont="1" applyFill="1" applyAlignment="1" applyProtection="1">
      <alignment horizontal="center"/>
    </xf>
    <xf numFmtId="41" fontId="49" fillId="0" borderId="0" xfId="1" applyNumberFormat="1" applyFont="1" applyFill="1"/>
    <xf numFmtId="164" fontId="49" fillId="0" borderId="36" xfId="2" applyNumberFormat="1" applyFont="1" applyFill="1" applyBorder="1"/>
    <xf numFmtId="10" fontId="49" fillId="0" borderId="36" xfId="3" applyNumberFormat="1" applyFont="1" applyFill="1" applyBorder="1"/>
    <xf numFmtId="0" fontId="60" fillId="0" borderId="2" xfId="391" applyNumberFormat="1" applyFont="1" applyFill="1" applyBorder="1"/>
    <xf numFmtId="41" fontId="60" fillId="0" borderId="2" xfId="391" applyNumberFormat="1" applyFont="1" applyFill="1" applyBorder="1"/>
    <xf numFmtId="37" fontId="60" fillId="0" borderId="2" xfId="391" applyNumberFormat="1" applyFont="1" applyFill="1" applyBorder="1"/>
    <xf numFmtId="0" fontId="60" fillId="0" borderId="38" xfId="391" applyNumberFormat="1" applyFont="1" applyFill="1" applyBorder="1"/>
    <xf numFmtId="0" fontId="60" fillId="0" borderId="0" xfId="391" applyNumberFormat="1" applyFont="1" applyFill="1" applyBorder="1"/>
    <xf numFmtId="0" fontId="68" fillId="0" borderId="0" xfId="391" applyNumberFormat="1" applyFont="1" applyFill="1" applyAlignment="1">
      <alignment horizontal="center"/>
    </xf>
    <xf numFmtId="0" fontId="60" fillId="0" borderId="0" xfId="391" applyNumberFormat="1" applyFont="1" applyFill="1"/>
    <xf numFmtId="0" fontId="49" fillId="0" borderId="0" xfId="0" applyFont="1" applyFill="1"/>
    <xf numFmtId="37" fontId="69" fillId="0" borderId="0" xfId="4" applyNumberFormat="1" applyFont="1" applyAlignment="1" applyProtection="1"/>
    <xf numFmtId="1" fontId="63" fillId="0" borderId="0" xfId="391" applyNumberFormat="1" applyFont="1" applyFill="1" applyAlignment="1">
      <alignment horizontal="center"/>
    </xf>
    <xf numFmtId="44" fontId="63" fillId="0" borderId="0" xfId="2" applyFont="1" applyFill="1" applyAlignment="1" applyProtection="1">
      <alignment horizontal="center"/>
    </xf>
    <xf numFmtId="173" fontId="49" fillId="0" borderId="0" xfId="391" applyNumberFormat="1" applyFont="1" applyFill="1"/>
    <xf numFmtId="171" fontId="49" fillId="0" borderId="0" xfId="3" applyNumberFormat="1" applyFont="1" applyFill="1"/>
    <xf numFmtId="166" fontId="49" fillId="0" borderId="0" xfId="391" applyNumberFormat="1" applyFont="1" applyFill="1"/>
    <xf numFmtId="0" fontId="49" fillId="0" borderId="0" xfId="4" applyFont="1" applyFill="1" applyBorder="1" applyAlignment="1" applyProtection="1">
      <alignment horizontal="left"/>
    </xf>
    <xf numFmtId="37" fontId="49" fillId="0" borderId="0" xfId="391" applyNumberFormat="1" applyFont="1" applyFill="1" applyAlignment="1" applyProtection="1">
      <alignment horizontal="center"/>
    </xf>
    <xf numFmtId="4" fontId="63" fillId="0" borderId="0" xfId="4" applyNumberFormat="1" applyFont="1" applyFill="1" applyAlignment="1" applyProtection="1">
      <alignment horizontal="center"/>
    </xf>
    <xf numFmtId="174" fontId="63" fillId="0" borderId="0" xfId="391" applyNumberFormat="1" applyFont="1" applyFill="1" applyProtection="1"/>
    <xf numFmtId="0" fontId="49" fillId="0" borderId="0" xfId="4" applyFont="1" applyFill="1" applyBorder="1" applyAlignment="1" applyProtection="1">
      <alignment horizontal="center"/>
    </xf>
    <xf numFmtId="171" fontId="49" fillId="0" borderId="36" xfId="3" applyNumberFormat="1" applyFont="1" applyFill="1" applyBorder="1"/>
    <xf numFmtId="0" fontId="60" fillId="0" borderId="1" xfId="4" applyFont="1" applyFill="1" applyBorder="1" applyProtection="1"/>
    <xf numFmtId="0" fontId="68" fillId="0" borderId="0" xfId="4" applyFont="1" applyFill="1" applyBorder="1" applyAlignment="1" applyProtection="1">
      <alignment horizontal="center"/>
    </xf>
    <xf numFmtId="1" fontId="49" fillId="0" borderId="0" xfId="391" applyNumberFormat="1" applyFont="1" applyFill="1"/>
    <xf numFmtId="2" fontId="63" fillId="0" borderId="0" xfId="391" applyNumberFormat="1" applyFont="1" applyFill="1"/>
    <xf numFmtId="175" fontId="63" fillId="0" borderId="0" xfId="391" applyNumberFormat="1" applyFont="1" applyFill="1" applyAlignment="1">
      <alignment horizontal="center"/>
    </xf>
    <xf numFmtId="0" fontId="49" fillId="0" borderId="0" xfId="4" applyFont="1" applyFill="1"/>
    <xf numFmtId="41" fontId="60" fillId="0" borderId="0" xfId="391" applyNumberFormat="1" applyFont="1" applyFill="1" applyBorder="1"/>
    <xf numFmtId="37" fontId="60" fillId="0" borderId="0" xfId="391" applyNumberFormat="1" applyFont="1" applyFill="1" applyBorder="1"/>
    <xf numFmtId="0" fontId="60" fillId="0" borderId="44" xfId="391" applyNumberFormat="1" applyFont="1" applyFill="1" applyBorder="1"/>
    <xf numFmtId="0" fontId="49" fillId="0" borderId="44" xfId="391" applyNumberFormat="1" applyFont="1" applyFill="1" applyBorder="1"/>
    <xf numFmtId="43" fontId="49" fillId="0" borderId="44" xfId="391" applyNumberFormat="1" applyFont="1" applyFill="1" applyBorder="1"/>
    <xf numFmtId="37" fontId="49" fillId="0" borderId="44" xfId="391" applyNumberFormat="1" applyFont="1" applyFill="1" applyBorder="1"/>
    <xf numFmtId="164" fontId="49" fillId="0" borderId="44" xfId="2" applyNumberFormat="1" applyFont="1" applyFill="1" applyBorder="1"/>
    <xf numFmtId="164" fontId="49" fillId="0" borderId="45" xfId="2" applyNumberFormat="1" applyFont="1" applyFill="1" applyBorder="1"/>
    <xf numFmtId="0" fontId="0" fillId="5" borderId="0" xfId="0" applyFill="1"/>
    <xf numFmtId="0" fontId="0" fillId="5" borderId="0" xfId="0" applyFont="1" applyFill="1" applyAlignment="1">
      <alignment horizontal="left" vertical="top" indent="1"/>
    </xf>
    <xf numFmtId="0" fontId="2" fillId="5" borderId="0" xfId="390" applyFont="1" applyFill="1"/>
    <xf numFmtId="43" fontId="2" fillId="5" borderId="0" xfId="1" applyFont="1" applyFill="1"/>
    <xf numFmtId="0" fontId="3" fillId="0" borderId="0" xfId="0" applyFont="1" applyAlignment="1">
      <alignment horizontal="left" vertical="top"/>
    </xf>
    <xf numFmtId="0" fontId="59" fillId="0" borderId="0" xfId="390" quotePrefix="1" applyFont="1" applyBorder="1"/>
    <xf numFmtId="0" fontId="11" fillId="5" borderId="0" xfId="4" applyFont="1" applyFill="1" applyBorder="1" applyAlignment="1">
      <alignment horizontal="left"/>
    </xf>
    <xf numFmtId="0" fontId="0" fillId="0" borderId="0" xfId="0" applyFill="1"/>
    <xf numFmtId="0" fontId="0" fillId="6" borderId="46" xfId="0" applyFont="1" applyFill="1" applyBorder="1"/>
    <xf numFmtId="0" fontId="0" fillId="6" borderId="34" xfId="0" applyFont="1" applyFill="1" applyBorder="1" applyAlignment="1">
      <alignment horizontal="center"/>
    </xf>
    <xf numFmtId="0" fontId="3" fillId="6" borderId="34" xfId="0" applyFont="1" applyFill="1" applyBorder="1"/>
    <xf numFmtId="0" fontId="0" fillId="6" borderId="34" xfId="0" applyFont="1" applyFill="1" applyBorder="1" applyAlignment="1">
      <alignment horizontal="right"/>
    </xf>
    <xf numFmtId="0" fontId="0" fillId="6" borderId="34" xfId="0" applyFont="1" applyFill="1" applyBorder="1"/>
    <xf numFmtId="166" fontId="0" fillId="6" borderId="34" xfId="1" applyNumberFormat="1" applyFont="1" applyFill="1" applyBorder="1" applyAlignment="1">
      <alignment horizontal="left" indent="2"/>
    </xf>
    <xf numFmtId="166" fontId="0" fillId="6" borderId="34" xfId="1" applyNumberFormat="1" applyFont="1" applyFill="1" applyBorder="1"/>
    <xf numFmtId="44" fontId="0" fillId="6" borderId="34" xfId="1" applyNumberFormat="1" applyFont="1" applyFill="1" applyBorder="1"/>
    <xf numFmtId="0" fontId="0" fillId="6" borderId="35" xfId="0" applyFont="1" applyFill="1" applyBorder="1"/>
    <xf numFmtId="0" fontId="0" fillId="0" borderId="43" xfId="0" applyFont="1" applyBorder="1"/>
    <xf numFmtId="0" fontId="0" fillId="0" borderId="0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vertical="center" textRotation="90"/>
    </xf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44" fontId="11" fillId="0" borderId="36" xfId="10" applyFont="1" applyBorder="1"/>
    <xf numFmtId="0" fontId="0" fillId="0" borderId="47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166" fontId="11" fillId="0" borderId="1" xfId="373" applyNumberFormat="1" applyFont="1" applyBorder="1"/>
    <xf numFmtId="43" fontId="0" fillId="0" borderId="1" xfId="1" applyNumberFormat="1" applyFont="1" applyFill="1" applyBorder="1"/>
    <xf numFmtId="37" fontId="11" fillId="0" borderId="1" xfId="4" applyNumberFormat="1" applyFont="1" applyBorder="1" applyAlignment="1" applyProtection="1">
      <alignment horizontal="right"/>
    </xf>
    <xf numFmtId="166" fontId="11" fillId="0" borderId="1" xfId="1" applyNumberFormat="1" applyFont="1" applyBorder="1" applyAlignment="1">
      <alignment horizontal="left" indent="2"/>
    </xf>
    <xf numFmtId="166" fontId="0" fillId="0" borderId="1" xfId="1" applyNumberFormat="1" applyFont="1" applyFill="1" applyBorder="1"/>
    <xf numFmtId="166" fontId="0" fillId="0" borderId="1" xfId="1" applyNumberFormat="1" applyFont="1" applyFill="1" applyBorder="1" applyAlignment="1">
      <alignment horizontal="center" wrapText="1"/>
    </xf>
    <xf numFmtId="44" fontId="0" fillId="0" borderId="1" xfId="2" applyFont="1" applyFill="1" applyBorder="1"/>
    <xf numFmtId="44" fontId="11" fillId="0" borderId="1" xfId="10" applyFont="1" applyBorder="1"/>
    <xf numFmtId="44" fontId="11" fillId="0" borderId="48" xfId="10" applyFont="1" applyBorder="1"/>
    <xf numFmtId="44" fontId="0" fillId="0" borderId="0" xfId="2" applyFont="1" applyFill="1"/>
    <xf numFmtId="165" fontId="0" fillId="0" borderId="0" xfId="2" applyNumberFormat="1" applyFont="1" applyFill="1"/>
    <xf numFmtId="165" fontId="0" fillId="0" borderId="1" xfId="2" applyNumberFormat="1" applyFont="1" applyFill="1" applyBorder="1"/>
    <xf numFmtId="169" fontId="0" fillId="0" borderId="0" xfId="2" applyNumberFormat="1" applyFont="1" applyFill="1"/>
    <xf numFmtId="8" fontId="63" fillId="0" borderId="0" xfId="2" applyNumberFormat="1" applyFont="1" applyFill="1" applyAlignment="1">
      <alignment horizontal="center"/>
    </xf>
    <xf numFmtId="8" fontId="2" fillId="0" borderId="0" xfId="1" applyNumberFormat="1" applyFont="1" applyFill="1"/>
    <xf numFmtId="0" fontId="0" fillId="0" borderId="0" xfId="0" applyFont="1" applyFill="1" applyAlignment="1">
      <alignment horizontal="left" vertical="top" indent="1"/>
    </xf>
    <xf numFmtId="0" fontId="2" fillId="0" borderId="0" xfId="390" applyFont="1" applyFill="1"/>
    <xf numFmtId="43" fontId="1" fillId="0" borderId="0" xfId="1" applyFont="1" applyFill="1"/>
    <xf numFmtId="43" fontId="0" fillId="0" borderId="0" xfId="1" applyNumberFormat="1" applyFont="1" applyFill="1" applyBorder="1"/>
    <xf numFmtId="43" fontId="2" fillId="0" borderId="0" xfId="1" applyFont="1"/>
    <xf numFmtId="43" fontId="59" fillId="0" borderId="0" xfId="1" applyFont="1" applyFill="1" applyAlignment="1">
      <alignment horizontal="center"/>
    </xf>
    <xf numFmtId="43" fontId="2" fillId="0" borderId="0" xfId="1" applyFont="1" applyFill="1"/>
    <xf numFmtId="0" fontId="2" fillId="0" borderId="0" xfId="390" applyFill="1"/>
    <xf numFmtId="0" fontId="11" fillId="0" borderId="0" xfId="4" applyFont="1" applyFill="1" applyBorder="1" applyAlignment="1">
      <alignment horizontal="left"/>
    </xf>
    <xf numFmtId="43" fontId="2" fillId="5" borderId="0" xfId="1" applyFont="1" applyFill="1"/>
    <xf numFmtId="0" fontId="2" fillId="5" borderId="0" xfId="390" applyFill="1"/>
    <xf numFmtId="43" fontId="49" fillId="0" borderId="0" xfId="0" applyNumberFormat="1" applyFont="1" applyFill="1"/>
    <xf numFmtId="0" fontId="49" fillId="5" borderId="0" xfId="4" applyFont="1" applyFill="1" applyAlignment="1">
      <alignment horizontal="left"/>
    </xf>
    <xf numFmtId="0" fontId="49" fillId="5" borderId="0" xfId="391" applyNumberFormat="1" applyFont="1" applyFill="1"/>
    <xf numFmtId="3" fontId="63" fillId="5" borderId="0" xfId="4" applyNumberFormat="1" applyFont="1" applyFill="1" applyAlignment="1">
      <alignment horizontal="center"/>
    </xf>
    <xf numFmtId="37" fontId="49" fillId="5" borderId="0" xfId="391" applyNumberFormat="1" applyFont="1" applyFill="1"/>
    <xf numFmtId="43" fontId="63" fillId="5" borderId="0" xfId="1" applyFont="1" applyFill="1" applyProtection="1"/>
    <xf numFmtId="41" fontId="49" fillId="5" borderId="0" xfId="391" applyNumberFormat="1" applyFont="1" applyFill="1"/>
    <xf numFmtId="44" fontId="49" fillId="5" borderId="0" xfId="2" applyFont="1" applyFill="1"/>
    <xf numFmtId="44" fontId="49" fillId="5" borderId="0" xfId="391" applyNumberFormat="1" applyFont="1" applyFill="1"/>
    <xf numFmtId="44" fontId="49" fillId="5" borderId="43" xfId="391" applyNumberFormat="1" applyFont="1" applyFill="1" applyBorder="1"/>
    <xf numFmtId="164" fontId="49" fillId="5" borderId="0" xfId="391" applyNumberFormat="1" applyFont="1" applyFill="1"/>
    <xf numFmtId="164" fontId="49" fillId="5" borderId="0" xfId="2" applyNumberFormat="1" applyFont="1" applyFill="1"/>
    <xf numFmtId="164" fontId="49" fillId="5" borderId="36" xfId="391" applyNumberFormat="1" applyFont="1" applyFill="1" applyBorder="1"/>
    <xf numFmtId="171" fontId="49" fillId="5" borderId="0" xfId="3" applyNumberFormat="1" applyFont="1" applyFill="1" applyBorder="1"/>
    <xf numFmtId="0" fontId="49" fillId="5" borderId="0" xfId="391" applyNumberFormat="1" applyFont="1" applyFill="1" applyBorder="1"/>
    <xf numFmtId="8" fontId="2" fillId="5" borderId="0" xfId="1" applyNumberFormat="1" applyFont="1" applyFill="1"/>
    <xf numFmtId="8" fontId="63" fillId="5" borderId="0" xfId="2" applyNumberFormat="1" applyFont="1" applyFill="1" applyAlignment="1">
      <alignment horizontal="center"/>
    </xf>
    <xf numFmtId="164" fontId="49" fillId="0" borderId="0" xfId="391" applyNumberFormat="1" applyFont="1" applyFill="1" applyBorder="1"/>
    <xf numFmtId="37" fontId="69" fillId="0" borderId="0" xfId="4" applyNumberFormat="1" applyFont="1" applyFill="1" applyAlignment="1" applyProtection="1"/>
    <xf numFmtId="43" fontId="2" fillId="0" borderId="0" xfId="1" applyFont="1"/>
    <xf numFmtId="43" fontId="59" fillId="0" borderId="0" xfId="1" applyFont="1" applyFill="1" applyAlignment="1">
      <alignment horizontal="center"/>
    </xf>
    <xf numFmtId="43" fontId="2" fillId="0" borderId="0" xfId="1" applyFont="1" applyFill="1"/>
    <xf numFmtId="0" fontId="49" fillId="0" borderId="0" xfId="391" applyNumberFormat="1" applyFont="1" applyFill="1"/>
    <xf numFmtId="41" fontId="49" fillId="0" borderId="0" xfId="391" applyNumberFormat="1" applyFont="1" applyFill="1"/>
    <xf numFmtId="0" fontId="49" fillId="0" borderId="0" xfId="391" applyNumberFormat="1" applyFont="1" applyFill="1" applyBorder="1"/>
    <xf numFmtId="37" fontId="49" fillId="0" borderId="0" xfId="391" applyNumberFormat="1" applyFont="1" applyFill="1"/>
    <xf numFmtId="43" fontId="49" fillId="0" borderId="0" xfId="1" applyFont="1" applyFill="1"/>
    <xf numFmtId="44" fontId="49" fillId="0" borderId="0" xfId="2" applyFont="1" applyFill="1"/>
    <xf numFmtId="43" fontId="63" fillId="0" borderId="0" xfId="1" applyFont="1" applyFill="1" applyProtection="1"/>
    <xf numFmtId="2" fontId="49" fillId="0" borderId="0" xfId="391" applyNumberFormat="1" applyFont="1" applyFill="1"/>
    <xf numFmtId="44" fontId="49" fillId="0" borderId="0" xfId="391" applyNumberFormat="1" applyFont="1" applyFill="1"/>
    <xf numFmtId="44" fontId="49" fillId="0" borderId="43" xfId="391" applyNumberFormat="1" applyFont="1" applyFill="1" applyBorder="1"/>
    <xf numFmtId="164" fontId="49" fillId="0" borderId="0" xfId="391" applyNumberFormat="1" applyFont="1" applyFill="1"/>
    <xf numFmtId="164" fontId="49" fillId="0" borderId="0" xfId="2" applyNumberFormat="1" applyFont="1" applyFill="1"/>
    <xf numFmtId="164" fontId="49" fillId="0" borderId="36" xfId="391" applyNumberFormat="1" applyFont="1" applyFill="1" applyBorder="1"/>
    <xf numFmtId="171" fontId="49" fillId="0" borderId="0" xfId="3" applyNumberFormat="1" applyFont="1" applyFill="1" applyBorder="1"/>
    <xf numFmtId="0" fontId="63" fillId="0" borderId="0" xfId="391" applyFont="1" applyFill="1" applyAlignment="1">
      <alignment horizontal="center"/>
    </xf>
    <xf numFmtId="0" fontId="49" fillId="0" borderId="0" xfId="0" applyFont="1" applyFill="1"/>
    <xf numFmtId="37" fontId="69" fillId="0" borderId="0" xfId="4" applyNumberFormat="1" applyFont="1" applyAlignment="1" applyProtection="1"/>
    <xf numFmtId="1" fontId="63" fillId="0" borderId="0" xfId="391" applyNumberFormat="1" applyFont="1" applyFill="1" applyAlignment="1">
      <alignment horizontal="center"/>
    </xf>
    <xf numFmtId="173" fontId="49" fillId="0" borderId="0" xfId="391" applyNumberFormat="1" applyFont="1" applyFill="1"/>
    <xf numFmtId="171" fontId="49" fillId="0" borderId="0" xfId="3" applyNumberFormat="1" applyFont="1" applyFill="1"/>
    <xf numFmtId="0" fontId="0" fillId="5" borderId="0" xfId="0" applyFill="1"/>
    <xf numFmtId="43" fontId="2" fillId="5" borderId="0" xfId="1" applyFont="1" applyFill="1"/>
    <xf numFmtId="0" fontId="2" fillId="5" borderId="0" xfId="390" applyFill="1"/>
    <xf numFmtId="0" fontId="0" fillId="0" borderId="0" xfId="0" applyFill="1"/>
    <xf numFmtId="43" fontId="1" fillId="0" borderId="0" xfId="1" applyFont="1" applyFill="1"/>
    <xf numFmtId="44" fontId="49" fillId="0" borderId="0" xfId="391" applyNumberFormat="1" applyFont="1" applyFill="1" applyBorder="1"/>
    <xf numFmtId="168" fontId="73" fillId="0" borderId="49" xfId="391" applyNumberFormat="1" applyFont="1" applyFill="1" applyBorder="1"/>
    <xf numFmtId="168" fontId="73" fillId="41" borderId="49" xfId="391" applyNumberFormat="1" applyFont="1" applyFill="1" applyBorder="1"/>
    <xf numFmtId="0" fontId="0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/>
    </xf>
    <xf numFmtId="0" fontId="0" fillId="6" borderId="0" xfId="0" applyFont="1" applyFill="1" applyBorder="1" applyAlignment="1">
      <alignment horizontal="center"/>
    </xf>
  </cellXfs>
  <cellStyles count="414">
    <cellStyle name="20% - Accent1 2" xfId="40"/>
    <cellStyle name="20% - Accent1 2 2" xfId="299"/>
    <cellStyle name="20% - Accent1 3" xfId="39"/>
    <cellStyle name="20% - Accent1 3 2" xfId="300"/>
    <cellStyle name="20% - Accent2 2" xfId="42"/>
    <cellStyle name="20% - Accent2 3" xfId="41"/>
    <cellStyle name="20% - Accent2 4" xfId="393"/>
    <cellStyle name="20% - Accent3 2" xfId="44"/>
    <cellStyle name="20% - Accent3 3" xfId="43"/>
    <cellStyle name="20% - Accent3 4" xfId="394"/>
    <cellStyle name="20% - Accent4 2" xfId="46"/>
    <cellStyle name="20% - Accent4 2 2" xfId="301"/>
    <cellStyle name="20% - Accent4 3" xfId="45"/>
    <cellStyle name="20% - Accent4 3 2" xfId="302"/>
    <cellStyle name="20% - Accent5 2" xfId="48"/>
    <cellStyle name="20% - Accent5 3" xfId="47"/>
    <cellStyle name="20% - Accent6 2" xfId="50"/>
    <cellStyle name="20% - Accent6 3" xfId="49"/>
    <cellStyle name="20% - Accent6 4" xfId="395"/>
    <cellStyle name="40% - Accent1 2" xfId="52"/>
    <cellStyle name="40% - Accent1 3" xfId="51"/>
    <cellStyle name="40% - Accent1 3 2" xfId="303"/>
    <cellStyle name="40% - Accent2 2" xfId="54"/>
    <cellStyle name="40% - Accent2 3" xfId="53"/>
    <cellStyle name="40% - Accent3 2" xfId="56"/>
    <cellStyle name="40% - Accent3 3" xfId="55"/>
    <cellStyle name="40% - Accent3 4" xfId="396"/>
    <cellStyle name="40% - Accent4 2" xfId="58"/>
    <cellStyle name="40% - Accent4 3" xfId="57"/>
    <cellStyle name="40% - Accent4 3 2" xfId="304"/>
    <cellStyle name="40% - Accent5 2" xfId="60"/>
    <cellStyle name="40% - Accent5 3" xfId="59"/>
    <cellStyle name="40% - Accent6 2" xfId="62"/>
    <cellStyle name="40% - Accent6 3" xfId="61"/>
    <cellStyle name="40% - Accent6 3 2" xfId="305"/>
    <cellStyle name="60% - Accent1 2" xfId="64"/>
    <cellStyle name="60% - Accent1 2 2" xfId="306"/>
    <cellStyle name="60% - Accent1 3" xfId="63"/>
    <cellStyle name="60% - Accent1 3 2" xfId="307"/>
    <cellStyle name="60% - Accent2 2" xfId="66"/>
    <cellStyle name="60% - Accent2 3" xfId="65"/>
    <cellStyle name="60% - Accent3 2" xfId="68"/>
    <cellStyle name="60% - Accent3 3" xfId="67"/>
    <cellStyle name="60% - Accent3 3 2" xfId="308"/>
    <cellStyle name="60% - Accent4 2" xfId="70"/>
    <cellStyle name="60% - Accent4 3" xfId="69"/>
    <cellStyle name="60% - Accent4 3 2" xfId="309"/>
    <cellStyle name="60% - Accent5 2" xfId="72"/>
    <cellStyle name="60% - Accent5 2 2" xfId="310"/>
    <cellStyle name="60% - Accent5 3" xfId="71"/>
    <cellStyle name="60% - Accent6 2" xfId="74"/>
    <cellStyle name="60% - Accent6 3" xfId="73"/>
    <cellStyle name="60% - Accent6 4" xfId="397"/>
    <cellStyle name="Accent1 2" xfId="76"/>
    <cellStyle name="Accent1 2 2" xfId="311"/>
    <cellStyle name="Accent1 3" xfId="75"/>
    <cellStyle name="Accent1 3 2" xfId="312"/>
    <cellStyle name="Accent2 2" xfId="78"/>
    <cellStyle name="Accent2 3" xfId="77"/>
    <cellStyle name="Accent3 2" xfId="80"/>
    <cellStyle name="Accent3 2 2" xfId="313"/>
    <cellStyle name="Accent3 3" xfId="79"/>
    <cellStyle name="Accent4 2" xfId="82"/>
    <cellStyle name="Accent4 3" xfId="81"/>
    <cellStyle name="Accent4 4" xfId="398"/>
    <cellStyle name="Accent5 2" xfId="84"/>
    <cellStyle name="Accent5 3" xfId="83"/>
    <cellStyle name="Accent6 2" xfId="86"/>
    <cellStyle name="Accent6 2 2" xfId="314"/>
    <cellStyle name="Accent6 3" xfId="85"/>
    <cellStyle name="Accounting" xfId="87"/>
    <cellStyle name="Accounting 2" xfId="88"/>
    <cellStyle name="Accounting 3" xfId="89"/>
    <cellStyle name="Accounting_2011-11" xfId="90"/>
    <cellStyle name="Bad 2" xfId="92"/>
    <cellStyle name="Bad 3" xfId="91"/>
    <cellStyle name="Budget" xfId="93"/>
    <cellStyle name="Budget 2" xfId="94"/>
    <cellStyle name="Budget 3" xfId="95"/>
    <cellStyle name="Budget_2011-11" xfId="96"/>
    <cellStyle name="Calculation 2" xfId="98"/>
    <cellStyle name="Calculation 2 2" xfId="315"/>
    <cellStyle name="Calculation 3" xfId="97"/>
    <cellStyle name="Calculation 3 2" xfId="316"/>
    <cellStyle name="Check Cell 2" xfId="100"/>
    <cellStyle name="Check Cell 3" xfId="99"/>
    <cellStyle name="combo" xfId="101"/>
    <cellStyle name="Comma" xfId="1" builtinId="3"/>
    <cellStyle name="Comma 10" xfId="103"/>
    <cellStyle name="Comma 11" xfId="104"/>
    <cellStyle name="Comma 12" xfId="102"/>
    <cellStyle name="Comma 12 2" xfId="277"/>
    <cellStyle name="Comma 12 3" xfId="282"/>
    <cellStyle name="Comma 13" xfId="283"/>
    <cellStyle name="Comma 14" xfId="284"/>
    <cellStyle name="Comma 15" xfId="285"/>
    <cellStyle name="Comma 16" xfId="286"/>
    <cellStyle name="Comma 17" xfId="317"/>
    <cellStyle name="Comma 18" xfId="318"/>
    <cellStyle name="Comma 19" xfId="319"/>
    <cellStyle name="Comma 2" xfId="5"/>
    <cellStyle name="Comma 2 2" xfId="6"/>
    <cellStyle name="Comma 2 2 2" xfId="320"/>
    <cellStyle name="Comma 2 3" xfId="105"/>
    <cellStyle name="Comma 2 4" xfId="321"/>
    <cellStyle name="Comma 2 6" xfId="7"/>
    <cellStyle name="Comma 2 6 2" xfId="8"/>
    <cellStyle name="Comma 20" xfId="370"/>
    <cellStyle name="Comma 20 2" xfId="405"/>
    <cellStyle name="Comma 21" xfId="410"/>
    <cellStyle name="Comma 3" xfId="9"/>
    <cellStyle name="Comma 3 2" xfId="106"/>
    <cellStyle name="Comma 3 2 2" xfId="107"/>
    <cellStyle name="Comma 3 3" xfId="287"/>
    <cellStyle name="Comma 3 4" xfId="322"/>
    <cellStyle name="Comma 4" xfId="108"/>
    <cellStyle name="Comma 4 2" xfId="109"/>
    <cellStyle name="Comma 4 2 2" xfId="288"/>
    <cellStyle name="Comma 4 3" xfId="110"/>
    <cellStyle name="Comma 4 3 2" xfId="289"/>
    <cellStyle name="Comma 4 4" xfId="290"/>
    <cellStyle name="Comma 4 5" xfId="111"/>
    <cellStyle name="Comma 4 6" xfId="280"/>
    <cellStyle name="Comma 5" xfId="112"/>
    <cellStyle name="Comma 6" xfId="113"/>
    <cellStyle name="Comma 6 2" xfId="323"/>
    <cellStyle name="Comma 7" xfId="114"/>
    <cellStyle name="Comma 8" xfId="115"/>
    <cellStyle name="Comma 9" xfId="116"/>
    <cellStyle name="Comma(2)" xfId="117"/>
    <cellStyle name="Comma0 - Style2" xfId="118"/>
    <cellStyle name="Comma1 - Style1" xfId="119"/>
    <cellStyle name="Comments" xfId="120"/>
    <cellStyle name="Currency" xfId="2" builtinId="4"/>
    <cellStyle name="Currency 10" xfId="324"/>
    <cellStyle name="Currency 11" xfId="371"/>
    <cellStyle name="Currency 11 2" xfId="406"/>
    <cellStyle name="Currency 12" xfId="411"/>
    <cellStyle name="Currency 2" xfId="10"/>
    <cellStyle name="Currency 2 2" xfId="11"/>
    <cellStyle name="Currency 2 2 2" xfId="123"/>
    <cellStyle name="Currency 2 3" xfId="122"/>
    <cellStyle name="Currency 2 3 2" xfId="325"/>
    <cellStyle name="Currency 2 6" xfId="12"/>
    <cellStyle name="Currency 2 6 2" xfId="13"/>
    <cellStyle name="Currency 3" xfId="14"/>
    <cellStyle name="Currency 3 2" xfId="125"/>
    <cellStyle name="Currency 3 3" xfId="124"/>
    <cellStyle name="Currency 3 4" xfId="291"/>
    <cellStyle name="Currency 4" xfId="15"/>
    <cellStyle name="Currency 4 2" xfId="16"/>
    <cellStyle name="Currency 5" xfId="121"/>
    <cellStyle name="Currency 5 2" xfId="276"/>
    <cellStyle name="Currency 5 3" xfId="292"/>
    <cellStyle name="Currency 6" xfId="293"/>
    <cellStyle name="Currency 7" xfId="294"/>
    <cellStyle name="Currency 8" xfId="326"/>
    <cellStyle name="Currency 9" xfId="327"/>
    <cellStyle name="Data Enter" xfId="126"/>
    <cellStyle name="date" xfId="328"/>
    <cellStyle name="Explanatory Text 2" xfId="128"/>
    <cellStyle name="Explanatory Text 3" xfId="127"/>
    <cellStyle name="FactSheet" xfId="129"/>
    <cellStyle name="fish" xfId="329"/>
    <cellStyle name="Good 2" xfId="131"/>
    <cellStyle name="Good 3" xfId="130"/>
    <cellStyle name="Heading 1 2" xfId="133"/>
    <cellStyle name="Heading 1 2 2" xfId="330"/>
    <cellStyle name="Heading 1 3" xfId="132"/>
    <cellStyle name="Heading 1 3 2" xfId="331"/>
    <cellStyle name="Heading 2 2" xfId="135"/>
    <cellStyle name="Heading 2 2 2" xfId="332"/>
    <cellStyle name="Heading 2 3" xfId="134"/>
    <cellStyle name="Heading 2 3 2" xfId="333"/>
    <cellStyle name="Heading 3 2" xfId="137"/>
    <cellStyle name="Heading 3 2 2" xfId="334"/>
    <cellStyle name="Heading 3 3" xfId="136"/>
    <cellStyle name="Heading 3 3 2" xfId="335"/>
    <cellStyle name="Heading 4 2" xfId="139"/>
    <cellStyle name="Heading 4 3" xfId="138"/>
    <cellStyle name="Heading 4 4" xfId="399"/>
    <cellStyle name="Hyperlink 2" xfId="140"/>
    <cellStyle name="Hyperlink 3" xfId="141"/>
    <cellStyle name="Hyperlink 3 2" xfId="295"/>
    <cellStyle name="Input 2" xfId="143"/>
    <cellStyle name="Input 3" xfId="142"/>
    <cellStyle name="Input 4" xfId="400"/>
    <cellStyle name="input(0)" xfId="144"/>
    <cellStyle name="Input(2)" xfId="145"/>
    <cellStyle name="Linked Cell 2" xfId="147"/>
    <cellStyle name="Linked Cell 2 2" xfId="336"/>
    <cellStyle name="Linked Cell 3" xfId="146"/>
    <cellStyle name="Neutral 2" xfId="149"/>
    <cellStyle name="Neutral 2 2" xfId="337"/>
    <cellStyle name="Neutral 3" xfId="148"/>
    <cellStyle name="New_normal" xfId="150"/>
    <cellStyle name="Normal" xfId="0" builtinId="0"/>
    <cellStyle name="Normal - Style1" xfId="151"/>
    <cellStyle name="Normal - Style2" xfId="152"/>
    <cellStyle name="Normal - Style3" xfId="153"/>
    <cellStyle name="Normal - Style4" xfId="154"/>
    <cellStyle name="Normal - Style5" xfId="155"/>
    <cellStyle name="Normal 10" xfId="156"/>
    <cellStyle name="Normal 10 2" xfId="17"/>
    <cellStyle name="Normal 10 2 2" xfId="339"/>
    <cellStyle name="Normal 10 2 3" xfId="338"/>
    <cellStyle name="Normal 10_2112 DF Schedule" xfId="340"/>
    <cellStyle name="Normal 100" xfId="380"/>
    <cellStyle name="Normal 101" xfId="382"/>
    <cellStyle name="Normal 102" xfId="383"/>
    <cellStyle name="Normal 103" xfId="384"/>
    <cellStyle name="Normal 104" xfId="385"/>
    <cellStyle name="Normal 105" xfId="381"/>
    <cellStyle name="Normal 106" xfId="386"/>
    <cellStyle name="Normal 107" xfId="387"/>
    <cellStyle name="Normal 108" xfId="388"/>
    <cellStyle name="Normal 109" xfId="392"/>
    <cellStyle name="Normal 109 2" xfId="409"/>
    <cellStyle name="Normal 11" xfId="157"/>
    <cellStyle name="Normal 12" xfId="158"/>
    <cellStyle name="Normal 12 2" xfId="341"/>
    <cellStyle name="Normal 13" xfId="159"/>
    <cellStyle name="Normal 13 2" xfId="342"/>
    <cellStyle name="Normal 14" xfId="160"/>
    <cellStyle name="Normal 14 2" xfId="343"/>
    <cellStyle name="Normal 15" xfId="161"/>
    <cellStyle name="Normal 15 2" xfId="344"/>
    <cellStyle name="Normal 16" xfId="162"/>
    <cellStyle name="Normal 16 2" xfId="345"/>
    <cellStyle name="Normal 17" xfId="163"/>
    <cellStyle name="Normal 17 2" xfId="346"/>
    <cellStyle name="Normal 18" xfId="164"/>
    <cellStyle name="Normal 18 2" xfId="347"/>
    <cellStyle name="Normal 19" xfId="165"/>
    <cellStyle name="Normal 19 2" xfId="348"/>
    <cellStyle name="Normal 2" xfId="18"/>
    <cellStyle name="Normal 2 2" xfId="19"/>
    <cellStyle name="Normal 2 2 2" xfId="167"/>
    <cellStyle name="Normal 2 2 3" xfId="166"/>
    <cellStyle name="Normal 2 2_Actual_Fuel" xfId="168"/>
    <cellStyle name="Normal 2 3" xfId="169"/>
    <cellStyle name="Normal 2 3 2" xfId="170"/>
    <cellStyle name="Normal 2 3 3" xfId="296"/>
    <cellStyle name="Normal 2 4" xfId="297"/>
    <cellStyle name="Normal 2 5" xfId="298"/>
    <cellStyle name="Normal 2_2012-10" xfId="171"/>
    <cellStyle name="Normal 20" xfId="172"/>
    <cellStyle name="Normal 21" xfId="173"/>
    <cellStyle name="Normal 22" xfId="174"/>
    <cellStyle name="Normal 23" xfId="175"/>
    <cellStyle name="Normal 24" xfId="176"/>
    <cellStyle name="Normal 25" xfId="177"/>
    <cellStyle name="Normal 26" xfId="178"/>
    <cellStyle name="Normal 27" xfId="179"/>
    <cellStyle name="Normal 28" xfId="180"/>
    <cellStyle name="Normal 29" xfId="181"/>
    <cellStyle name="Normal 3" xfId="20"/>
    <cellStyle name="Normal 3 2" xfId="183"/>
    <cellStyle name="Normal 3 3" xfId="182"/>
    <cellStyle name="Normal 3 4" xfId="281"/>
    <cellStyle name="Normal 3_2012 PR" xfId="184"/>
    <cellStyle name="Normal 30" xfId="185"/>
    <cellStyle name="Normal 31" xfId="186"/>
    <cellStyle name="Normal 32" xfId="187"/>
    <cellStyle name="Normal 33" xfId="188"/>
    <cellStyle name="Normal 34" xfId="189"/>
    <cellStyle name="Normal 35" xfId="190"/>
    <cellStyle name="Normal 36" xfId="191"/>
    <cellStyle name="Normal 37" xfId="192"/>
    <cellStyle name="Normal 38" xfId="193"/>
    <cellStyle name="Normal 39" xfId="194"/>
    <cellStyle name="Normal 4" xfId="21"/>
    <cellStyle name="Normal 4 2" xfId="195"/>
    <cellStyle name="Normal 40" xfId="196"/>
    <cellStyle name="Normal 41" xfId="197"/>
    <cellStyle name="Normal 42" xfId="198"/>
    <cellStyle name="Normal 43" xfId="199"/>
    <cellStyle name="Normal 44" xfId="200"/>
    <cellStyle name="Normal 45" xfId="201"/>
    <cellStyle name="Normal 46" xfId="202"/>
    <cellStyle name="Normal 47" xfId="203"/>
    <cellStyle name="Normal 48" xfId="204"/>
    <cellStyle name="Normal 49" xfId="205"/>
    <cellStyle name="Normal 5" xfId="22"/>
    <cellStyle name="Normal 5 2" xfId="206"/>
    <cellStyle name="Normal 5 3" xfId="403"/>
    <cellStyle name="Normal 5_2112 DF Schedule" xfId="349"/>
    <cellStyle name="Normal 50" xfId="207"/>
    <cellStyle name="Normal 51" xfId="208"/>
    <cellStyle name="Normal 52" xfId="209"/>
    <cellStyle name="Normal 53" xfId="210"/>
    <cellStyle name="Normal 54" xfId="211"/>
    <cellStyle name="Normal 55" xfId="212"/>
    <cellStyle name="Normal 56" xfId="213"/>
    <cellStyle name="Normal 57" xfId="214"/>
    <cellStyle name="Normal 58" xfId="215"/>
    <cellStyle name="Normal 59" xfId="216"/>
    <cellStyle name="Normal 6" xfId="23"/>
    <cellStyle name="Normal 6 2" xfId="217"/>
    <cellStyle name="Normal 60" xfId="218"/>
    <cellStyle name="Normal 61" xfId="219"/>
    <cellStyle name="Normal 62" xfId="220"/>
    <cellStyle name="Normal 63" xfId="221"/>
    <cellStyle name="Normal 64" xfId="222"/>
    <cellStyle name="Normal 65" xfId="223"/>
    <cellStyle name="Normal 66" xfId="224"/>
    <cellStyle name="Normal 67" xfId="225"/>
    <cellStyle name="Normal 68" xfId="226"/>
    <cellStyle name="Normal 69" xfId="227"/>
    <cellStyle name="Normal 7" xfId="228"/>
    <cellStyle name="Normal 70" xfId="229"/>
    <cellStyle name="Normal 71" xfId="230"/>
    <cellStyle name="Normal 72" xfId="231"/>
    <cellStyle name="Normal 73" xfId="232"/>
    <cellStyle name="Normal 74" xfId="233"/>
    <cellStyle name="Normal 75" xfId="234"/>
    <cellStyle name="Normal 76" xfId="235"/>
    <cellStyle name="Normal 77" xfId="236"/>
    <cellStyle name="Normal 78" xfId="237"/>
    <cellStyle name="Normal 79" xfId="238"/>
    <cellStyle name="Normal 8" xfId="239"/>
    <cellStyle name="Normal 80" xfId="240"/>
    <cellStyle name="Normal 81" xfId="241"/>
    <cellStyle name="Normal 82" xfId="242"/>
    <cellStyle name="Normal 83" xfId="243"/>
    <cellStyle name="Normal 84" xfId="38"/>
    <cellStyle name="Normal 84 2" xfId="278"/>
    <cellStyle name="Normal 84 3" xfId="350"/>
    <cellStyle name="Normal 85" xfId="252"/>
    <cellStyle name="Normal 86" xfId="270"/>
    <cellStyle name="Normal 87" xfId="271"/>
    <cellStyle name="Normal 88" xfId="272"/>
    <cellStyle name="Normal 89" xfId="273"/>
    <cellStyle name="Normal 9" xfId="244"/>
    <cellStyle name="Normal 90" xfId="274"/>
    <cellStyle name="Normal 91" xfId="279"/>
    <cellStyle name="Normal 92" xfId="369"/>
    <cellStyle name="Normal 92 2" xfId="404"/>
    <cellStyle name="Normal 93" xfId="373"/>
    <cellStyle name="Normal 93 2" xfId="408"/>
    <cellStyle name="Normal 94" xfId="374"/>
    <cellStyle name="Normal 95" xfId="375"/>
    <cellStyle name="Normal 96" xfId="376"/>
    <cellStyle name="Normal 97" xfId="377"/>
    <cellStyle name="Normal 98" xfId="378"/>
    <cellStyle name="Normal 99" xfId="379"/>
    <cellStyle name="Normal_Book3" xfId="389"/>
    <cellStyle name="Normal_CostStudyTCII" xfId="391"/>
    <cellStyle name="Normal_Price out" xfId="4"/>
    <cellStyle name="Normal_Sheet1" xfId="390"/>
    <cellStyle name="Note 2" xfId="246"/>
    <cellStyle name="Note 2 2" xfId="351"/>
    <cellStyle name="Note 3" xfId="245"/>
    <cellStyle name="Note 3 2" xfId="352"/>
    <cellStyle name="Note 4" xfId="412"/>
    <cellStyle name="Notes" xfId="247"/>
    <cellStyle name="Output 2" xfId="249"/>
    <cellStyle name="Output 3" xfId="248"/>
    <cellStyle name="Output 4" xfId="401"/>
    <cellStyle name="Percent" xfId="3" builtinId="5"/>
    <cellStyle name="Percent 10" xfId="413"/>
    <cellStyle name="Percent 2" xfId="24"/>
    <cellStyle name="Percent 2 2" xfId="25"/>
    <cellStyle name="Percent 2 2 2" xfId="251"/>
    <cellStyle name="Percent 2 3" xfId="353"/>
    <cellStyle name="Percent 2 6" xfId="26"/>
    <cellStyle name="Percent 3" xfId="27"/>
    <cellStyle name="Percent 3 2" xfId="28"/>
    <cellStyle name="Percent 4" xfId="29"/>
    <cellStyle name="Percent 4 2" xfId="355"/>
    <cellStyle name="Percent 4 3" xfId="354"/>
    <cellStyle name="Percent 5" xfId="253"/>
    <cellStyle name="Percent 6" xfId="254"/>
    <cellStyle name="Percent 7" xfId="250"/>
    <cellStyle name="Percent 7 2" xfId="275"/>
    <cellStyle name="Percent 7 3" xfId="356"/>
    <cellStyle name="Percent 8" xfId="357"/>
    <cellStyle name="Percent 9" xfId="372"/>
    <cellStyle name="Percent 9 2" xfId="407"/>
    <cellStyle name="Percent(1)" xfId="255"/>
    <cellStyle name="Percent(2)" xfId="256"/>
    <cellStyle name="PRM" xfId="257"/>
    <cellStyle name="PRM 2" xfId="258"/>
    <cellStyle name="PRM 3" xfId="259"/>
    <cellStyle name="PRM_2011-11" xfId="260"/>
    <cellStyle name="PS_Comma" xfId="30"/>
    <cellStyle name="PSChar" xfId="31"/>
    <cellStyle name="PSDate" xfId="32"/>
    <cellStyle name="PSDec" xfId="33"/>
    <cellStyle name="PSHeading" xfId="34"/>
    <cellStyle name="PSInt" xfId="35"/>
    <cellStyle name="PSSpacer" xfId="36"/>
    <cellStyle name="STYL0 - Style1" xfId="358"/>
    <cellStyle name="STYL1 - Style2" xfId="359"/>
    <cellStyle name="STYL2 - Style3" xfId="360"/>
    <cellStyle name="STYL3 - Style4" xfId="361"/>
    <cellStyle name="STYL4 - Style5" xfId="362"/>
    <cellStyle name="STYL5 - Style6" xfId="363"/>
    <cellStyle name="STYL6 - Style7" xfId="364"/>
    <cellStyle name="STYL7 - Style8" xfId="365"/>
    <cellStyle name="Style 1" xfId="261"/>
    <cellStyle name="Style 1 2" xfId="262"/>
    <cellStyle name="STYLE1" xfId="263"/>
    <cellStyle name="sub heading" xfId="366"/>
    <cellStyle name="Title 2" xfId="265"/>
    <cellStyle name="Title 3" xfId="264"/>
    <cellStyle name="title 4" xfId="402"/>
    <cellStyle name="Total 2" xfId="267"/>
    <cellStyle name="Total 2 2" xfId="367"/>
    <cellStyle name="Total 3" xfId="266"/>
    <cellStyle name="Total 3 2" xfId="368"/>
    <cellStyle name="Warning Text 2" xfId="269"/>
    <cellStyle name="Warning Text 3" xfId="268"/>
    <cellStyle name="WM_STANDARD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TG-161214%20Eastside%20DF/TG-161214%20Staff%20Calcula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TransportationPvt/SolidWaste/Company%20Filed/TG-161216%20-%20R_SeaTac%20-%20AW_COS%20model_workpap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Staff Calcs "/>
      <sheetName val="Tariff Changes"/>
      <sheetName val="Company Price Out Rates Compare"/>
    </sheetNames>
    <sheetDataSet>
      <sheetData sheetId="0">
        <row r="7">
          <cell r="B7">
            <v>4.333333333333333</v>
          </cell>
        </row>
        <row r="26">
          <cell r="B26">
            <v>29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"/>
      <sheetName val="Disposal"/>
      <sheetName val="Yardwaste Analysis"/>
      <sheetName val="Roll Off Average Cost"/>
    </sheetNames>
    <sheetDataSet>
      <sheetData sheetId="0" refreshError="1"/>
      <sheetData sheetId="1">
        <row r="58">
          <cell r="R58">
            <v>1722.4904473103045</v>
          </cell>
        </row>
        <row r="63">
          <cell r="R63">
            <v>4497.8026208198335</v>
          </cell>
        </row>
        <row r="69">
          <cell r="R69">
            <v>892.1099999999999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opLeftCell="A22" zoomScaleNormal="100" workbookViewId="0">
      <selection activeCell="G52" sqref="G52"/>
    </sheetView>
  </sheetViews>
  <sheetFormatPr defaultColWidth="9.140625" defaultRowHeight="15"/>
  <cols>
    <col min="1" max="1" width="36.28515625" style="3" bestFit="1" customWidth="1"/>
    <col min="2" max="2" width="22.140625" style="3" bestFit="1" customWidth="1"/>
    <col min="3" max="3" width="19.5703125" style="3" customWidth="1"/>
    <col min="4" max="4" width="10.5703125" style="3" bestFit="1" customWidth="1"/>
    <col min="5" max="5" width="8.85546875" style="3" customWidth="1"/>
    <col min="6" max="6" width="11.42578125" style="3" bestFit="1" customWidth="1"/>
    <col min="7" max="7" width="10" style="3" bestFit="1" customWidth="1"/>
    <col min="8" max="8" width="8" style="3" bestFit="1" customWidth="1"/>
    <col min="9" max="9" width="15.85546875" style="3" bestFit="1" customWidth="1"/>
    <col min="10" max="10" width="12" style="3" bestFit="1" customWidth="1"/>
    <col min="11" max="16384" width="9.140625" style="3"/>
  </cols>
  <sheetData>
    <row r="1" spans="1:8">
      <c r="A1" s="350" t="s">
        <v>19</v>
      </c>
      <c r="B1" s="350"/>
      <c r="C1" s="350"/>
      <c r="D1" s="350"/>
      <c r="E1" s="350"/>
      <c r="F1" s="350"/>
      <c r="G1" s="350"/>
      <c r="H1" s="350"/>
    </row>
    <row r="2" spans="1:8">
      <c r="A2" s="3" t="s">
        <v>64</v>
      </c>
      <c r="B2" s="12" t="s">
        <v>50</v>
      </c>
      <c r="C2" s="12" t="s">
        <v>51</v>
      </c>
      <c r="D2" s="12" t="s">
        <v>52</v>
      </c>
      <c r="E2" s="13" t="s">
        <v>55</v>
      </c>
      <c r="F2" s="13" t="s">
        <v>56</v>
      </c>
      <c r="G2" s="13" t="s">
        <v>57</v>
      </c>
      <c r="H2" s="12" t="s">
        <v>60</v>
      </c>
    </row>
    <row r="3" spans="1:8">
      <c r="A3" s="3" t="s">
        <v>61</v>
      </c>
      <c r="B3" s="1">
        <f>52*5/12</f>
        <v>21.666666666666668</v>
      </c>
      <c r="C3" s="14">
        <f>$B$3*2</f>
        <v>43.333333333333336</v>
      </c>
      <c r="D3" s="14">
        <f>$B$3*3</f>
        <v>65</v>
      </c>
      <c r="E3" s="14">
        <f>$B$3*4</f>
        <v>86.666666666666671</v>
      </c>
      <c r="F3" s="14">
        <f>$B$3*5</f>
        <v>108.33333333333334</v>
      </c>
      <c r="G3" s="14">
        <f>$B$3*6</f>
        <v>130</v>
      </c>
      <c r="H3" s="14">
        <f>$B$3*7</f>
        <v>151.66666666666669</v>
      </c>
    </row>
    <row r="4" spans="1:8">
      <c r="A4" s="3" t="s">
        <v>97</v>
      </c>
      <c r="B4" s="1">
        <f>52*4/12</f>
        <v>17.333333333333332</v>
      </c>
      <c r="C4" s="14">
        <f>$B$4*2</f>
        <v>34.666666666666664</v>
      </c>
      <c r="D4" s="14">
        <f>$B$4*3</f>
        <v>52</v>
      </c>
      <c r="E4" s="14">
        <f>$B$4*4</f>
        <v>69.333333333333329</v>
      </c>
      <c r="F4" s="14">
        <f>$B$4*5</f>
        <v>86.666666666666657</v>
      </c>
      <c r="G4" s="14">
        <f>$B$4*6</f>
        <v>104</v>
      </c>
      <c r="H4" s="14">
        <f>$B$4*7</f>
        <v>121.33333333333333</v>
      </c>
    </row>
    <row r="5" spans="1:8">
      <c r="A5" s="3" t="s">
        <v>62</v>
      </c>
      <c r="B5" s="1">
        <f>52*3/12</f>
        <v>13</v>
      </c>
      <c r="C5" s="14">
        <f>$B$5*2</f>
        <v>26</v>
      </c>
      <c r="D5" s="14">
        <f>$B$5*3</f>
        <v>39</v>
      </c>
      <c r="E5" s="14">
        <f>$B$5*4</f>
        <v>52</v>
      </c>
      <c r="F5" s="14">
        <f>$B$5*5</f>
        <v>65</v>
      </c>
      <c r="G5" s="14">
        <f>$B$5*6</f>
        <v>78</v>
      </c>
      <c r="H5" s="14">
        <f>$B$5*7</f>
        <v>91</v>
      </c>
    </row>
    <row r="6" spans="1:8">
      <c r="A6" s="3" t="s">
        <v>63</v>
      </c>
      <c r="B6" s="1">
        <f>52*2/12</f>
        <v>8.6666666666666661</v>
      </c>
      <c r="C6" s="15">
        <f>$B$6*2</f>
        <v>17.333333333333332</v>
      </c>
      <c r="D6" s="15">
        <f>$B$6*3</f>
        <v>26</v>
      </c>
      <c r="E6" s="15">
        <f>$B$6*4</f>
        <v>34.666666666666664</v>
      </c>
      <c r="F6" s="15">
        <f>$B$6*5</f>
        <v>43.333333333333329</v>
      </c>
      <c r="G6" s="15">
        <f>$B$6*6</f>
        <v>52</v>
      </c>
      <c r="H6" s="15">
        <f>$B$6*7</f>
        <v>60.666666666666664</v>
      </c>
    </row>
    <row r="7" spans="1:8">
      <c r="A7" s="3" t="s">
        <v>22</v>
      </c>
      <c r="B7" s="1">
        <f>52/12</f>
        <v>4.333333333333333</v>
      </c>
      <c r="C7" s="15">
        <f>$B$7*2</f>
        <v>8.6666666666666661</v>
      </c>
      <c r="D7" s="15">
        <f>$B$7*3</f>
        <v>13</v>
      </c>
      <c r="E7" s="15">
        <f>$B$7*4</f>
        <v>17.333333333333332</v>
      </c>
      <c r="F7" s="15">
        <f>$B$7*5</f>
        <v>21.666666666666664</v>
      </c>
      <c r="G7" s="15">
        <f>$B$7*6</f>
        <v>26</v>
      </c>
      <c r="H7" s="15">
        <f>$B$7*7</f>
        <v>30.333333333333332</v>
      </c>
    </row>
    <row r="8" spans="1:8">
      <c r="A8" s="3" t="s">
        <v>24</v>
      </c>
      <c r="B8" s="1">
        <f>26/12</f>
        <v>2.1666666666666665</v>
      </c>
      <c r="C8" s="15">
        <f>$B$8*2</f>
        <v>4.333333333333333</v>
      </c>
      <c r="D8" s="15">
        <f>$B$8*3</f>
        <v>6.5</v>
      </c>
      <c r="E8" s="15">
        <f>$B$8*4</f>
        <v>8.6666666666666661</v>
      </c>
      <c r="F8" s="15">
        <f>$B$8*5</f>
        <v>10.833333333333332</v>
      </c>
      <c r="G8" s="15">
        <f>$B$8*6</f>
        <v>13</v>
      </c>
      <c r="H8" s="15">
        <f>$B$8*7</f>
        <v>15.166666666666666</v>
      </c>
    </row>
    <row r="9" spans="1:8">
      <c r="A9" s="3" t="s">
        <v>23</v>
      </c>
      <c r="B9" s="1">
        <f>12/12</f>
        <v>1</v>
      </c>
      <c r="C9" s="15">
        <f>$B$9*2</f>
        <v>2</v>
      </c>
      <c r="D9" s="15">
        <f>$B$9*3</f>
        <v>3</v>
      </c>
      <c r="E9" s="15">
        <f>$B$9*4</f>
        <v>4</v>
      </c>
      <c r="F9" s="15">
        <f>$B$9*5</f>
        <v>5</v>
      </c>
      <c r="G9" s="15">
        <f>$B$9*6</f>
        <v>6</v>
      </c>
      <c r="H9" s="15">
        <f>$B$9*7</f>
        <v>7</v>
      </c>
    </row>
    <row r="10" spans="1:8">
      <c r="B10" s="1"/>
      <c r="C10" s="15"/>
      <c r="D10" s="15"/>
      <c r="E10" s="15"/>
      <c r="F10" s="15"/>
      <c r="G10" s="15"/>
      <c r="H10" s="15"/>
    </row>
    <row r="11" spans="1:8">
      <c r="A11" s="350" t="s">
        <v>11</v>
      </c>
      <c r="B11" s="350"/>
      <c r="C11" s="29"/>
      <c r="D11" s="15"/>
      <c r="E11" s="15"/>
      <c r="F11" s="15"/>
      <c r="G11" s="15"/>
      <c r="H11" s="15"/>
    </row>
    <row r="12" spans="1:8">
      <c r="A12" s="27" t="s">
        <v>59</v>
      </c>
      <c r="B12" s="31" t="s">
        <v>89</v>
      </c>
      <c r="C12" s="29"/>
      <c r="D12" s="15"/>
      <c r="E12" s="15"/>
      <c r="F12" s="15"/>
      <c r="G12" s="15"/>
      <c r="H12" s="15"/>
    </row>
    <row r="13" spans="1:8">
      <c r="A13" s="30" t="s">
        <v>90</v>
      </c>
      <c r="B13" s="28">
        <v>20</v>
      </c>
      <c r="C13" s="29"/>
      <c r="D13" s="15"/>
      <c r="E13" s="15"/>
      <c r="F13" s="15"/>
      <c r="G13" s="15"/>
      <c r="H13" s="15"/>
    </row>
    <row r="14" spans="1:8">
      <c r="A14" s="30" t="s">
        <v>65</v>
      </c>
      <c r="B14" s="28">
        <v>34</v>
      </c>
      <c r="C14" s="29"/>
      <c r="D14" s="15"/>
      <c r="E14" s="15"/>
      <c r="F14" s="15"/>
      <c r="G14" s="15"/>
      <c r="H14" s="15"/>
    </row>
    <row r="15" spans="1:8">
      <c r="A15" s="30" t="s">
        <v>66</v>
      </c>
      <c r="B15" s="28">
        <v>51</v>
      </c>
      <c r="C15" s="29"/>
      <c r="D15" s="15"/>
      <c r="E15" s="15"/>
      <c r="F15" s="15"/>
      <c r="G15" s="15"/>
      <c r="H15" s="15"/>
    </row>
    <row r="16" spans="1:8">
      <c r="A16" s="30" t="s">
        <v>67</v>
      </c>
      <c r="B16" s="28">
        <v>77</v>
      </c>
      <c r="C16" s="29"/>
      <c r="D16" s="15"/>
      <c r="E16" s="15"/>
      <c r="F16" s="3" t="s">
        <v>20</v>
      </c>
      <c r="G16" s="8">
        <v>2000</v>
      </c>
      <c r="H16" s="15"/>
    </row>
    <row r="17" spans="1:8">
      <c r="A17" s="30" t="s">
        <v>68</v>
      </c>
      <c r="B17" s="28">
        <v>97</v>
      </c>
      <c r="C17" s="29"/>
      <c r="D17" s="15"/>
      <c r="E17" s="15"/>
      <c r="F17" s="3" t="s">
        <v>21</v>
      </c>
      <c r="G17" s="17" t="s">
        <v>53</v>
      </c>
      <c r="H17" s="15"/>
    </row>
    <row r="18" spans="1:8">
      <c r="A18" s="30" t="s">
        <v>69</v>
      </c>
      <c r="B18" s="28">
        <v>117</v>
      </c>
      <c r="C18" s="29"/>
      <c r="D18" s="15"/>
      <c r="E18" s="15"/>
      <c r="H18" s="15"/>
    </row>
    <row r="19" spans="1:8">
      <c r="A19" s="30" t="s">
        <v>70</v>
      </c>
      <c r="B19" s="28">
        <v>157</v>
      </c>
      <c r="C19" s="29"/>
      <c r="D19" s="15"/>
      <c r="E19" s="15"/>
      <c r="F19" s="10"/>
      <c r="G19" s="11"/>
      <c r="H19" s="15"/>
    </row>
    <row r="20" spans="1:8" s="25" customFormat="1">
      <c r="A20" s="49" t="s">
        <v>104</v>
      </c>
      <c r="B20" s="40">
        <v>37</v>
      </c>
      <c r="C20" s="48" t="s">
        <v>91</v>
      </c>
      <c r="D20" s="29"/>
      <c r="E20" s="29"/>
      <c r="F20" s="10"/>
      <c r="G20" s="11"/>
      <c r="H20" s="29"/>
    </row>
    <row r="21" spans="1:8">
      <c r="A21" s="30" t="s">
        <v>71</v>
      </c>
      <c r="B21" s="28">
        <v>47</v>
      </c>
      <c r="C21" s="29"/>
      <c r="D21" s="15"/>
      <c r="E21" s="15"/>
      <c r="F21" s="15"/>
      <c r="G21" s="15"/>
      <c r="H21" s="15"/>
    </row>
    <row r="22" spans="1:8">
      <c r="A22" s="30" t="s">
        <v>72</v>
      </c>
      <c r="B22" s="28">
        <v>68</v>
      </c>
      <c r="C22" s="29"/>
      <c r="D22" s="15"/>
      <c r="E22" s="15"/>
      <c r="F22" s="15"/>
      <c r="G22" s="15"/>
      <c r="H22" s="15"/>
    </row>
    <row r="23" spans="1:8">
      <c r="A23" s="30" t="s">
        <v>73</v>
      </c>
      <c r="B23" s="28">
        <v>34</v>
      </c>
      <c r="C23" s="29"/>
      <c r="D23" s="15"/>
      <c r="E23" s="15"/>
      <c r="F23" s="15"/>
      <c r="G23" s="15"/>
      <c r="H23" s="15"/>
    </row>
    <row r="24" spans="1:8">
      <c r="A24" s="30" t="s">
        <v>32</v>
      </c>
      <c r="B24" s="28">
        <v>34</v>
      </c>
      <c r="C24" s="29"/>
      <c r="D24" s="15"/>
      <c r="E24" s="15"/>
      <c r="F24" s="15"/>
      <c r="G24" s="15"/>
      <c r="H24" s="15"/>
    </row>
    <row r="25" spans="1:8">
      <c r="A25" s="27" t="s">
        <v>74</v>
      </c>
      <c r="B25" s="28"/>
      <c r="C25" s="29"/>
      <c r="D25" s="15"/>
      <c r="E25" s="15"/>
      <c r="F25" s="15"/>
      <c r="G25" s="15"/>
      <c r="H25" s="15"/>
    </row>
    <row r="26" spans="1:8">
      <c r="A26" s="30" t="s">
        <v>75</v>
      </c>
      <c r="B26" s="28">
        <v>29</v>
      </c>
      <c r="C26" s="29"/>
      <c r="D26" s="15"/>
      <c r="E26" s="15"/>
      <c r="F26" s="15"/>
      <c r="G26" s="15"/>
      <c r="H26" s="15"/>
    </row>
    <row r="27" spans="1:8">
      <c r="A27" s="30" t="s">
        <v>76</v>
      </c>
      <c r="B27" s="28">
        <v>175</v>
      </c>
      <c r="C27" s="29"/>
      <c r="D27" s="15"/>
      <c r="E27" s="15"/>
      <c r="F27" s="15"/>
      <c r="G27" s="15"/>
      <c r="H27" s="15"/>
    </row>
    <row r="28" spans="1:8">
      <c r="A28" s="30" t="s">
        <v>77</v>
      </c>
      <c r="B28" s="28">
        <v>250</v>
      </c>
      <c r="C28" s="29"/>
      <c r="D28" s="15"/>
      <c r="E28" s="15"/>
      <c r="F28" s="15"/>
      <c r="G28" s="15"/>
      <c r="H28" s="15"/>
    </row>
    <row r="29" spans="1:8">
      <c r="A29" s="30" t="s">
        <v>78</v>
      </c>
      <c r="B29" s="28">
        <v>324</v>
      </c>
      <c r="C29" s="29"/>
      <c r="D29" s="15"/>
      <c r="E29" s="15"/>
      <c r="F29" s="15"/>
      <c r="G29" s="15"/>
      <c r="H29" s="15"/>
    </row>
    <row r="30" spans="1:8">
      <c r="A30" s="30" t="s">
        <v>79</v>
      </c>
      <c r="B30" s="28">
        <v>473</v>
      </c>
      <c r="C30" s="29"/>
      <c r="D30" s="15"/>
      <c r="E30" s="15"/>
      <c r="F30" s="15"/>
      <c r="G30" s="15"/>
      <c r="H30" s="15"/>
    </row>
    <row r="31" spans="1:8">
      <c r="A31" s="30" t="s">
        <v>80</v>
      </c>
      <c r="B31" s="28">
        <v>613</v>
      </c>
      <c r="C31" s="29"/>
      <c r="D31" s="15"/>
      <c r="E31" s="15"/>
      <c r="F31" s="15"/>
      <c r="G31" s="15"/>
      <c r="H31" s="15"/>
    </row>
    <row r="32" spans="1:8">
      <c r="A32" s="30" t="s">
        <v>81</v>
      </c>
      <c r="B32" s="28">
        <v>840</v>
      </c>
      <c r="C32" s="29"/>
      <c r="D32" s="15"/>
      <c r="E32" s="15"/>
      <c r="F32" s="15"/>
      <c r="G32" s="15"/>
      <c r="H32" s="15"/>
    </row>
    <row r="33" spans="1:8">
      <c r="A33" s="30" t="s">
        <v>82</v>
      </c>
      <c r="B33" s="28">
        <v>980</v>
      </c>
      <c r="C33" s="29"/>
      <c r="D33" s="15"/>
      <c r="E33" s="15"/>
      <c r="F33" s="15"/>
      <c r="G33" s="15"/>
      <c r="H33" s="15"/>
    </row>
    <row r="34" spans="1:8">
      <c r="A34" s="30" t="s">
        <v>98</v>
      </c>
      <c r="B34" s="28">
        <v>482</v>
      </c>
      <c r="C34" s="29" t="s">
        <v>91</v>
      </c>
      <c r="D34" s="15"/>
      <c r="E34" s="15"/>
      <c r="F34" s="15"/>
      <c r="G34" s="15"/>
      <c r="H34" s="15"/>
    </row>
    <row r="35" spans="1:8">
      <c r="A35" s="30" t="s">
        <v>99</v>
      </c>
      <c r="B35" s="28">
        <v>689</v>
      </c>
      <c r="C35" s="29" t="s">
        <v>91</v>
      </c>
      <c r="D35" s="15"/>
      <c r="E35" s="15"/>
      <c r="F35" s="15"/>
      <c r="G35" s="15"/>
      <c r="H35" s="15"/>
    </row>
    <row r="36" spans="1:8" s="25" customFormat="1">
      <c r="A36" s="30" t="s">
        <v>84</v>
      </c>
      <c r="B36" s="28">
        <v>892</v>
      </c>
      <c r="C36" s="29" t="s">
        <v>91</v>
      </c>
      <c r="D36" s="26"/>
      <c r="E36" s="26"/>
      <c r="F36" s="26"/>
      <c r="G36" s="26"/>
      <c r="H36" s="26"/>
    </row>
    <row r="37" spans="1:8" s="25" customFormat="1">
      <c r="A37" s="30" t="s">
        <v>83</v>
      </c>
      <c r="B37" s="28">
        <v>1301</v>
      </c>
      <c r="C37" s="29"/>
      <c r="D37" s="26"/>
      <c r="E37" s="26"/>
      <c r="F37" s="26"/>
      <c r="G37" s="26"/>
      <c r="H37" s="26"/>
    </row>
    <row r="38" spans="1:8" s="25" customFormat="1">
      <c r="A38" s="30" t="s">
        <v>85</v>
      </c>
      <c r="B38" s="28">
        <v>1686</v>
      </c>
      <c r="C38" s="29"/>
      <c r="D38" s="26"/>
      <c r="E38" s="26"/>
      <c r="F38" s="26"/>
      <c r="G38" s="26"/>
      <c r="H38" s="26"/>
    </row>
    <row r="39" spans="1:8" s="25" customFormat="1">
      <c r="A39" s="30" t="s">
        <v>86</v>
      </c>
      <c r="B39" s="28">
        <v>2046</v>
      </c>
      <c r="C39" s="29"/>
      <c r="D39" s="26"/>
      <c r="E39" s="26"/>
      <c r="F39" s="26"/>
      <c r="G39" s="26"/>
      <c r="H39" s="26"/>
    </row>
    <row r="40" spans="1:8" s="25" customFormat="1">
      <c r="A40" s="30" t="s">
        <v>87</v>
      </c>
      <c r="B40" s="28">
        <v>2310</v>
      </c>
      <c r="C40" s="29"/>
      <c r="D40" s="26"/>
      <c r="E40" s="26"/>
      <c r="F40" s="26"/>
      <c r="G40" s="26"/>
      <c r="H40" s="26"/>
    </row>
    <row r="41" spans="1:8" s="25" customFormat="1">
      <c r="A41" s="30" t="s">
        <v>100</v>
      </c>
      <c r="B41" s="28">
        <v>2800</v>
      </c>
      <c r="C41" s="29" t="s">
        <v>91</v>
      </c>
      <c r="D41" s="26"/>
      <c r="E41" s="26"/>
      <c r="F41" s="26"/>
      <c r="G41" s="26"/>
      <c r="H41" s="26"/>
    </row>
    <row r="42" spans="1:8" s="25" customFormat="1">
      <c r="A42" s="30" t="s">
        <v>88</v>
      </c>
      <c r="B42" s="28">
        <v>125</v>
      </c>
      <c r="C42" s="29"/>
      <c r="D42" s="26"/>
      <c r="E42" s="26"/>
      <c r="F42" s="26"/>
      <c r="G42" s="26"/>
      <c r="H42" s="26"/>
    </row>
    <row r="43" spans="1:8">
      <c r="B43" s="120" t="s">
        <v>117</v>
      </c>
      <c r="C43" s="120"/>
      <c r="D43" s="120"/>
    </row>
    <row r="46" spans="1:8">
      <c r="A46" s="24" t="s">
        <v>146</v>
      </c>
      <c r="B46" s="22" t="s">
        <v>6</v>
      </c>
      <c r="C46" s="22" t="s">
        <v>7</v>
      </c>
      <c r="F46" s="351" t="s">
        <v>27</v>
      </c>
      <c r="G46" s="351"/>
    </row>
    <row r="47" spans="1:8">
      <c r="A47" s="18" t="s">
        <v>8</v>
      </c>
      <c r="B47" s="283">
        <v>134.59</v>
      </c>
      <c r="C47" s="284">
        <f>B47/2000</f>
        <v>6.7295000000000008E-2</v>
      </c>
      <c r="F47" s="3" t="s">
        <v>28</v>
      </c>
      <c r="G47" s="5">
        <f>0.015</f>
        <v>1.4999999999999999E-2</v>
      </c>
    </row>
    <row r="48" spans="1:8">
      <c r="A48" s="18" t="s">
        <v>9</v>
      </c>
      <c r="B48" s="280">
        <v>140.82</v>
      </c>
      <c r="C48" s="285">
        <f>B48/2000</f>
        <v>7.041E-2</v>
      </c>
      <c r="F48" s="3" t="s">
        <v>29</v>
      </c>
      <c r="G48" s="6">
        <v>5.1000000000000004E-3</v>
      </c>
    </row>
    <row r="49" spans="1:7">
      <c r="A49" s="16" t="s">
        <v>10</v>
      </c>
      <c r="B49" s="283">
        <f>B48-B47</f>
        <v>6.2299999999999898</v>
      </c>
      <c r="C49" s="286">
        <f>C48-C47</f>
        <v>3.1149999999999928E-3</v>
      </c>
      <c r="F49" s="3" t="s">
        <v>58</v>
      </c>
      <c r="G49" s="7">
        <v>6.0000000000000001E-3</v>
      </c>
    </row>
    <row r="50" spans="1:7">
      <c r="F50" s="3" t="s">
        <v>17</v>
      </c>
      <c r="G50" s="19">
        <f>SUM(G47:G49)</f>
        <v>2.6099999999999998E-2</v>
      </c>
    </row>
    <row r="51" spans="1:7">
      <c r="B51" s="23" t="str">
        <f>A46</f>
        <v>King County</v>
      </c>
    </row>
    <row r="52" spans="1:7">
      <c r="A52" s="3" t="s">
        <v>4</v>
      </c>
      <c r="B52" s="20">
        <f>B49</f>
        <v>6.2299999999999898</v>
      </c>
      <c r="F52" s="3" t="s">
        <v>30</v>
      </c>
      <c r="G52" s="21">
        <f>1-G50</f>
        <v>0.97389999999999999</v>
      </c>
    </row>
    <row r="53" spans="1:7">
      <c r="A53" s="3" t="s">
        <v>26</v>
      </c>
      <c r="B53" s="20">
        <f>B52/$G$52</f>
        <v>6.3969606735804394</v>
      </c>
    </row>
    <row r="54" spans="1:7">
      <c r="A54" s="3" t="s">
        <v>25</v>
      </c>
      <c r="B54" s="9">
        <f>'Staff Calcs '!D111</f>
        <v>5901</v>
      </c>
    </row>
    <row r="55" spans="1:7">
      <c r="A55" s="2" t="s">
        <v>31</v>
      </c>
      <c r="B55" s="4">
        <f>B53*B54</f>
        <v>37748.464934798176</v>
      </c>
    </row>
    <row r="58" spans="1:7" ht="15.75" thickBot="1"/>
    <row r="59" spans="1:7">
      <c r="A59" s="89" t="s">
        <v>94</v>
      </c>
      <c r="B59" s="90" t="s">
        <v>92</v>
      </c>
      <c r="D59" s="20"/>
    </row>
    <row r="60" spans="1:7">
      <c r="A60" s="91" t="s">
        <v>93</v>
      </c>
      <c r="B60" s="92">
        <f>'Staff Calcs '!R45</f>
        <v>44323.206957584262</v>
      </c>
    </row>
    <row r="61" spans="1:7">
      <c r="A61" s="91" t="s">
        <v>13</v>
      </c>
      <c r="B61" s="92">
        <f>B60-B55</f>
        <v>6574.7420227860857</v>
      </c>
    </row>
    <row r="62" spans="1:7">
      <c r="A62" s="91"/>
      <c r="B62" s="93"/>
    </row>
    <row r="63" spans="1:7">
      <c r="A63" s="94" t="s">
        <v>95</v>
      </c>
      <c r="B63" s="95" t="s">
        <v>92</v>
      </c>
    </row>
    <row r="64" spans="1:7">
      <c r="A64" s="91" t="s">
        <v>54</v>
      </c>
      <c r="B64" s="96">
        <f>'Staff Calcs '!W45</f>
        <v>37748.464934798118</v>
      </c>
    </row>
    <row r="65" spans="1:3" ht="15.75" thickBot="1">
      <c r="A65" s="97" t="s">
        <v>13</v>
      </c>
      <c r="B65" s="98">
        <f>B64-B55</f>
        <v>-5.8207660913467407E-11</v>
      </c>
      <c r="C65" s="20">
        <f>B61-B65</f>
        <v>6574.7420227861439</v>
      </c>
    </row>
  </sheetData>
  <mergeCells count="3">
    <mergeCell ref="A1:H1"/>
    <mergeCell ref="F46:G46"/>
    <mergeCell ref="A11:B11"/>
  </mergeCells>
  <pageMargins left="0.28000000000000003" right="0.52" top="0.75" bottom="0.75" header="0.3" footer="0.3"/>
  <pageSetup scale="72" orientation="portrait" r:id="rId1"/>
  <headerFooter>
    <oddFooter>&amp;L&amp;8&amp;F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2"/>
  <sheetViews>
    <sheetView tabSelected="1" zoomScale="80" zoomScaleNormal="80" workbookViewId="0">
      <pane xSplit="3" ySplit="1" topLeftCell="N56" activePane="bottomRight" state="frozen"/>
      <selection pane="topRight" activeCell="D1" sqref="D1"/>
      <selection pane="bottomLeft" activeCell="A6" sqref="A6"/>
      <selection pane="bottomRight" activeCell="W46" sqref="W46"/>
    </sheetView>
  </sheetViews>
  <sheetFormatPr defaultColWidth="8.85546875" defaultRowHeight="15"/>
  <cols>
    <col min="1" max="1" width="5.42578125" style="61" bestFit="1" customWidth="1"/>
    <col min="2" max="2" width="27.7109375" style="65" bestFit="1" customWidth="1"/>
    <col min="3" max="3" width="30.7109375" style="61" customWidth="1"/>
    <col min="4" max="4" width="23.7109375" style="62" customWidth="1"/>
    <col min="5" max="5" width="13.7109375" style="61" customWidth="1"/>
    <col min="6" max="6" width="16" style="61" customWidth="1"/>
    <col min="7" max="7" width="19.28515625" style="125" customWidth="1"/>
    <col min="8" max="8" width="25.7109375" style="61" customWidth="1"/>
    <col min="9" max="9" width="21.7109375" style="60" customWidth="1"/>
    <col min="10" max="10" width="11.28515625" style="61" hidden="1" customWidth="1"/>
    <col min="11" max="11" width="12.140625" style="61" hidden="1" customWidth="1"/>
    <col min="12" max="12" width="13.7109375" style="61" hidden="1" customWidth="1"/>
    <col min="13" max="13" width="21.7109375" style="61" hidden="1" customWidth="1"/>
    <col min="14" max="14" width="26.28515625" style="61" bestFit="1" customWidth="1"/>
    <col min="15" max="15" width="24.28515625" style="61" bestFit="1" customWidth="1"/>
    <col min="16" max="16" width="32.7109375" style="61" bestFit="1" customWidth="1"/>
    <col min="17" max="17" width="35.140625" style="61" bestFit="1" customWidth="1"/>
    <col min="18" max="18" width="24.5703125" style="61" bestFit="1" customWidth="1"/>
    <col min="19" max="19" width="31.28515625" style="61" bestFit="1" customWidth="1"/>
    <col min="20" max="20" width="29" style="61" bestFit="1" customWidth="1"/>
    <col min="21" max="21" width="18.140625" style="61" bestFit="1" customWidth="1"/>
    <col min="22" max="23" width="21.5703125" style="61" bestFit="1" customWidth="1"/>
    <col min="24" max="16384" width="8.85546875" style="61"/>
  </cols>
  <sheetData>
    <row r="1" spans="1:23" ht="30">
      <c r="A1" s="53"/>
      <c r="B1" s="103" t="s">
        <v>16</v>
      </c>
      <c r="C1" s="81" t="s">
        <v>18</v>
      </c>
      <c r="D1" s="80" t="s">
        <v>43</v>
      </c>
      <c r="E1" s="103" t="s">
        <v>0</v>
      </c>
      <c r="F1" s="53" t="s">
        <v>1</v>
      </c>
      <c r="G1" s="121" t="s">
        <v>11</v>
      </c>
      <c r="H1" s="103" t="s">
        <v>35</v>
      </c>
      <c r="I1" s="104" t="s">
        <v>36</v>
      </c>
      <c r="J1" s="100" t="s">
        <v>10</v>
      </c>
      <c r="K1" s="80" t="s">
        <v>2</v>
      </c>
      <c r="L1" s="103" t="s">
        <v>45</v>
      </c>
      <c r="M1" s="80" t="s">
        <v>40</v>
      </c>
      <c r="N1" s="103" t="s">
        <v>37</v>
      </c>
      <c r="O1" s="103" t="s">
        <v>38</v>
      </c>
      <c r="P1" s="103" t="s">
        <v>41</v>
      </c>
      <c r="Q1" s="80" t="s">
        <v>39</v>
      </c>
      <c r="R1" s="103" t="s">
        <v>46</v>
      </c>
      <c r="S1" s="103" t="s">
        <v>42</v>
      </c>
      <c r="T1" s="103" t="s">
        <v>44</v>
      </c>
      <c r="U1" s="103" t="s">
        <v>47</v>
      </c>
      <c r="V1" s="103" t="s">
        <v>49</v>
      </c>
      <c r="W1" s="103" t="s">
        <v>48</v>
      </c>
    </row>
    <row r="2" spans="1:23" s="63" customFormat="1" ht="14.45" customHeight="1">
      <c r="A2" s="352" t="s">
        <v>14</v>
      </c>
      <c r="B2" s="268" t="str">
        <f>'Tariff Changes'!$A$7</f>
        <v xml:space="preserve">Item 100, pg 21 Appendix A </v>
      </c>
      <c r="C2" s="128" t="s">
        <v>148</v>
      </c>
      <c r="D2" s="131">
        <v>138.16666666666666</v>
      </c>
      <c r="E2" s="74">
        <f>References!$B$7</f>
        <v>4.333333333333333</v>
      </c>
      <c r="F2" s="132">
        <f>D2*E2*12</f>
        <v>7184.6666666666661</v>
      </c>
      <c r="G2" s="133">
        <f>References!$B$13</f>
        <v>20</v>
      </c>
      <c r="H2" s="292">
        <f>G2*F2</f>
        <v>143693.33333333331</v>
      </c>
      <c r="I2" s="50">
        <f>$D$114*H2</f>
        <v>99116.11505911102</v>
      </c>
      <c r="J2" s="76">
        <f>(References!$C$49*I2)</f>
        <v>308.74669840913009</v>
      </c>
      <c r="K2" s="76">
        <f>J2/References!$G$52</f>
        <v>317.02094507560332</v>
      </c>
      <c r="L2" s="71">
        <f>K2/F2*E2</f>
        <v>0.19120684262702251</v>
      </c>
      <c r="M2" s="134">
        <f>'Tariff Changes'!C8</f>
        <v>10.78</v>
      </c>
      <c r="N2" s="71">
        <f>L2+M2</f>
        <v>10.971206842627021</v>
      </c>
      <c r="O2" s="134">
        <f>'Tariff Changes'!E8</f>
        <v>10.954618834612294</v>
      </c>
      <c r="P2" s="71">
        <f>M2*D2*12</f>
        <v>17873.239999999998</v>
      </c>
      <c r="Q2" s="71">
        <f>O2*D2*12</f>
        <v>18162.758027787182</v>
      </c>
      <c r="R2" s="71">
        <f>Q2-P2</f>
        <v>289.51802778718411</v>
      </c>
      <c r="S2" s="71">
        <f>N2*D2*12</f>
        <v>18190.260945075599</v>
      </c>
      <c r="T2" s="71">
        <f t="shared" ref="T2:T9" si="0">Q2-S2</f>
        <v>-27.502917288416938</v>
      </c>
      <c r="U2" s="75">
        <f>N2</f>
        <v>10.971206842627021</v>
      </c>
      <c r="V2" s="75">
        <f>U2*D2*12</f>
        <v>18190.260945075599</v>
      </c>
      <c r="W2" s="75">
        <f>V2-P2</f>
        <v>317.02094507560105</v>
      </c>
    </row>
    <row r="3" spans="1:23" s="63" customFormat="1">
      <c r="A3" s="353"/>
      <c r="B3" s="266" t="str">
        <f>'Tariff Changes'!$A$7</f>
        <v xml:space="preserve">Item 100, pg 21 Appendix A </v>
      </c>
      <c r="C3" s="129" t="s">
        <v>149</v>
      </c>
      <c r="D3" s="131">
        <v>902.58333333333337</v>
      </c>
      <c r="E3" s="73">
        <f>References!$B$7</f>
        <v>4.333333333333333</v>
      </c>
      <c r="F3" s="132">
        <f>D3*E3*12</f>
        <v>46934.333333333328</v>
      </c>
      <c r="G3" s="133">
        <f>References!B14</f>
        <v>34</v>
      </c>
      <c r="H3" s="72">
        <f t="shared" ref="H3:H9" si="1">G3*F3</f>
        <v>1595767.3333333333</v>
      </c>
      <c r="I3" s="50">
        <f t="shared" ref="I3:I9" si="2">$D$114*H3</f>
        <v>1100720.9238533739</v>
      </c>
      <c r="J3" s="71">
        <f>(References!$C$49*I3)</f>
        <v>3428.7456778032515</v>
      </c>
      <c r="K3" s="71">
        <f>J3/References!$G$52</f>
        <v>3520.6342312385786</v>
      </c>
      <c r="L3" s="71">
        <f>K3/F3*E3</f>
        <v>0.32505163246593843</v>
      </c>
      <c r="M3" s="134">
        <f>'Tariff Changes'!C9</f>
        <v>15.54</v>
      </c>
      <c r="N3" s="71">
        <f>L3+M3</f>
        <v>15.865051632465937</v>
      </c>
      <c r="O3" s="134">
        <f>'Tariff Changes'!E9</f>
        <v>15.834065399106509</v>
      </c>
      <c r="P3" s="71">
        <f t="shared" ref="P3:P9" si="3">M3*D3*12</f>
        <v>168313.74</v>
      </c>
      <c r="Q3" s="71">
        <f t="shared" ref="Q3:Q9" si="4">O3*D3*12</f>
        <v>171498.76233772258</v>
      </c>
      <c r="R3" s="71">
        <f t="shared" ref="R3:R9" si="5">Q3-P3</f>
        <v>3185.0223377225921</v>
      </c>
      <c r="S3" s="71">
        <f t="shared" ref="S3:S9" si="6">N3*D3*12</f>
        <v>171834.37423123856</v>
      </c>
      <c r="T3" s="71">
        <f t="shared" si="0"/>
        <v>-335.61189351597568</v>
      </c>
      <c r="U3" s="75">
        <f>N3</f>
        <v>15.865051632465937</v>
      </c>
      <c r="V3" s="75">
        <f t="shared" ref="V3:V9" si="7">U3*D3*12</f>
        <v>171834.37423123856</v>
      </c>
      <c r="W3" s="75">
        <f t="shared" ref="W3:W9" si="8">V3-P3</f>
        <v>3520.6342312385677</v>
      </c>
    </row>
    <row r="4" spans="1:23" s="63" customFormat="1">
      <c r="A4" s="353"/>
      <c r="B4" s="266" t="str">
        <f>'Tariff Changes'!$A$7</f>
        <v xml:space="preserve">Item 100, pg 21 Appendix A </v>
      </c>
      <c r="C4" s="129" t="s">
        <v>150</v>
      </c>
      <c r="D4" s="131">
        <v>19.833333333333332</v>
      </c>
      <c r="E4" s="73">
        <f>References!$B$7</f>
        <v>4.333333333333333</v>
      </c>
      <c r="F4" s="132">
        <f t="shared" ref="F4:F9" si="9">D4*E4*12</f>
        <v>1031.333333333333</v>
      </c>
      <c r="G4" s="133">
        <f>References!B15</f>
        <v>51</v>
      </c>
      <c r="H4" s="72">
        <f t="shared" si="1"/>
        <v>52597.999999999985</v>
      </c>
      <c r="I4" s="50">
        <f t="shared" si="2"/>
        <v>36280.802309634782</v>
      </c>
      <c r="J4" s="71">
        <f>(References!$C$49*I4)</f>
        <v>113.01469919451209</v>
      </c>
      <c r="K4" s="71">
        <f>J4/References!$G$52</f>
        <v>116.04343279033996</v>
      </c>
      <c r="L4" s="71">
        <f t="shared" ref="L4:L9" si="10">K4/F4*E4</f>
        <v>0.48757744869890751</v>
      </c>
      <c r="M4" s="134">
        <f>'Tariff Changes'!C10</f>
        <v>26.17</v>
      </c>
      <c r="N4" s="71">
        <f t="shared" ref="N4:N9" si="11">L4+M4</f>
        <v>26.657577448698909</v>
      </c>
      <c r="O4" s="134">
        <f>'Tariff Changes'!E10</f>
        <v>26.758130798213021</v>
      </c>
      <c r="P4" s="71">
        <f t="shared" si="3"/>
        <v>6228.4599999999991</v>
      </c>
      <c r="Q4" s="71">
        <f t="shared" si="4"/>
        <v>6368.4351299746986</v>
      </c>
      <c r="R4" s="71">
        <f t="shared" si="5"/>
        <v>139.97512997469948</v>
      </c>
      <c r="S4" s="71">
        <f t="shared" si="6"/>
        <v>6344.5034327903395</v>
      </c>
      <c r="T4" s="71">
        <f t="shared" si="0"/>
        <v>23.931697184359109</v>
      </c>
      <c r="U4" s="75">
        <f t="shared" ref="U4:U42" si="12">N4</f>
        <v>26.657577448698909</v>
      </c>
      <c r="V4" s="75">
        <f t="shared" si="7"/>
        <v>6344.5034327903395</v>
      </c>
      <c r="W4" s="75">
        <f t="shared" si="8"/>
        <v>116.04343279034038</v>
      </c>
    </row>
    <row r="5" spans="1:23" s="63" customFormat="1">
      <c r="A5" s="353"/>
      <c r="B5" s="266" t="str">
        <f>'Tariff Changes'!$A$7</f>
        <v xml:space="preserve">Item 100, pg 21 Appendix A </v>
      </c>
      <c r="C5" s="129" t="s">
        <v>151</v>
      </c>
      <c r="D5" s="131">
        <v>2</v>
      </c>
      <c r="E5" s="73">
        <f>References!$B$7</f>
        <v>4.333333333333333</v>
      </c>
      <c r="F5" s="132">
        <f t="shared" si="9"/>
        <v>104</v>
      </c>
      <c r="G5" s="133">
        <f>References!B16</f>
        <v>77</v>
      </c>
      <c r="H5" s="72">
        <f t="shared" si="1"/>
        <v>8008</v>
      </c>
      <c r="I5" s="50">
        <f t="shared" si="2"/>
        <v>5523.7207668648134</v>
      </c>
      <c r="J5" s="71">
        <f>(References!$C$49*I5)</f>
        <v>17.206390188783853</v>
      </c>
      <c r="K5" s="71">
        <f>J5/References!$G$52</f>
        <v>17.667512258736885</v>
      </c>
      <c r="L5" s="71">
        <f t="shared" si="10"/>
        <v>0.73614634411403679</v>
      </c>
      <c r="M5" s="134">
        <f>'Tariff Changes'!C11</f>
        <v>37.770000000000003</v>
      </c>
      <c r="N5" s="71">
        <f t="shared" si="11"/>
        <v>38.506146344114043</v>
      </c>
      <c r="O5" s="134">
        <f>'Tariff Changes'!E11</f>
        <v>38.652196197319533</v>
      </c>
      <c r="P5" s="71">
        <f t="shared" si="3"/>
        <v>906.48</v>
      </c>
      <c r="Q5" s="71">
        <f t="shared" si="4"/>
        <v>927.65270873566874</v>
      </c>
      <c r="R5" s="71">
        <f t="shared" si="5"/>
        <v>21.172708735668721</v>
      </c>
      <c r="S5" s="71">
        <f t="shared" si="6"/>
        <v>924.14751225873704</v>
      </c>
      <c r="T5" s="71">
        <f t="shared" si="0"/>
        <v>3.505196476931701</v>
      </c>
      <c r="U5" s="75">
        <f t="shared" si="12"/>
        <v>38.506146344114043</v>
      </c>
      <c r="V5" s="75">
        <f t="shared" si="7"/>
        <v>924.14751225873704</v>
      </c>
      <c r="W5" s="75">
        <f t="shared" si="8"/>
        <v>17.66751225873702</v>
      </c>
    </row>
    <row r="6" spans="1:23" s="63" customFormat="1">
      <c r="A6" s="353"/>
      <c r="B6" s="266" t="str">
        <f>'Tariff Changes'!$A$7</f>
        <v xml:space="preserve">Item 100, pg 21 Appendix A </v>
      </c>
      <c r="C6" s="129" t="s">
        <v>152</v>
      </c>
      <c r="D6" s="131">
        <v>731.16666666666663</v>
      </c>
      <c r="E6" s="73">
        <f>References!$B$7</f>
        <v>4.333333333333333</v>
      </c>
      <c r="F6" s="132">
        <f t="shared" ref="F6" si="13">D6*E6*12</f>
        <v>38020.666666666664</v>
      </c>
      <c r="G6" s="133">
        <f>References!B14</f>
        <v>34</v>
      </c>
      <c r="H6" s="72">
        <f t="shared" ref="H6" si="14">G6*F6</f>
        <v>1292702.6666666665</v>
      </c>
      <c r="I6" s="50">
        <f t="shared" si="2"/>
        <v>891674.39625976374</v>
      </c>
      <c r="J6" s="71">
        <f>(References!$C$49*I6)</f>
        <v>2777.5657443491577</v>
      </c>
      <c r="K6" s="71">
        <f>J6/References!$G$52</f>
        <v>2852.003023256143</v>
      </c>
      <c r="L6" s="71">
        <f t="shared" ref="L6" si="15">K6/F6*E6</f>
        <v>0.32505163246593838</v>
      </c>
      <c r="M6" s="134">
        <f>'Tariff Changes'!C14</f>
        <v>15.54</v>
      </c>
      <c r="N6" s="71">
        <f t="shared" ref="N6" si="16">L6+M6</f>
        <v>15.865051632465937</v>
      </c>
      <c r="O6" s="134">
        <f>'Tariff Changes'!E14</f>
        <v>15.834065399106509</v>
      </c>
      <c r="P6" s="71">
        <f t="shared" ref="P6" si="17">M6*D6*12</f>
        <v>136347.95999999996</v>
      </c>
      <c r="Q6" s="71">
        <f t="shared" ref="Q6" si="18">O6*D6*12</f>
        <v>138928.0898117605</v>
      </c>
      <c r="R6" s="71">
        <f t="shared" ref="R6" si="19">Q6-P6</f>
        <v>2580.1298117605329</v>
      </c>
      <c r="S6" s="71">
        <f t="shared" ref="S6" si="20">N6*D6*12</f>
        <v>139199.9630232561</v>
      </c>
      <c r="T6" s="71">
        <f t="shared" ref="T6" si="21">Q6-S6</f>
        <v>-271.87321149560739</v>
      </c>
      <c r="U6" s="75">
        <f t="shared" ref="U6" si="22">N6</f>
        <v>15.865051632465937</v>
      </c>
      <c r="V6" s="75">
        <f t="shared" ref="V6" si="23">U6*D6*12</f>
        <v>139199.9630232561</v>
      </c>
      <c r="W6" s="75">
        <f t="shared" ref="W6" si="24">V6-P6</f>
        <v>2852.0030232561403</v>
      </c>
    </row>
    <row r="7" spans="1:23" s="63" customFormat="1">
      <c r="A7" s="353"/>
      <c r="B7" s="266" t="str">
        <f>'Tariff Changes'!$A$7</f>
        <v xml:space="preserve">Item 100, pg 21 Appendix A </v>
      </c>
      <c r="C7" s="129" t="s">
        <v>153</v>
      </c>
      <c r="D7" s="131">
        <v>809.41666666666663</v>
      </c>
      <c r="E7" s="73">
        <f>References!$B$7</f>
        <v>4.333333333333333</v>
      </c>
      <c r="F7" s="132">
        <f t="shared" si="9"/>
        <v>42089.666666666657</v>
      </c>
      <c r="G7" s="133">
        <f>References!B21</f>
        <v>47</v>
      </c>
      <c r="H7" s="72">
        <f t="shared" si="1"/>
        <v>1978214.3333333328</v>
      </c>
      <c r="I7" s="50">
        <f t="shared" si="2"/>
        <v>1364523.4258670032</v>
      </c>
      <c r="J7" s="71">
        <f>(References!$C$49*I7)</f>
        <v>4250.4904715757048</v>
      </c>
      <c r="K7" s="71">
        <f>J7/References!$G$52</f>
        <v>4364.4013467252335</v>
      </c>
      <c r="L7" s="71">
        <f t="shared" si="10"/>
        <v>0.44933608017350296</v>
      </c>
      <c r="M7" s="134">
        <f>'Tariff Changes'!C15</f>
        <v>23.23</v>
      </c>
      <c r="N7" s="71">
        <f t="shared" si="11"/>
        <v>23.679336080173503</v>
      </c>
      <c r="O7" s="134">
        <f>'Tariff Changes'!E15</f>
        <v>23.818130798213019</v>
      </c>
      <c r="P7" s="71">
        <f t="shared" si="3"/>
        <v>225632.99</v>
      </c>
      <c r="Q7" s="71">
        <f t="shared" si="4"/>
        <v>231345.50444304306</v>
      </c>
      <c r="R7" s="71">
        <f t="shared" si="5"/>
        <v>5712.5144430430664</v>
      </c>
      <c r="S7" s="71">
        <f t="shared" si="6"/>
        <v>229997.39134672523</v>
      </c>
      <c r="T7" s="71">
        <f t="shared" si="0"/>
        <v>1348.1130963178293</v>
      </c>
      <c r="U7" s="75">
        <f t="shared" si="12"/>
        <v>23.679336080173503</v>
      </c>
      <c r="V7" s="75">
        <f t="shared" si="7"/>
        <v>229997.39134672523</v>
      </c>
      <c r="W7" s="75">
        <f t="shared" si="8"/>
        <v>4364.4013467252371</v>
      </c>
    </row>
    <row r="8" spans="1:23" s="63" customFormat="1">
      <c r="A8" s="353"/>
      <c r="B8" s="266" t="str">
        <f>'Tariff Changes'!$A$7</f>
        <v xml:space="preserve">Item 100, pg 21 Appendix A </v>
      </c>
      <c r="C8" s="129" t="s">
        <v>154</v>
      </c>
      <c r="D8" s="131">
        <v>204.91666666666666</v>
      </c>
      <c r="E8" s="73">
        <f>References!$B$7</f>
        <v>4.333333333333333</v>
      </c>
      <c r="F8" s="132">
        <f t="shared" si="9"/>
        <v>10655.666666666666</v>
      </c>
      <c r="G8" s="133">
        <f>References!B22</f>
        <v>68</v>
      </c>
      <c r="H8" s="72">
        <f t="shared" si="1"/>
        <v>724585.33333333326</v>
      </c>
      <c r="I8" s="50">
        <f t="shared" si="2"/>
        <v>499801.08055681764</v>
      </c>
      <c r="J8" s="71">
        <f>(References!$C$49*I8)</f>
        <v>1556.8803659344833</v>
      </c>
      <c r="K8" s="71">
        <f>J8/References!$G$52</f>
        <v>1598.6039284674846</v>
      </c>
      <c r="L8" s="71">
        <f t="shared" si="10"/>
        <v>0.65010326493187653</v>
      </c>
      <c r="M8" s="134">
        <f>'Tariff Changes'!C16</f>
        <v>32.74</v>
      </c>
      <c r="N8" s="71">
        <f t="shared" si="11"/>
        <v>33.390103264931881</v>
      </c>
      <c r="O8" s="134">
        <f>'Tariff Changes'!E16</f>
        <v>33.622196197319532</v>
      </c>
      <c r="P8" s="71">
        <f t="shared" si="3"/>
        <v>80507.66</v>
      </c>
      <c r="Q8" s="71">
        <f t="shared" si="4"/>
        <v>82676.980449208728</v>
      </c>
      <c r="R8" s="71">
        <f t="shared" si="5"/>
        <v>2169.3204492087243</v>
      </c>
      <c r="S8" s="71">
        <f t="shared" si="6"/>
        <v>82106.263928467495</v>
      </c>
      <c r="T8" s="71">
        <f t="shared" si="0"/>
        <v>570.71652074123267</v>
      </c>
      <c r="U8" s="75">
        <f t="shared" si="12"/>
        <v>33.390103264931881</v>
      </c>
      <c r="V8" s="75">
        <f t="shared" si="7"/>
        <v>82106.263928467495</v>
      </c>
      <c r="W8" s="75">
        <f t="shared" si="8"/>
        <v>1598.6039284674916</v>
      </c>
    </row>
    <row r="9" spans="1:23" s="63" customFormat="1">
      <c r="A9" s="353"/>
      <c r="B9" s="266" t="str">
        <f>'Tariff Changes'!$A$7</f>
        <v xml:space="preserve">Item 100, pg 21 Appendix A </v>
      </c>
      <c r="C9" s="129" t="s">
        <v>113</v>
      </c>
      <c r="D9" s="131">
        <v>57.75</v>
      </c>
      <c r="E9" s="73">
        <f>References!$B$9</f>
        <v>1</v>
      </c>
      <c r="F9" s="132">
        <f t="shared" si="9"/>
        <v>693</v>
      </c>
      <c r="G9" s="133">
        <f>References!B14</f>
        <v>34</v>
      </c>
      <c r="H9" s="72">
        <f t="shared" si="1"/>
        <v>23562</v>
      </c>
      <c r="I9" s="50">
        <f t="shared" si="2"/>
        <v>16252.486102506085</v>
      </c>
      <c r="J9" s="71">
        <f>(References!$C$49*I9)</f>
        <v>50.626494209306337</v>
      </c>
      <c r="K9" s="71">
        <f>J9/References!$G$52</f>
        <v>51.98325722282199</v>
      </c>
      <c r="L9" s="71">
        <f t="shared" si="10"/>
        <v>7.5011915184447317E-2</v>
      </c>
      <c r="M9" s="134">
        <f>'Tariff Changes'!C17</f>
        <v>6.03</v>
      </c>
      <c r="N9" s="71">
        <f t="shared" si="11"/>
        <v>6.1050119151844475</v>
      </c>
      <c r="O9" s="134">
        <f>'Tariff Changes'!E17</f>
        <v>6.0979134870915725</v>
      </c>
      <c r="P9" s="71">
        <f t="shared" si="3"/>
        <v>4178.79</v>
      </c>
      <c r="Q9" s="71">
        <f t="shared" si="4"/>
        <v>4225.8540465544593</v>
      </c>
      <c r="R9" s="71">
        <f t="shared" si="5"/>
        <v>47.06404655445931</v>
      </c>
      <c r="S9" s="71">
        <f t="shared" si="6"/>
        <v>4230.7732572228215</v>
      </c>
      <c r="T9" s="71">
        <f t="shared" si="0"/>
        <v>-4.9192106683622114</v>
      </c>
      <c r="U9" s="75">
        <f t="shared" si="12"/>
        <v>6.1050119151844475</v>
      </c>
      <c r="V9" s="75">
        <f t="shared" si="7"/>
        <v>4230.7732572228215</v>
      </c>
      <c r="W9" s="75">
        <f t="shared" si="8"/>
        <v>51.983257222821521</v>
      </c>
    </row>
    <row r="10" spans="1:23" s="63" customFormat="1">
      <c r="A10" s="353"/>
      <c r="B10" s="266"/>
      <c r="C10" s="141"/>
      <c r="D10" s="142"/>
      <c r="E10" s="73"/>
      <c r="F10" s="143"/>
      <c r="G10" s="144"/>
      <c r="H10" s="72"/>
      <c r="I10" s="50"/>
      <c r="J10" s="71"/>
      <c r="K10" s="71"/>
      <c r="L10" s="71"/>
      <c r="M10" s="145"/>
      <c r="N10" s="71"/>
      <c r="O10" s="145"/>
      <c r="P10" s="71"/>
      <c r="Q10" s="71"/>
      <c r="R10" s="71"/>
      <c r="S10" s="71"/>
      <c r="T10" s="71"/>
      <c r="U10" s="75"/>
      <c r="V10" s="75"/>
      <c r="W10" s="75"/>
    </row>
    <row r="11" spans="1:23" s="63" customFormat="1" ht="14.45" customHeight="1">
      <c r="A11" s="353"/>
      <c r="B11" s="266" t="str">
        <f>'Tariff Changes'!$A$22</f>
        <v>Item 100, pg 25 Appendix B</v>
      </c>
      <c r="C11" s="141" t="s">
        <v>148</v>
      </c>
      <c r="D11" s="142">
        <v>296.33333333333331</v>
      </c>
      <c r="E11" s="73">
        <f>References!$B$7</f>
        <v>4.333333333333333</v>
      </c>
      <c r="F11" s="143">
        <f>D11*E11*12</f>
        <v>15409.33333333333</v>
      </c>
      <c r="G11" s="144">
        <f>References!$B$13</f>
        <v>20</v>
      </c>
      <c r="H11" s="72">
        <f>G11*F11</f>
        <v>308186.66666666663</v>
      </c>
      <c r="I11" s="50">
        <f t="shared" ref="I11:I19" si="25">$D$114*H11</f>
        <v>212579.55678540337</v>
      </c>
      <c r="J11" s="71">
        <f>(References!$C$49*I11)</f>
        <v>662.18531938652995</v>
      </c>
      <c r="K11" s="71">
        <f>J11/References!$G$52</f>
        <v>679.93153238169214</v>
      </c>
      <c r="L11" s="71">
        <f>K11/F11*E11</f>
        <v>0.19120684262702256</v>
      </c>
      <c r="M11" s="145">
        <f>'Tariff Changes'!C23</f>
        <v>10.76</v>
      </c>
      <c r="N11" s="71">
        <f>L11+M11</f>
        <v>10.951206842627021</v>
      </c>
      <c r="O11" s="145">
        <f>'Tariff Changes'!E23</f>
        <v>10.934618834612294</v>
      </c>
      <c r="P11" s="71">
        <f>M11*D11*12</f>
        <v>38262.559999999998</v>
      </c>
      <c r="Q11" s="71">
        <f>O11*D11*12</f>
        <v>38883.504575881314</v>
      </c>
      <c r="R11" s="71">
        <f>Q11-P11</f>
        <v>620.94457588131627</v>
      </c>
      <c r="S11" s="71">
        <f>N11*D11*12</f>
        <v>38942.491532381689</v>
      </c>
      <c r="T11" s="71">
        <f t="shared" ref="T11:T18" si="26">Q11-S11</f>
        <v>-58.986956500375527</v>
      </c>
      <c r="U11" s="75">
        <f t="shared" ref="U11:U18" si="27">N11</f>
        <v>10.951206842627021</v>
      </c>
      <c r="V11" s="75">
        <f>U11*D11*12</f>
        <v>38942.491532381689</v>
      </c>
      <c r="W11" s="75">
        <f>V11-P11</f>
        <v>679.9315323816918</v>
      </c>
    </row>
    <row r="12" spans="1:23" s="63" customFormat="1">
      <c r="A12" s="353"/>
      <c r="B12" s="266" t="str">
        <f>'Tariff Changes'!$A$22</f>
        <v>Item 100, pg 25 Appendix B</v>
      </c>
      <c r="C12" s="129" t="s">
        <v>149</v>
      </c>
      <c r="D12" s="131">
        <v>1617.9166666666667</v>
      </c>
      <c r="E12" s="73">
        <f>References!$B$7</f>
        <v>4.333333333333333</v>
      </c>
      <c r="F12" s="132">
        <f>D12*E12*12</f>
        <v>84131.666666666657</v>
      </c>
      <c r="G12" s="133">
        <f>References!B23</f>
        <v>34</v>
      </c>
      <c r="H12" s="72">
        <f t="shared" ref="H12:H18" si="28">G12*F12</f>
        <v>2860476.6666666665</v>
      </c>
      <c r="I12" s="50">
        <f t="shared" si="25"/>
        <v>1973086.2096402226</v>
      </c>
      <c r="J12" s="71">
        <f>(References!$C$49*I12)</f>
        <v>6146.163543029279</v>
      </c>
      <c r="K12" s="71">
        <f>J12/References!$G$52</f>
        <v>6310.8774443261927</v>
      </c>
      <c r="L12" s="71">
        <f t="shared" ref="L12:L18" si="29">K12/F12*E12</f>
        <v>0.32505163246593838</v>
      </c>
      <c r="M12" s="145">
        <f>'Tariff Changes'!C24</f>
        <v>15.54</v>
      </c>
      <c r="N12" s="71">
        <f t="shared" ref="N12:N18" si="30">L12+M12</f>
        <v>15.865051632465937</v>
      </c>
      <c r="O12" s="145">
        <f>'Tariff Changes'!E24</f>
        <v>15.834065399106509</v>
      </c>
      <c r="P12" s="71">
        <f t="shared" ref="P12:P18" si="31">M12*D12*12</f>
        <v>301709.09999999998</v>
      </c>
      <c r="Q12" s="71">
        <f t="shared" ref="Q12:Q18" si="32">O12*D12*12</f>
        <v>307418.37972365291</v>
      </c>
      <c r="R12" s="71">
        <f t="shared" ref="R12:R18" si="33">Q12-P12</f>
        <v>5709.2797236529295</v>
      </c>
      <c r="S12" s="71">
        <f t="shared" ref="S12:S18" si="34">N12*D12*12</f>
        <v>308019.97744432616</v>
      </c>
      <c r="T12" s="71">
        <f t="shared" si="26"/>
        <v>-601.59772067324957</v>
      </c>
      <c r="U12" s="75">
        <f t="shared" si="27"/>
        <v>15.865051632465937</v>
      </c>
      <c r="V12" s="75">
        <f t="shared" ref="V12:V18" si="35">U12*D12*12</f>
        <v>308019.97744432616</v>
      </c>
      <c r="W12" s="75">
        <f t="shared" ref="W12:W18" si="36">V12-P12</f>
        <v>6310.8774443261791</v>
      </c>
    </row>
    <row r="13" spans="1:23" s="63" customFormat="1">
      <c r="A13" s="353"/>
      <c r="B13" s="266" t="str">
        <f>'Tariff Changes'!$A$22</f>
        <v>Item 100, pg 25 Appendix B</v>
      </c>
      <c r="C13" s="129" t="s">
        <v>150</v>
      </c>
      <c r="D13" s="131">
        <v>105.66666666666667</v>
      </c>
      <c r="E13" s="73">
        <f>References!$B$7</f>
        <v>4.333333333333333</v>
      </c>
      <c r="F13" s="132">
        <f t="shared" ref="F13:F18" si="37">D13*E13*12</f>
        <v>5494.6666666666661</v>
      </c>
      <c r="G13" s="133">
        <f>References!B15</f>
        <v>51</v>
      </c>
      <c r="H13" s="72">
        <f t="shared" si="28"/>
        <v>280227.99999999994</v>
      </c>
      <c r="I13" s="50">
        <f t="shared" si="25"/>
        <v>193294.35852360047</v>
      </c>
      <c r="J13" s="71">
        <f>(References!$C$49*I13)</f>
        <v>602.11192680101408</v>
      </c>
      <c r="K13" s="71">
        <f>J13/References!$G$52</f>
        <v>618.2482049502147</v>
      </c>
      <c r="L13" s="71">
        <f t="shared" si="29"/>
        <v>0.48757744869890751</v>
      </c>
      <c r="M13" s="145">
        <f>'Tariff Changes'!C25</f>
        <v>26.17</v>
      </c>
      <c r="N13" s="71">
        <f t="shared" si="30"/>
        <v>26.657577448698909</v>
      </c>
      <c r="O13" s="145">
        <f>'Tariff Changes'!E25</f>
        <v>26.758130798213021</v>
      </c>
      <c r="P13" s="71">
        <f t="shared" si="31"/>
        <v>33183.560000000005</v>
      </c>
      <c r="Q13" s="71">
        <f t="shared" si="32"/>
        <v>33929.309852134109</v>
      </c>
      <c r="R13" s="71">
        <f t="shared" si="33"/>
        <v>745.749852134104</v>
      </c>
      <c r="S13" s="71">
        <f t="shared" si="34"/>
        <v>33801.808204950212</v>
      </c>
      <c r="T13" s="71">
        <f t="shared" si="26"/>
        <v>127.50164718389715</v>
      </c>
      <c r="U13" s="75">
        <f t="shared" si="27"/>
        <v>26.657577448698909</v>
      </c>
      <c r="V13" s="75">
        <f t="shared" si="35"/>
        <v>33801.808204950212</v>
      </c>
      <c r="W13" s="75">
        <f t="shared" si="36"/>
        <v>618.24820495020685</v>
      </c>
    </row>
    <row r="14" spans="1:23" s="63" customFormat="1">
      <c r="A14" s="353"/>
      <c r="B14" s="266" t="str">
        <f>'Tariff Changes'!$A$22</f>
        <v>Item 100, pg 25 Appendix B</v>
      </c>
      <c r="C14" s="129" t="s">
        <v>151</v>
      </c>
      <c r="D14" s="131">
        <v>5</v>
      </c>
      <c r="E14" s="73">
        <f>References!$B$7</f>
        <v>4.333333333333333</v>
      </c>
      <c r="F14" s="132">
        <f t="shared" si="37"/>
        <v>260</v>
      </c>
      <c r="G14" s="133">
        <f>References!B16</f>
        <v>77</v>
      </c>
      <c r="H14" s="72">
        <f t="shared" si="28"/>
        <v>20020</v>
      </c>
      <c r="I14" s="50">
        <f t="shared" si="25"/>
        <v>13809.301917162033</v>
      </c>
      <c r="J14" s="71">
        <f>(References!$C$49*I14)</f>
        <v>43.015975471959635</v>
      </c>
      <c r="K14" s="71">
        <f>J14/References!$G$52</f>
        <v>44.168780646842215</v>
      </c>
      <c r="L14" s="71">
        <f t="shared" si="29"/>
        <v>0.73614634411403679</v>
      </c>
      <c r="M14" s="145">
        <f>'Tariff Changes'!C26</f>
        <v>37.770000000000003</v>
      </c>
      <c r="N14" s="71">
        <f t="shared" si="30"/>
        <v>38.506146344114043</v>
      </c>
      <c r="O14" s="145">
        <f>'Tariff Changes'!E26</f>
        <v>38.652196197319533</v>
      </c>
      <c r="P14" s="71">
        <f t="shared" si="31"/>
        <v>2266.2000000000003</v>
      </c>
      <c r="Q14" s="71">
        <f t="shared" si="32"/>
        <v>2319.131771839172</v>
      </c>
      <c r="R14" s="71">
        <f>Q14-P14</f>
        <v>52.931771839171688</v>
      </c>
      <c r="S14" s="71">
        <f t="shared" si="34"/>
        <v>2310.3687806468424</v>
      </c>
      <c r="T14" s="71">
        <f t="shared" si="26"/>
        <v>8.7629911923295367</v>
      </c>
      <c r="U14" s="75">
        <f t="shared" si="27"/>
        <v>38.506146344114043</v>
      </c>
      <c r="V14" s="75">
        <f t="shared" si="35"/>
        <v>2310.3687806468424</v>
      </c>
      <c r="W14" s="75">
        <f t="shared" si="36"/>
        <v>44.168780646842151</v>
      </c>
    </row>
    <row r="15" spans="1:23" s="63" customFormat="1">
      <c r="A15" s="353"/>
      <c r="B15" s="266" t="str">
        <f>'Tariff Changes'!$A$22</f>
        <v>Item 100, pg 25 Appendix B</v>
      </c>
      <c r="C15" s="129" t="s">
        <v>155</v>
      </c>
      <c r="D15" s="131">
        <v>1</v>
      </c>
      <c r="E15" s="73">
        <f>References!$B$7</f>
        <v>4.333333333333333</v>
      </c>
      <c r="F15" s="132">
        <f t="shared" si="37"/>
        <v>52</v>
      </c>
      <c r="G15" s="133">
        <f>References!B17</f>
        <v>97</v>
      </c>
      <c r="H15" s="72">
        <f t="shared" si="28"/>
        <v>5044</v>
      </c>
      <c r="I15" s="50">
        <f t="shared" si="25"/>
        <v>3479.2267167914733</v>
      </c>
      <c r="J15" s="71">
        <f>(References!$C$49*I15)</f>
        <v>10.837791222805414</v>
      </c>
      <c r="K15" s="71">
        <f>J15/References!$G$52</f>
        <v>11.128238240892713</v>
      </c>
      <c r="L15" s="71">
        <f t="shared" si="29"/>
        <v>0.92735318674105938</v>
      </c>
      <c r="M15" s="145">
        <f>'Tariff Changes'!C27</f>
        <v>50.51</v>
      </c>
      <c r="N15" s="71">
        <f t="shared" si="30"/>
        <v>51.437353186741056</v>
      </c>
      <c r="O15" s="145">
        <f>'Tariff Changes'!E27</f>
        <v>51.686261596426036</v>
      </c>
      <c r="P15" s="71">
        <f t="shared" si="31"/>
        <v>606.12</v>
      </c>
      <c r="Q15" s="71">
        <f t="shared" si="32"/>
        <v>620.23513915711237</v>
      </c>
      <c r="R15" s="71">
        <f t="shared" si="33"/>
        <v>14.115139157112367</v>
      </c>
      <c r="S15" s="71">
        <f t="shared" si="34"/>
        <v>617.24823824089265</v>
      </c>
      <c r="T15" s="71">
        <f t="shared" si="26"/>
        <v>2.9869009162197244</v>
      </c>
      <c r="U15" s="75">
        <f t="shared" si="27"/>
        <v>51.437353186741056</v>
      </c>
      <c r="V15" s="75">
        <f t="shared" si="35"/>
        <v>617.24823824089265</v>
      </c>
      <c r="W15" s="75">
        <f t="shared" si="36"/>
        <v>11.128238240892642</v>
      </c>
    </row>
    <row r="16" spans="1:23" s="63" customFormat="1">
      <c r="A16" s="353"/>
      <c r="B16" s="266" t="str">
        <f>'Tariff Changes'!$A$22</f>
        <v>Item 100, pg 25 Appendix B</v>
      </c>
      <c r="C16" s="129" t="s">
        <v>152</v>
      </c>
      <c r="D16" s="131">
        <v>789</v>
      </c>
      <c r="E16" s="73">
        <f>References!$B$7</f>
        <v>4.333333333333333</v>
      </c>
      <c r="F16" s="132">
        <f t="shared" si="37"/>
        <v>41027.999999999993</v>
      </c>
      <c r="G16" s="133">
        <f>References!$B$14</f>
        <v>34</v>
      </c>
      <c r="H16" s="72">
        <f t="shared" si="28"/>
        <v>1394951.9999999998</v>
      </c>
      <c r="I16" s="50">
        <f t="shared" si="25"/>
        <v>962203.4629345159</v>
      </c>
      <c r="J16" s="71">
        <f>(References!$C$49*I16)</f>
        <v>2997.2637870410099</v>
      </c>
      <c r="K16" s="71">
        <f>J16/References!$G$52</f>
        <v>3077.5888561875036</v>
      </c>
      <c r="L16" s="71">
        <f t="shared" si="29"/>
        <v>0.32505163246593827</v>
      </c>
      <c r="M16" s="145">
        <f>'Tariff Changes'!C29</f>
        <v>15.54</v>
      </c>
      <c r="N16" s="71">
        <f t="shared" si="30"/>
        <v>15.865051632465937</v>
      </c>
      <c r="O16" s="145">
        <f>'Tariff Changes'!E29</f>
        <v>15.834065399106509</v>
      </c>
      <c r="P16" s="71">
        <f t="shared" si="31"/>
        <v>147132.72</v>
      </c>
      <c r="Q16" s="71">
        <f t="shared" si="32"/>
        <v>149916.93119874044</v>
      </c>
      <c r="R16" s="71">
        <f t="shared" si="33"/>
        <v>2784.2111987404351</v>
      </c>
      <c r="S16" s="71">
        <f t="shared" si="34"/>
        <v>150210.30885618748</v>
      </c>
      <c r="T16" s="71">
        <f t="shared" si="26"/>
        <v>-293.37765744703938</v>
      </c>
      <c r="U16" s="75">
        <f t="shared" si="27"/>
        <v>15.865051632465937</v>
      </c>
      <c r="V16" s="75">
        <f t="shared" si="35"/>
        <v>150210.30885618748</v>
      </c>
      <c r="W16" s="75">
        <f t="shared" si="36"/>
        <v>3077.5888561874744</v>
      </c>
    </row>
    <row r="17" spans="1:23" s="63" customFormat="1">
      <c r="A17" s="353"/>
      <c r="B17" s="266" t="str">
        <f>'Tariff Changes'!$A$22</f>
        <v>Item 100, pg 25 Appendix B</v>
      </c>
      <c r="C17" s="129" t="s">
        <v>153</v>
      </c>
      <c r="D17" s="131">
        <v>624.33333333333337</v>
      </c>
      <c r="E17" s="73">
        <f>References!$B$7</f>
        <v>4.333333333333333</v>
      </c>
      <c r="F17" s="132">
        <f t="shared" si="37"/>
        <v>32465.333333333332</v>
      </c>
      <c r="G17" s="133">
        <f>References!B21</f>
        <v>47</v>
      </c>
      <c r="H17" s="72">
        <f t="shared" si="28"/>
        <v>1525870.6666666665</v>
      </c>
      <c r="I17" s="50">
        <f t="shared" si="25"/>
        <v>1052507.9281988665</v>
      </c>
      <c r="J17" s="71">
        <f>(References!$C$49*I17)</f>
        <v>3278.5621963394615</v>
      </c>
      <c r="K17" s="71">
        <f>J17/References!$G$52</f>
        <v>3366.4259126598845</v>
      </c>
      <c r="L17" s="71">
        <f t="shared" si="29"/>
        <v>0.44933608017350302</v>
      </c>
      <c r="M17" s="145">
        <f>'Tariff Changes'!C30</f>
        <v>23.23</v>
      </c>
      <c r="N17" s="71">
        <f t="shared" si="30"/>
        <v>23.679336080173503</v>
      </c>
      <c r="O17" s="145">
        <f>'Tariff Changes'!E30</f>
        <v>23.818130798213019</v>
      </c>
      <c r="P17" s="71">
        <f t="shared" si="31"/>
        <v>174039.16</v>
      </c>
      <c r="Q17" s="71">
        <f t="shared" si="32"/>
        <v>178445.43594021193</v>
      </c>
      <c r="R17" s="71">
        <f t="shared" si="33"/>
        <v>4406.2759402119264</v>
      </c>
      <c r="S17" s="71">
        <f t="shared" si="34"/>
        <v>177405.58591265991</v>
      </c>
      <c r="T17" s="71">
        <f t="shared" si="26"/>
        <v>1039.85002755202</v>
      </c>
      <c r="U17" s="75">
        <f t="shared" si="27"/>
        <v>23.679336080173503</v>
      </c>
      <c r="V17" s="75">
        <f t="shared" si="35"/>
        <v>177405.58591265991</v>
      </c>
      <c r="W17" s="75">
        <f t="shared" si="36"/>
        <v>3366.4259126599063</v>
      </c>
    </row>
    <row r="18" spans="1:23" s="63" customFormat="1">
      <c r="A18" s="353"/>
      <c r="B18" s="266" t="str">
        <f>'Tariff Changes'!$A$22</f>
        <v>Item 100, pg 25 Appendix B</v>
      </c>
      <c r="C18" s="129" t="s">
        <v>154</v>
      </c>
      <c r="D18" s="131">
        <v>134.5</v>
      </c>
      <c r="E18" s="73">
        <f>References!$B$7</f>
        <v>4.333333333333333</v>
      </c>
      <c r="F18" s="132">
        <f t="shared" si="37"/>
        <v>6993.9999999999991</v>
      </c>
      <c r="G18" s="133">
        <f>References!B22</f>
        <v>68</v>
      </c>
      <c r="H18" s="72">
        <f t="shared" si="28"/>
        <v>475591.99999999994</v>
      </c>
      <c r="I18" s="50">
        <f t="shared" si="25"/>
        <v>328051.62424510112</v>
      </c>
      <c r="J18" s="71">
        <f>(References!$C$49*I18)</f>
        <v>1021.8808095234876</v>
      </c>
      <c r="K18" s="71">
        <f>J18/References!$G$52</f>
        <v>1049.266669600049</v>
      </c>
      <c r="L18" s="71">
        <f t="shared" si="29"/>
        <v>0.65010326493187676</v>
      </c>
      <c r="M18" s="145">
        <f>'Tariff Changes'!C31</f>
        <v>32.74</v>
      </c>
      <c r="N18" s="71">
        <f t="shared" si="30"/>
        <v>33.390103264931881</v>
      </c>
      <c r="O18" s="145">
        <f>'Tariff Changes'!E31</f>
        <v>33.622196197319532</v>
      </c>
      <c r="P18" s="71">
        <f t="shared" si="31"/>
        <v>52842.360000000008</v>
      </c>
      <c r="Q18" s="71">
        <f t="shared" si="32"/>
        <v>54266.224662473716</v>
      </c>
      <c r="R18" s="71">
        <f t="shared" si="33"/>
        <v>1423.8646624737084</v>
      </c>
      <c r="S18" s="71">
        <f t="shared" si="34"/>
        <v>53891.626669600053</v>
      </c>
      <c r="T18" s="71">
        <f t="shared" si="26"/>
        <v>374.59799287366332</v>
      </c>
      <c r="U18" s="75">
        <f t="shared" si="27"/>
        <v>33.390103264931881</v>
      </c>
      <c r="V18" s="75">
        <f t="shared" si="35"/>
        <v>53891.626669600053</v>
      </c>
      <c r="W18" s="75">
        <f t="shared" si="36"/>
        <v>1049.2666696000451</v>
      </c>
    </row>
    <row r="19" spans="1:23" s="63" customFormat="1">
      <c r="A19" s="353"/>
      <c r="B19" s="266" t="str">
        <f>'Tariff Changes'!$A$22</f>
        <v>Item 100, pg 25 Appendix B</v>
      </c>
      <c r="C19" s="129" t="s">
        <v>113</v>
      </c>
      <c r="D19" s="131">
        <v>52.916666666666664</v>
      </c>
      <c r="E19" s="73">
        <f>References!$B$9</f>
        <v>1</v>
      </c>
      <c r="F19" s="132">
        <f t="shared" ref="F19" si="38">D19*E19*12</f>
        <v>635</v>
      </c>
      <c r="G19" s="133">
        <f>References!B14</f>
        <v>34</v>
      </c>
      <c r="H19" s="72">
        <f t="shared" ref="H19" si="39">G19*F19</f>
        <v>21590</v>
      </c>
      <c r="I19" s="50">
        <f t="shared" si="25"/>
        <v>14892.249170406008</v>
      </c>
      <c r="J19" s="71">
        <f>(References!$C$49*I19)</f>
        <v>46.389356165814611</v>
      </c>
      <c r="K19" s="71">
        <f>J19/References!$G$52</f>
        <v>47.632566142124048</v>
      </c>
      <c r="L19" s="71">
        <f t="shared" ref="L19" si="40">K19/F19*E19</f>
        <v>7.5011915184447317E-2</v>
      </c>
      <c r="M19" s="145">
        <f>'Tariff Changes'!C32</f>
        <v>6.03</v>
      </c>
      <c r="N19" s="71">
        <f t="shared" ref="N19" si="41">L19+M19</f>
        <v>6.1050119151844475</v>
      </c>
      <c r="O19" s="145">
        <f>'Tariff Changes'!E32</f>
        <v>6.0979134870915725</v>
      </c>
      <c r="P19" s="71">
        <f t="shared" ref="P19" si="42">M19*D19*12</f>
        <v>3829.0499999999997</v>
      </c>
      <c r="Q19" s="71">
        <f t="shared" ref="Q19" si="43">O19*D19*12</f>
        <v>3872.1750643031482</v>
      </c>
      <c r="R19" s="71">
        <f t="shared" ref="R19" si="44">Q19-P19</f>
        <v>43.12506430314852</v>
      </c>
      <c r="S19" s="71">
        <f t="shared" ref="S19" si="45">N19*D19*12</f>
        <v>3876.6825661421235</v>
      </c>
      <c r="T19" s="71">
        <f t="shared" ref="T19" si="46">Q19-S19</f>
        <v>-4.5075018389752586</v>
      </c>
      <c r="U19" s="75">
        <f t="shared" ref="U19" si="47">N19</f>
        <v>6.1050119151844475</v>
      </c>
      <c r="V19" s="75">
        <f t="shared" ref="V19" si="48">U19*D19*12</f>
        <v>3876.6825661421235</v>
      </c>
      <c r="W19" s="75">
        <f t="shared" ref="W19" si="49">V19-P19</f>
        <v>47.632566142123778</v>
      </c>
    </row>
    <row r="20" spans="1:23" s="63" customFormat="1">
      <c r="A20" s="66"/>
      <c r="B20" s="119"/>
      <c r="C20" s="129"/>
      <c r="D20" s="131"/>
      <c r="E20" s="73"/>
      <c r="F20" s="72"/>
      <c r="G20" s="133"/>
      <c r="H20" s="72"/>
      <c r="I20" s="50"/>
      <c r="J20" s="71"/>
      <c r="K20" s="71"/>
      <c r="L20" s="71"/>
      <c r="M20" s="134"/>
      <c r="N20" s="71"/>
      <c r="O20" s="71"/>
      <c r="P20" s="71"/>
      <c r="Q20" s="71"/>
      <c r="R20" s="71"/>
      <c r="S20" s="71"/>
      <c r="T20" s="71"/>
      <c r="U20" s="75"/>
      <c r="V20" s="75"/>
      <c r="W20" s="75"/>
    </row>
    <row r="21" spans="1:23" s="63" customFormat="1">
      <c r="A21" s="54"/>
      <c r="B21" s="82"/>
      <c r="C21" s="55" t="s">
        <v>17</v>
      </c>
      <c r="D21" s="56">
        <f>SUM(D2:D20)</f>
        <v>6492.5</v>
      </c>
      <c r="E21" s="57"/>
      <c r="F21" s="56">
        <f>SUM(F2:F20)</f>
        <v>333183.33333333326</v>
      </c>
      <c r="G21" s="122"/>
      <c r="H21" s="56">
        <f>SUM(H2:H20)</f>
        <v>12711090.999999998</v>
      </c>
      <c r="I21" s="56">
        <f>SUM(I2:I20)</f>
        <v>8767796.8689071462</v>
      </c>
      <c r="J21" s="78"/>
      <c r="K21" s="78"/>
      <c r="L21" s="78"/>
      <c r="M21" s="78"/>
      <c r="N21" s="78"/>
      <c r="O21" s="78"/>
      <c r="P21" s="56">
        <f>SUM(P2:P20)</f>
        <v>1393860.15</v>
      </c>
      <c r="Q21" s="140">
        <f>SUM(Q2:Q20)</f>
        <v>1423805.3648831807</v>
      </c>
      <c r="R21" s="140">
        <f>SUM(R2:R20)</f>
        <v>29945.214883180779</v>
      </c>
      <c r="S21" s="140">
        <f>SUM(S2:S20)</f>
        <v>1421903.7758821705</v>
      </c>
      <c r="T21" s="140">
        <f>SUM(T2:T20)</f>
        <v>1901.5890010104808</v>
      </c>
      <c r="U21" s="140"/>
      <c r="V21" s="140">
        <f>SUM(V2:V20)</f>
        <v>1421903.7758821705</v>
      </c>
      <c r="W21" s="140">
        <f>SUM(W2:W20)</f>
        <v>28043.625882170301</v>
      </c>
    </row>
    <row r="22" spans="1:23" s="63" customFormat="1" ht="14.45" customHeight="1">
      <c r="A22" s="352" t="s">
        <v>15</v>
      </c>
      <c r="B22" s="130" t="str">
        <f>'Tariff Changes'!$A$100</f>
        <v>Item 240, pg 45</v>
      </c>
      <c r="C22" s="135" t="s">
        <v>157</v>
      </c>
      <c r="D22" s="60"/>
      <c r="E22" s="73"/>
      <c r="F22" s="136">
        <f>30.3331*12</f>
        <v>363.99720000000002</v>
      </c>
      <c r="G22" s="133">
        <f>References!B21</f>
        <v>47</v>
      </c>
      <c r="H22" s="72">
        <f t="shared" ref="H22:H33" si="50">G22*F22</f>
        <v>17107.868399999999</v>
      </c>
      <c r="I22" s="50">
        <f t="shared" ref="I22:I33" si="51">$D$114*H22</f>
        <v>11800.585409324463</v>
      </c>
      <c r="J22" s="71">
        <f>(References!$C$49*I22)</f>
        <v>36.758823550045619</v>
      </c>
      <c r="K22" s="71">
        <f>J22/References!$G$52</f>
        <v>37.743940394337834</v>
      </c>
      <c r="L22" s="71">
        <f t="shared" ref="L22:L23" si="52">K22/F22</f>
        <v>0.10369294157850069</v>
      </c>
      <c r="M22" s="71">
        <f>'Tariff Changes'!C102</f>
        <v>6.69</v>
      </c>
      <c r="N22" s="71">
        <f t="shared" ref="N22:N23" si="53">L22+M22</f>
        <v>6.7936929415785015</v>
      </c>
      <c r="O22" s="71">
        <f>'Tariff Changes'!E102</f>
        <v>6.8381807608826604</v>
      </c>
      <c r="P22" s="71">
        <f t="shared" ref="P22:P23" si="54">M22*F22</f>
        <v>2435.1412680000003</v>
      </c>
      <c r="Q22" s="71">
        <f t="shared" ref="Q22:Q23" si="55">O22*F22</f>
        <v>2489.0786500551581</v>
      </c>
      <c r="R22" s="71">
        <f t="shared" ref="R22:R23" si="56">Q22-P22</f>
        <v>53.937382055157741</v>
      </c>
      <c r="S22" s="71">
        <f t="shared" ref="S22:S23" si="57">N22*F22</f>
        <v>2472.8852083943384</v>
      </c>
      <c r="T22" s="71">
        <f t="shared" ref="T22:T23" si="58">Q22-S22</f>
        <v>16.193441660819644</v>
      </c>
      <c r="U22" s="75">
        <f t="shared" ref="U22:U23" si="59">N22</f>
        <v>6.7936929415785015</v>
      </c>
      <c r="V22" s="75">
        <f t="shared" ref="V22:V23" si="60">U22*F22</f>
        <v>2472.8852083943384</v>
      </c>
      <c r="W22" s="75">
        <f t="shared" ref="W22:W23" si="61">V22-P22</f>
        <v>37.743940394338097</v>
      </c>
    </row>
    <row r="23" spans="1:23" s="63" customFormat="1">
      <c r="A23" s="353"/>
      <c r="B23" s="130" t="str">
        <f>'Tariff Changes'!$A$100</f>
        <v>Item 240, pg 45</v>
      </c>
      <c r="C23" s="135" t="s">
        <v>158</v>
      </c>
      <c r="D23" s="60"/>
      <c r="E23" s="73"/>
      <c r="F23" s="136">
        <f>21.6665*12</f>
        <v>259.99799999999999</v>
      </c>
      <c r="G23" s="133">
        <f>References!B22</f>
        <v>68</v>
      </c>
      <c r="H23" s="72">
        <f t="shared" si="50"/>
        <v>17679.863999999998</v>
      </c>
      <c r="I23" s="50">
        <f t="shared" si="51"/>
        <v>12195.133857660538</v>
      </c>
      <c r="J23" s="71">
        <f>(References!$C$49*I23)</f>
        <v>37.987841966612486</v>
      </c>
      <c r="K23" s="71">
        <f>J23/References!$G$52</f>
        <v>39.005895848251861</v>
      </c>
      <c r="L23" s="71">
        <f t="shared" si="52"/>
        <v>0.15002383036889461</v>
      </c>
      <c r="M23" s="71">
        <f>'Tariff Changes'!C103</f>
        <v>9.18</v>
      </c>
      <c r="N23" s="71">
        <f t="shared" si="53"/>
        <v>9.3300238303688943</v>
      </c>
      <c r="O23" s="71">
        <f>'Tariff Changes'!E103</f>
        <v>9.4022711413239897</v>
      </c>
      <c r="P23" s="71">
        <f t="shared" si="54"/>
        <v>2386.7816399999997</v>
      </c>
      <c r="Q23" s="71">
        <f t="shared" si="55"/>
        <v>2444.5716922019546</v>
      </c>
      <c r="R23" s="71">
        <f t="shared" si="56"/>
        <v>57.79005220195495</v>
      </c>
      <c r="S23" s="71">
        <f t="shared" si="57"/>
        <v>2425.7875358482515</v>
      </c>
      <c r="T23" s="71">
        <f t="shared" si="58"/>
        <v>18.784156353703111</v>
      </c>
      <c r="U23" s="75">
        <f t="shared" si="59"/>
        <v>9.3300238303688943</v>
      </c>
      <c r="V23" s="75">
        <f t="shared" si="60"/>
        <v>2425.7875358482515</v>
      </c>
      <c r="W23" s="75">
        <f t="shared" si="61"/>
        <v>39.005895848251839</v>
      </c>
    </row>
    <row r="24" spans="1:23" s="63" customFormat="1">
      <c r="A24" s="353"/>
      <c r="B24" s="130" t="str">
        <f>'Tariff Changes'!$A$100</f>
        <v>Item 240, pg 45</v>
      </c>
      <c r="C24" s="135" t="s">
        <v>159</v>
      </c>
      <c r="D24" s="72"/>
      <c r="E24" s="73"/>
      <c r="F24" s="137">
        <f>28.1665*12</f>
        <v>337.99799999999999</v>
      </c>
      <c r="G24" s="138">
        <f>References!B27</f>
        <v>175</v>
      </c>
      <c r="H24" s="72">
        <f t="shared" si="50"/>
        <v>59149.65</v>
      </c>
      <c r="I24" s="50">
        <f t="shared" si="51"/>
        <v>40799.96878843473</v>
      </c>
      <c r="J24" s="71">
        <f>(References!$C$49*I24)</f>
        <v>127.09190277597389</v>
      </c>
      <c r="K24" s="71">
        <f>J24/References!$G$52</f>
        <v>130.49789791146307</v>
      </c>
      <c r="L24" s="71">
        <f t="shared" ref="L24:L33" si="62">K24/F24</f>
        <v>0.38609073991994947</v>
      </c>
      <c r="M24" s="71">
        <f>'Tariff Changes'!C104</f>
        <v>19.32</v>
      </c>
      <c r="N24" s="71">
        <f t="shared" ref="N24:N33" si="63">L24+M24</f>
        <v>19.706090739919951</v>
      </c>
      <c r="O24" s="71">
        <f>'Tariff Changes'!E104</f>
        <v>19.788926458489431</v>
      </c>
      <c r="P24" s="71">
        <f t="shared" ref="P24:P33" si="64">M24*F24</f>
        <v>6530.1213600000001</v>
      </c>
      <c r="Q24" s="71">
        <f t="shared" ref="Q24:Q33" si="65">O24*F24</f>
        <v>6688.6175651165104</v>
      </c>
      <c r="R24" s="71">
        <f t="shared" ref="R24:R33" si="66">Q24-P24</f>
        <v>158.49620511651028</v>
      </c>
      <c r="S24" s="71">
        <f t="shared" ref="S24:S33" si="67">N24*F24</f>
        <v>6660.6192579114631</v>
      </c>
      <c r="T24" s="71">
        <f t="shared" ref="T24:T33" si="68">Q24-S24</f>
        <v>27.99830720504724</v>
      </c>
      <c r="U24" s="75">
        <f t="shared" ref="U24:U33" si="69">N24</f>
        <v>19.706090739919951</v>
      </c>
      <c r="V24" s="75">
        <f t="shared" ref="V24:V33" si="70">U24*F24</f>
        <v>6660.6192579114631</v>
      </c>
      <c r="W24" s="75">
        <f t="shared" ref="W24:W33" si="71">V24-P24</f>
        <v>130.49789791146304</v>
      </c>
    </row>
    <row r="25" spans="1:23" s="63" customFormat="1">
      <c r="A25" s="353"/>
      <c r="B25" s="130" t="str">
        <f>'Tariff Changes'!$A$100</f>
        <v>Item 240, pg 45</v>
      </c>
      <c r="C25" s="135" t="s">
        <v>160</v>
      </c>
      <c r="D25" s="72"/>
      <c r="E25" s="73"/>
      <c r="F25" s="137">
        <f>15.1666*12</f>
        <v>181.9992</v>
      </c>
      <c r="G25" s="138">
        <f>References!B28</f>
        <v>250</v>
      </c>
      <c r="H25" s="72">
        <f t="shared" si="50"/>
        <v>45499.8</v>
      </c>
      <c r="I25" s="50">
        <f t="shared" si="51"/>
        <v>31384.639129395058</v>
      </c>
      <c r="J25" s="71">
        <f>(References!$C$49*I25)</f>
        <v>97.763150888065383</v>
      </c>
      <c r="K25" s="71">
        <f>J25/References!$G$52</f>
        <v>100.38315113262695</v>
      </c>
      <c r="L25" s="71">
        <f t="shared" si="62"/>
        <v>0.55155819988564203</v>
      </c>
      <c r="M25" s="71">
        <f>'Tariff Changes'!C105</f>
        <v>26.05</v>
      </c>
      <c r="N25" s="71">
        <f t="shared" si="63"/>
        <v>26.601558199885641</v>
      </c>
      <c r="O25" s="71">
        <f>'Tariff Changes'!E105</f>
        <v>26.753389687734145</v>
      </c>
      <c r="P25" s="71">
        <f t="shared" si="64"/>
        <v>4741.0791600000002</v>
      </c>
      <c r="Q25" s="71">
        <f t="shared" si="65"/>
        <v>4869.0955204558641</v>
      </c>
      <c r="R25" s="71">
        <f t="shared" si="66"/>
        <v>128.01636045586383</v>
      </c>
      <c r="S25" s="71">
        <f t="shared" si="67"/>
        <v>4841.4623111326273</v>
      </c>
      <c r="T25" s="71">
        <f t="shared" si="68"/>
        <v>27.63320932323677</v>
      </c>
      <c r="U25" s="75">
        <f t="shared" si="69"/>
        <v>26.601558199885641</v>
      </c>
      <c r="V25" s="75">
        <f t="shared" si="70"/>
        <v>4841.4623111326273</v>
      </c>
      <c r="W25" s="75">
        <f t="shared" si="71"/>
        <v>100.38315113262706</v>
      </c>
    </row>
    <row r="26" spans="1:23" s="63" customFormat="1">
      <c r="A26" s="353"/>
      <c r="B26" s="130" t="str">
        <f>'Tariff Changes'!$A$100</f>
        <v>Item 240, pg 45</v>
      </c>
      <c r="C26" s="135" t="s">
        <v>161</v>
      </c>
      <c r="D26" s="60"/>
      <c r="E26" s="73"/>
      <c r="F26" s="136">
        <f>68.2495*12</f>
        <v>818.99399999999991</v>
      </c>
      <c r="G26" s="138">
        <f>References!B29</f>
        <v>324</v>
      </c>
      <c r="H26" s="72">
        <f t="shared" si="50"/>
        <v>265354.05599999998</v>
      </c>
      <c r="I26" s="50">
        <f t="shared" si="51"/>
        <v>183034.67903334272</v>
      </c>
      <c r="J26" s="71">
        <f>(References!$C$49*I26)</f>
        <v>570.15302518886119</v>
      </c>
      <c r="K26" s="71">
        <f>J26/References!$G$52</f>
        <v>585.43282183885538</v>
      </c>
      <c r="L26" s="71">
        <f t="shared" si="62"/>
        <v>0.71481942705179213</v>
      </c>
      <c r="M26" s="71">
        <f>'Tariff Changes'!C106</f>
        <v>34.01</v>
      </c>
      <c r="N26" s="71">
        <f t="shared" si="63"/>
        <v>34.724819427051791</v>
      </c>
      <c r="O26" s="71">
        <f>'Tariff Changes'!E106</f>
        <v>34.94785291697886</v>
      </c>
      <c r="P26" s="71">
        <f t="shared" si="64"/>
        <v>27853.985939999995</v>
      </c>
      <c r="Q26" s="71">
        <f t="shared" si="65"/>
        <v>28622.081851888182</v>
      </c>
      <c r="R26" s="71">
        <f t="shared" si="66"/>
        <v>768.0959118881874</v>
      </c>
      <c r="S26" s="71">
        <f t="shared" si="67"/>
        <v>28439.418761838853</v>
      </c>
      <c r="T26" s="71">
        <f t="shared" si="68"/>
        <v>182.66309004932918</v>
      </c>
      <c r="U26" s="75">
        <f t="shared" si="69"/>
        <v>34.724819427051791</v>
      </c>
      <c r="V26" s="75">
        <f t="shared" si="70"/>
        <v>28439.418761838853</v>
      </c>
      <c r="W26" s="75">
        <f t="shared" si="71"/>
        <v>585.43282183885822</v>
      </c>
    </row>
    <row r="27" spans="1:23" s="63" customFormat="1">
      <c r="A27" s="353"/>
      <c r="B27" s="130" t="str">
        <f>'Tariff Changes'!$A$100</f>
        <v>Item 240, pg 45</v>
      </c>
      <c r="C27" s="135" t="s">
        <v>162</v>
      </c>
      <c r="D27" s="60"/>
      <c r="E27" s="73"/>
      <c r="F27" s="136">
        <f>45.4997*12</f>
        <v>545.99639999999999</v>
      </c>
      <c r="G27" s="138">
        <f>References!B30</f>
        <v>473</v>
      </c>
      <c r="H27" s="72">
        <f t="shared" si="50"/>
        <v>258256.2972</v>
      </c>
      <c r="I27" s="50">
        <f t="shared" si="51"/>
        <v>178138.82018197441</v>
      </c>
      <c r="J27" s="71">
        <f>(References!$C$49*I27)</f>
        <v>554.90242486684906</v>
      </c>
      <c r="K27" s="71">
        <f>J27/References!$G$52</f>
        <v>569.77351357105351</v>
      </c>
      <c r="L27" s="71">
        <f t="shared" si="62"/>
        <v>1.0435481141836347</v>
      </c>
      <c r="M27" s="71">
        <f>'Tariff Changes'!C107</f>
        <v>47.71</v>
      </c>
      <c r="N27" s="71">
        <f t="shared" si="63"/>
        <v>48.753548114183637</v>
      </c>
      <c r="O27" s="71">
        <f>'Tariff Changes'!E107</f>
        <v>49.11677937546829</v>
      </c>
      <c r="P27" s="71">
        <f t="shared" si="64"/>
        <v>26049.488244</v>
      </c>
      <c r="Q27" s="71">
        <f t="shared" si="65"/>
        <v>26817.584718599934</v>
      </c>
      <c r="R27" s="71">
        <f t="shared" si="66"/>
        <v>768.09647459993357</v>
      </c>
      <c r="S27" s="71">
        <f t="shared" si="67"/>
        <v>26619.261757571054</v>
      </c>
      <c r="T27" s="71">
        <f t="shared" si="68"/>
        <v>198.32296102887994</v>
      </c>
      <c r="U27" s="75">
        <f t="shared" si="69"/>
        <v>48.753548114183637</v>
      </c>
      <c r="V27" s="75">
        <f t="shared" si="70"/>
        <v>26619.261757571054</v>
      </c>
      <c r="W27" s="75">
        <f t="shared" si="71"/>
        <v>569.77351357105363</v>
      </c>
    </row>
    <row r="28" spans="1:23" s="63" customFormat="1">
      <c r="A28" s="353"/>
      <c r="B28" s="130" t="str">
        <f>'Tariff Changes'!$A$100</f>
        <v>Item 240, pg 45</v>
      </c>
      <c r="C28" s="135" t="s">
        <v>163</v>
      </c>
      <c r="D28" s="60"/>
      <c r="E28" s="73"/>
      <c r="F28" s="136">
        <f>64.9995*12</f>
        <v>779.99399999999991</v>
      </c>
      <c r="G28" s="138">
        <f>References!B31</f>
        <v>613</v>
      </c>
      <c r="H28" s="72">
        <f t="shared" si="50"/>
        <v>478136.32199999993</v>
      </c>
      <c r="I28" s="50">
        <f t="shared" si="51"/>
        <v>329806.63476820191</v>
      </c>
      <c r="J28" s="71">
        <f>(References!$C$49*I28)</f>
        <v>1027.3476673029465</v>
      </c>
      <c r="K28" s="71">
        <f>J28/References!$G$52</f>
        <v>1054.8800362490467</v>
      </c>
      <c r="L28" s="71">
        <f t="shared" si="62"/>
        <v>1.3524207061195943</v>
      </c>
      <c r="M28" s="71">
        <f>'Tariff Changes'!C108</f>
        <v>69.05</v>
      </c>
      <c r="N28" s="71">
        <f t="shared" si="63"/>
        <v>70.402420706119585</v>
      </c>
      <c r="O28" s="71">
        <f>'Tariff Changes'!E108</f>
        <v>70.925705833957721</v>
      </c>
      <c r="P28" s="71">
        <f t="shared" si="64"/>
        <v>53858.585699999989</v>
      </c>
      <c r="Q28" s="71">
        <f t="shared" si="65"/>
        <v>55321.624996252016</v>
      </c>
      <c r="R28" s="71">
        <f t="shared" si="66"/>
        <v>1463.0392962520273</v>
      </c>
      <c r="S28" s="71">
        <f t="shared" si="67"/>
        <v>54913.465736249032</v>
      </c>
      <c r="T28" s="71">
        <f t="shared" si="68"/>
        <v>408.1592600029835</v>
      </c>
      <c r="U28" s="75">
        <f t="shared" si="69"/>
        <v>70.402420706119585</v>
      </c>
      <c r="V28" s="75">
        <f t="shared" si="70"/>
        <v>54913.465736249032</v>
      </c>
      <c r="W28" s="75">
        <f t="shared" si="71"/>
        <v>1054.8800362490438</v>
      </c>
    </row>
    <row r="29" spans="1:23" s="63" customFormat="1" ht="15" customHeight="1">
      <c r="A29" s="353"/>
      <c r="B29" s="130" t="str">
        <f>'Tariff Changes'!$A$100</f>
        <v>Item 240, pg 45</v>
      </c>
      <c r="C29" s="135" t="s">
        <v>164</v>
      </c>
      <c r="D29" s="60"/>
      <c r="E29" s="73"/>
      <c r="F29" s="136">
        <f>90.9993*12</f>
        <v>1091.9916000000001</v>
      </c>
      <c r="G29" s="138">
        <f>References!B32</f>
        <v>840</v>
      </c>
      <c r="H29" s="72">
        <f t="shared" si="50"/>
        <v>917272.94400000002</v>
      </c>
      <c r="I29" s="50">
        <f t="shared" si="51"/>
        <v>632712.23896803509</v>
      </c>
      <c r="J29" s="71">
        <f>(References!$C$49*I29)</f>
        <v>1970.8986243854247</v>
      </c>
      <c r="K29" s="71">
        <f>J29/References!$G$52</f>
        <v>2023.7176551857733</v>
      </c>
      <c r="L29" s="71">
        <f t="shared" si="62"/>
        <v>1.853235551615757</v>
      </c>
      <c r="M29" s="71">
        <f>'Tariff Changes'!C109</f>
        <v>92.38</v>
      </c>
      <c r="N29" s="71">
        <f t="shared" si="63"/>
        <v>94.233235551615749</v>
      </c>
      <c r="O29" s="71">
        <f>'Tariff Changes'!E109</f>
        <v>95.193558750936575</v>
      </c>
      <c r="P29" s="71">
        <f t="shared" si="64"/>
        <v>100878.184008</v>
      </c>
      <c r="Q29" s="71">
        <f t="shared" si="65"/>
        <v>103950.56653012923</v>
      </c>
      <c r="R29" s="71">
        <f t="shared" si="66"/>
        <v>3072.3825221292354</v>
      </c>
      <c r="S29" s="71">
        <f t="shared" si="67"/>
        <v>102901.90166318577</v>
      </c>
      <c r="T29" s="71">
        <f t="shared" si="68"/>
        <v>1048.6648669434653</v>
      </c>
      <c r="U29" s="75">
        <f t="shared" si="69"/>
        <v>94.233235551615749</v>
      </c>
      <c r="V29" s="75">
        <f t="shared" si="70"/>
        <v>102901.90166318577</v>
      </c>
      <c r="W29" s="75">
        <f t="shared" si="71"/>
        <v>2023.7176551857701</v>
      </c>
    </row>
    <row r="30" spans="1:23" s="63" customFormat="1">
      <c r="A30" s="353"/>
      <c r="B30" s="130" t="str">
        <f>'Tariff Changes'!$A$100</f>
        <v>Item 240, pg 45</v>
      </c>
      <c r="C30" s="135" t="s">
        <v>165</v>
      </c>
      <c r="D30" s="60"/>
      <c r="E30" s="73"/>
      <c r="F30" s="136">
        <f>69.3328*12</f>
        <v>831.99360000000001</v>
      </c>
      <c r="G30" s="138">
        <f>References!B33</f>
        <v>980</v>
      </c>
      <c r="H30" s="72">
        <f t="shared" si="50"/>
        <v>815353.728</v>
      </c>
      <c r="I30" s="50">
        <f t="shared" si="51"/>
        <v>562410.87908269779</v>
      </c>
      <c r="J30" s="71">
        <f>(References!$C$49*I30)</f>
        <v>1751.9098883425995</v>
      </c>
      <c r="K30" s="71">
        <f>J30/References!$G$52</f>
        <v>1798.8601379429094</v>
      </c>
      <c r="L30" s="71">
        <f t="shared" si="62"/>
        <v>2.1621081435517167</v>
      </c>
      <c r="M30" s="71">
        <f>'Tariff Changes'!C110</f>
        <v>124.27</v>
      </c>
      <c r="N30" s="71">
        <f t="shared" si="63"/>
        <v>126.43210814355172</v>
      </c>
      <c r="O30" s="71">
        <f>'Tariff Changes'!E110</f>
        <v>128.02141166791543</v>
      </c>
      <c r="P30" s="71">
        <f t="shared" si="64"/>
        <v>103391.84467199999</v>
      </c>
      <c r="Q30" s="71">
        <f t="shared" si="65"/>
        <v>106512.99517067097</v>
      </c>
      <c r="R30" s="71">
        <f t="shared" si="66"/>
        <v>3121.150498670977</v>
      </c>
      <c r="S30" s="71">
        <f t="shared" si="67"/>
        <v>105190.70480994291</v>
      </c>
      <c r="T30" s="71">
        <f t="shared" si="68"/>
        <v>1322.2903607280605</v>
      </c>
      <c r="U30" s="75">
        <f t="shared" si="69"/>
        <v>126.43210814355172</v>
      </c>
      <c r="V30" s="75">
        <f t="shared" si="70"/>
        <v>105190.70480994291</v>
      </c>
      <c r="W30" s="75">
        <f t="shared" si="71"/>
        <v>1798.8601379429165</v>
      </c>
    </row>
    <row r="31" spans="1:23" s="63" customFormat="1">
      <c r="A31" s="353"/>
      <c r="B31" s="130" t="str">
        <f>'Tariff Changes'!$A$100</f>
        <v>Item 240, pg 45</v>
      </c>
      <c r="C31" s="146" t="s">
        <v>171</v>
      </c>
      <c r="D31" s="60"/>
      <c r="E31" s="73"/>
      <c r="F31" s="136">
        <f>1*12</f>
        <v>12</v>
      </c>
      <c r="G31" s="133">
        <f>References!B30</f>
        <v>473</v>
      </c>
      <c r="H31" s="72">
        <f t="shared" si="50"/>
        <v>5676</v>
      </c>
      <c r="I31" s="50">
        <f t="shared" si="51"/>
        <v>3915.1647193712138</v>
      </c>
      <c r="J31" s="71">
        <f>(References!$C$49*I31)</f>
        <v>12.195738100841302</v>
      </c>
      <c r="K31" s="71">
        <f>J31/References!$G$52</f>
        <v>12.522577370203617</v>
      </c>
      <c r="L31" s="71">
        <f t="shared" si="62"/>
        <v>1.0435481141836347</v>
      </c>
      <c r="M31" s="71">
        <f>'Tariff Changes'!C117</f>
        <v>53.02</v>
      </c>
      <c r="N31" s="71">
        <f t="shared" si="63"/>
        <v>54.063548114183639</v>
      </c>
      <c r="O31" s="71">
        <f>'Tariff Changes'!E117</f>
        <v>54.426779375468293</v>
      </c>
      <c r="P31" s="71">
        <f t="shared" si="64"/>
        <v>636.24</v>
      </c>
      <c r="Q31" s="71">
        <f t="shared" si="65"/>
        <v>653.12135250561948</v>
      </c>
      <c r="R31" s="71">
        <f t="shared" si="66"/>
        <v>16.881352505619475</v>
      </c>
      <c r="S31" s="71">
        <f t="shared" si="67"/>
        <v>648.76257737020364</v>
      </c>
      <c r="T31" s="71">
        <f t="shared" si="68"/>
        <v>4.3587751354158399</v>
      </c>
      <c r="U31" s="75">
        <f t="shared" si="69"/>
        <v>54.063548114183639</v>
      </c>
      <c r="V31" s="75">
        <f t="shared" si="70"/>
        <v>648.76257737020364</v>
      </c>
      <c r="W31" s="75">
        <f t="shared" si="71"/>
        <v>12.522577370203635</v>
      </c>
    </row>
    <row r="32" spans="1:23" s="63" customFormat="1">
      <c r="A32" s="353"/>
      <c r="B32" s="130" t="str">
        <f>'Tariff Changes'!$A$100</f>
        <v>Item 240, pg 45</v>
      </c>
      <c r="C32" s="135" t="s">
        <v>172</v>
      </c>
      <c r="D32" s="72"/>
      <c r="E32" s="73"/>
      <c r="F32" s="137">
        <f>2*12</f>
        <v>24</v>
      </c>
      <c r="G32" s="138">
        <f>References!B33</f>
        <v>980</v>
      </c>
      <c r="H32" s="72">
        <f t="shared" si="50"/>
        <v>23520</v>
      </c>
      <c r="I32" s="50">
        <f t="shared" si="51"/>
        <v>16223.515539043507</v>
      </c>
      <c r="J32" s="71">
        <f>(References!$C$49*I32)</f>
        <v>50.536250904120408</v>
      </c>
      <c r="K32" s="71">
        <f>J32/References!$G$52</f>
        <v>51.890595445241203</v>
      </c>
      <c r="L32" s="71">
        <f t="shared" si="62"/>
        <v>2.1621081435517167</v>
      </c>
      <c r="M32" s="71">
        <f>'Tariff Changes'!C120</f>
        <v>135.26</v>
      </c>
      <c r="N32" s="71">
        <f t="shared" si="63"/>
        <v>137.4221081435517</v>
      </c>
      <c r="O32" s="71">
        <f>'Tariff Changes'!E120</f>
        <v>139.01141166791544</v>
      </c>
      <c r="P32" s="71">
        <f t="shared" si="64"/>
        <v>3246.24</v>
      </c>
      <c r="Q32" s="71">
        <f t="shared" si="65"/>
        <v>3336.2738800299703</v>
      </c>
      <c r="R32" s="71">
        <f t="shared" si="66"/>
        <v>90.033880029970533</v>
      </c>
      <c r="S32" s="71">
        <f t="shared" si="67"/>
        <v>3298.1305954452409</v>
      </c>
      <c r="T32" s="71">
        <f t="shared" si="68"/>
        <v>38.143284584729372</v>
      </c>
      <c r="U32" s="75">
        <f t="shared" si="69"/>
        <v>137.4221081435517</v>
      </c>
      <c r="V32" s="75">
        <f t="shared" si="70"/>
        <v>3298.1305954452409</v>
      </c>
      <c r="W32" s="75">
        <f t="shared" si="71"/>
        <v>51.890595445241161</v>
      </c>
    </row>
    <row r="33" spans="1:25" s="63" customFormat="1">
      <c r="A33" s="353"/>
      <c r="B33" s="130" t="str">
        <f>'Tariff Changes'!A124</f>
        <v>Item 245, pg 46</v>
      </c>
      <c r="C33" s="135" t="s">
        <v>156</v>
      </c>
      <c r="D33" s="72"/>
      <c r="E33" s="73"/>
      <c r="F33" s="137">
        <f>30.3331*12</f>
        <v>363.99720000000002</v>
      </c>
      <c r="G33" s="138">
        <f>References!B26</f>
        <v>29</v>
      </c>
      <c r="H33" s="72">
        <f t="shared" si="50"/>
        <v>10555.918800000001</v>
      </c>
      <c r="I33" s="50">
        <f t="shared" si="51"/>
        <v>7281.2122738384996</v>
      </c>
      <c r="J33" s="71">
        <f>(References!$C$49*I33)</f>
        <v>22.680976233006874</v>
      </c>
      <c r="K33" s="71">
        <f>J33/References!$G$52</f>
        <v>23.288814285868028</v>
      </c>
      <c r="L33" s="71">
        <f t="shared" si="62"/>
        <v>6.3980751186734477E-2</v>
      </c>
      <c r="M33" s="71">
        <f>'Tariff Changes'!C125</f>
        <v>4.53</v>
      </c>
      <c r="N33" s="71">
        <f t="shared" si="63"/>
        <v>4.5939807511867343</v>
      </c>
      <c r="O33" s="71">
        <f>'Tariff Changes'!E125</f>
        <v>4.6040903804413302</v>
      </c>
      <c r="P33" s="71">
        <f t="shared" si="64"/>
        <v>1648.9073160000003</v>
      </c>
      <c r="Q33" s="71">
        <f t="shared" si="65"/>
        <v>1675.8760070275791</v>
      </c>
      <c r="R33" s="71">
        <f t="shared" si="66"/>
        <v>26.96869102757887</v>
      </c>
      <c r="S33" s="71">
        <f t="shared" si="67"/>
        <v>1672.1961302858681</v>
      </c>
      <c r="T33" s="71">
        <f t="shared" si="68"/>
        <v>3.6798767417110412</v>
      </c>
      <c r="U33" s="75">
        <f t="shared" si="69"/>
        <v>4.5939807511867343</v>
      </c>
      <c r="V33" s="75">
        <f t="shared" si="70"/>
        <v>1672.1961302858681</v>
      </c>
      <c r="W33" s="75">
        <f t="shared" si="71"/>
        <v>23.288814285867829</v>
      </c>
    </row>
    <row r="34" spans="1:25" s="63" customFormat="1">
      <c r="A34" s="66"/>
      <c r="B34" s="130"/>
      <c r="C34" s="135"/>
      <c r="D34" s="60"/>
      <c r="E34" s="73"/>
      <c r="F34" s="136"/>
      <c r="G34" s="133"/>
      <c r="H34" s="72"/>
      <c r="I34" s="50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5"/>
      <c r="V34" s="75"/>
      <c r="W34" s="75"/>
    </row>
    <row r="35" spans="1:25" s="63" customFormat="1">
      <c r="A35" s="54"/>
      <c r="B35" s="82"/>
      <c r="C35" s="55" t="s">
        <v>17</v>
      </c>
      <c r="D35" s="56">
        <f>SUM(D22:D34)</f>
        <v>0</v>
      </c>
      <c r="E35" s="56"/>
      <c r="F35" s="56">
        <f>SUM(F22:F34)</f>
        <v>5612.9591999999993</v>
      </c>
      <c r="G35" s="122"/>
      <c r="H35" s="56">
        <f>SUM(H22:H34)</f>
        <v>2913562.4484000001</v>
      </c>
      <c r="I35" s="56">
        <f>SUM(I22:I34)</f>
        <v>2009703.4717513202</v>
      </c>
      <c r="J35" s="78"/>
      <c r="K35" s="78"/>
      <c r="L35" s="78"/>
      <c r="M35" s="78"/>
      <c r="N35" s="78"/>
      <c r="O35" s="78"/>
      <c r="P35" s="56">
        <f>SUM(P22:P34)</f>
        <v>333656.59930799995</v>
      </c>
      <c r="Q35" s="140">
        <f>SUM(Q22:Q34)</f>
        <v>343381.48793493299</v>
      </c>
      <c r="R35" s="140">
        <f>SUM(R22:R34)</f>
        <v>9724.888626933016</v>
      </c>
      <c r="S35" s="140">
        <f>SUM(S22:S34)</f>
        <v>340084.59634517558</v>
      </c>
      <c r="T35" s="140">
        <f>SUM(T22:T34)</f>
        <v>3296.8915897573816</v>
      </c>
      <c r="U35" s="140"/>
      <c r="V35" s="140">
        <f>SUM(V22:V34)</f>
        <v>340084.59634517558</v>
      </c>
      <c r="W35" s="140">
        <f>SUM(W22:W34)</f>
        <v>6427.9970371756353</v>
      </c>
    </row>
    <row r="36" spans="1:25" s="63" customFormat="1" ht="14.45" customHeight="1">
      <c r="A36" s="352" t="s">
        <v>145</v>
      </c>
      <c r="B36" s="130" t="str">
        <f>'Tariff Changes'!$A$37</f>
        <v>Item 105, pg 31</v>
      </c>
      <c r="C36" s="135" t="s">
        <v>157</v>
      </c>
      <c r="D36" s="60"/>
      <c r="E36" s="73"/>
      <c r="F36" s="136">
        <f>719.3278*12</f>
        <v>8631.9336000000003</v>
      </c>
      <c r="G36" s="133">
        <f>References!B21</f>
        <v>47</v>
      </c>
      <c r="H36" s="72">
        <f t="shared" ref="H36:H42" si="72">G36*F36</f>
        <v>405700.87920000002</v>
      </c>
      <c r="I36" s="50">
        <f t="shared" ref="I36:I42" si="73">$D$114*H36</f>
        <v>279842.4539925516</v>
      </c>
      <c r="J36" s="71">
        <f>(References!$C$49*I36)</f>
        <v>871.70924418679624</v>
      </c>
      <c r="K36" s="71">
        <f>J36/References!$G$52</f>
        <v>895.07058649429746</v>
      </c>
      <c r="L36" s="71">
        <f t="shared" ref="L36:L42" si="74">K36/F36</f>
        <v>0.10369294157850072</v>
      </c>
      <c r="M36" s="71">
        <f>'Tariff Changes'!C40</f>
        <v>7.53</v>
      </c>
      <c r="N36" s="71">
        <f t="shared" ref="N36:N42" si="75">L36+M36</f>
        <v>7.6336929415785013</v>
      </c>
      <c r="O36" s="71">
        <f>'Tariff Changes'!E40</f>
        <v>7.6781807608826602</v>
      </c>
      <c r="P36" s="71">
        <f t="shared" ref="P36:P42" si="76">M36*F36</f>
        <v>64998.460008000002</v>
      </c>
      <c r="Q36" s="71">
        <f t="shared" ref="Q36:Q42" si="77">O36*F36</f>
        <v>66277.546496736599</v>
      </c>
      <c r="R36" s="71">
        <f t="shared" ref="R36:R41" si="78">Q36-P36</f>
        <v>1279.0864887365969</v>
      </c>
      <c r="S36" s="71">
        <f t="shared" ref="S36:S42" si="79">N36*F36</f>
        <v>65893.53059449431</v>
      </c>
      <c r="T36" s="71">
        <f t="shared" ref="T36:T42" si="80">Q36-S36</f>
        <v>384.01590224228858</v>
      </c>
      <c r="U36" s="75">
        <f t="shared" si="12"/>
        <v>7.6336929415785013</v>
      </c>
      <c r="V36" s="75">
        <f t="shared" ref="V36:V42" si="81">U36*F36</f>
        <v>65893.53059449431</v>
      </c>
      <c r="W36" s="75">
        <f t="shared" ref="W36:W42" si="82">V36-P36</f>
        <v>895.07058649430837</v>
      </c>
    </row>
    <row r="37" spans="1:25" s="63" customFormat="1">
      <c r="A37" s="353"/>
      <c r="B37" s="130" t="str">
        <f>'Tariff Changes'!$A$37</f>
        <v>Item 105, pg 31</v>
      </c>
      <c r="C37" s="135" t="s">
        <v>158</v>
      </c>
      <c r="D37" s="60"/>
      <c r="E37" s="73"/>
      <c r="F37" s="136">
        <f>21.6665*12</f>
        <v>259.99799999999999</v>
      </c>
      <c r="G37" s="133">
        <f>References!B22</f>
        <v>68</v>
      </c>
      <c r="H37" s="72">
        <f t="shared" si="72"/>
        <v>17679.863999999998</v>
      </c>
      <c r="I37" s="50">
        <f t="shared" si="73"/>
        <v>12195.133857660538</v>
      </c>
      <c r="J37" s="71">
        <f>(References!$C$49*I37)</f>
        <v>37.987841966612486</v>
      </c>
      <c r="K37" s="71">
        <f>J37/References!$G$52</f>
        <v>39.005895848251861</v>
      </c>
      <c r="L37" s="71">
        <f t="shared" si="74"/>
        <v>0.15002383036889461</v>
      </c>
      <c r="M37" s="71">
        <f>'Tariff Changes'!C41</f>
        <v>10.45</v>
      </c>
      <c r="N37" s="71">
        <f t="shared" si="75"/>
        <v>10.600023830368894</v>
      </c>
      <c r="O37" s="71">
        <f>'Tariff Changes'!E41</f>
        <v>10.672271141323989</v>
      </c>
      <c r="P37" s="71">
        <f t="shared" si="76"/>
        <v>2716.9790999999996</v>
      </c>
      <c r="Q37" s="71">
        <f t="shared" si="77"/>
        <v>2774.7691522019545</v>
      </c>
      <c r="R37" s="71">
        <f t="shared" si="78"/>
        <v>57.79005220195495</v>
      </c>
      <c r="S37" s="71">
        <f t="shared" si="79"/>
        <v>2755.9849958482514</v>
      </c>
      <c r="T37" s="71">
        <f t="shared" si="80"/>
        <v>18.784156353703111</v>
      </c>
      <c r="U37" s="75">
        <f t="shared" si="12"/>
        <v>10.600023830368894</v>
      </c>
      <c r="V37" s="75">
        <f t="shared" si="81"/>
        <v>2755.9849958482514</v>
      </c>
      <c r="W37" s="75">
        <f t="shared" si="82"/>
        <v>39.005895848251839</v>
      </c>
    </row>
    <row r="38" spans="1:25" s="63" customFormat="1">
      <c r="A38" s="353"/>
      <c r="B38" s="130" t="str">
        <f>'Tariff Changes'!$A$37</f>
        <v>Item 105, pg 31</v>
      </c>
      <c r="C38" s="135" t="s">
        <v>160</v>
      </c>
      <c r="D38" s="60"/>
      <c r="E38" s="73"/>
      <c r="F38" s="136">
        <f>8.6666*12</f>
        <v>103.9992</v>
      </c>
      <c r="G38" s="133">
        <f>References!B28</f>
        <v>250</v>
      </c>
      <c r="H38" s="72">
        <f t="shared" si="72"/>
        <v>25999.8</v>
      </c>
      <c r="I38" s="50">
        <f t="shared" si="73"/>
        <v>17934.020378912559</v>
      </c>
      <c r="J38" s="71">
        <f>(References!$C$49*I38)</f>
        <v>55.86447348031249</v>
      </c>
      <c r="K38" s="71">
        <f>J38/References!$G$52</f>
        <v>57.361611541546864</v>
      </c>
      <c r="L38" s="71">
        <f t="shared" si="74"/>
        <v>0.55155819988564203</v>
      </c>
      <c r="M38" s="71">
        <f>'Tariff Changes'!C43</f>
        <v>30.01</v>
      </c>
      <c r="N38" s="71">
        <f t="shared" si="75"/>
        <v>30.561558199885642</v>
      </c>
      <c r="O38" s="71">
        <f>'Tariff Changes'!E43</f>
        <v>30.713389687734146</v>
      </c>
      <c r="P38" s="71">
        <f t="shared" si="76"/>
        <v>3121.0159920000001</v>
      </c>
      <c r="Q38" s="71">
        <f t="shared" si="77"/>
        <v>3194.167956812601</v>
      </c>
      <c r="R38" s="71">
        <f t="shared" si="78"/>
        <v>73.151964812600909</v>
      </c>
      <c r="S38" s="71">
        <f t="shared" si="79"/>
        <v>3178.3776035415467</v>
      </c>
      <c r="T38" s="71">
        <f t="shared" si="80"/>
        <v>15.7903532710543</v>
      </c>
      <c r="U38" s="75">
        <f t="shared" si="12"/>
        <v>30.561558199885642</v>
      </c>
      <c r="V38" s="75">
        <f t="shared" si="81"/>
        <v>3178.3776035415467</v>
      </c>
      <c r="W38" s="75">
        <f t="shared" si="82"/>
        <v>57.361611541546608</v>
      </c>
    </row>
    <row r="39" spans="1:25" s="63" customFormat="1">
      <c r="A39" s="353"/>
      <c r="B39" s="130" t="str">
        <f>'Tariff Changes'!$A$37</f>
        <v>Item 105, pg 31</v>
      </c>
      <c r="C39" s="135" t="s">
        <v>161</v>
      </c>
      <c r="D39" s="60"/>
      <c r="E39" s="73"/>
      <c r="F39" s="136">
        <f>38.9997*12</f>
        <v>467.99639999999999</v>
      </c>
      <c r="G39" s="133">
        <f>References!B29</f>
        <v>324</v>
      </c>
      <c r="H39" s="72">
        <f t="shared" si="72"/>
        <v>151630.83360000001</v>
      </c>
      <c r="I39" s="50">
        <f t="shared" si="73"/>
        <v>104591.20684981805</v>
      </c>
      <c r="J39" s="71">
        <f>(References!$C$49*I39)</f>
        <v>325.80160933718247</v>
      </c>
      <c r="K39" s="71">
        <f>J39/References!$G$52</f>
        <v>334.53291851030133</v>
      </c>
      <c r="L39" s="71">
        <f t="shared" si="74"/>
        <v>0.71481942705179213</v>
      </c>
      <c r="M39" s="71">
        <f>'Tariff Changes'!C44</f>
        <v>39.29</v>
      </c>
      <c r="N39" s="71">
        <f t="shared" si="75"/>
        <v>40.004819427051793</v>
      </c>
      <c r="O39" s="71">
        <f>'Tariff Changes'!E44</f>
        <v>40.227852916978861</v>
      </c>
      <c r="P39" s="71">
        <f t="shared" si="76"/>
        <v>18387.578556</v>
      </c>
      <c r="Q39" s="71">
        <f t="shared" si="77"/>
        <v>18826.490344875605</v>
      </c>
      <c r="R39" s="71">
        <f t="shared" si="78"/>
        <v>438.91178887560454</v>
      </c>
      <c r="S39" s="71">
        <f t="shared" si="79"/>
        <v>18722.1114745103</v>
      </c>
      <c r="T39" s="71">
        <f t="shared" si="80"/>
        <v>104.37887036530446</v>
      </c>
      <c r="U39" s="75">
        <f t="shared" si="12"/>
        <v>40.004819427051793</v>
      </c>
      <c r="V39" s="75">
        <f t="shared" si="81"/>
        <v>18722.1114745103</v>
      </c>
      <c r="W39" s="75">
        <f t="shared" si="82"/>
        <v>334.53291851030008</v>
      </c>
    </row>
    <row r="40" spans="1:25" s="63" customFormat="1">
      <c r="A40" s="353"/>
      <c r="B40" s="130" t="str">
        <f>'Tariff Changes'!$A$37</f>
        <v>Item 105, pg 31</v>
      </c>
      <c r="C40" s="135" t="s">
        <v>162</v>
      </c>
      <c r="D40" s="135"/>
      <c r="E40" s="73"/>
      <c r="F40" s="136">
        <f>38.9997*12</f>
        <v>467.99639999999999</v>
      </c>
      <c r="G40" s="133">
        <f>References!B30</f>
        <v>473</v>
      </c>
      <c r="H40" s="72">
        <f t="shared" si="72"/>
        <v>221362.2972</v>
      </c>
      <c r="I40" s="50">
        <f t="shared" si="73"/>
        <v>152690.24950606152</v>
      </c>
      <c r="J40" s="71">
        <f>(References!$C$49*I40)</f>
        <v>475.63012721138051</v>
      </c>
      <c r="K40" s="71">
        <f>J40/References!$G$52</f>
        <v>488.37676066472994</v>
      </c>
      <c r="L40" s="71">
        <f t="shared" si="74"/>
        <v>1.0435481141836347</v>
      </c>
      <c r="M40" s="71">
        <f>'Tariff Changes'!C45</f>
        <v>55.63</v>
      </c>
      <c r="N40" s="71">
        <f t="shared" si="75"/>
        <v>56.673548114183639</v>
      </c>
      <c r="O40" s="71">
        <f>'Tariff Changes'!E45</f>
        <v>57.036779375468292</v>
      </c>
      <c r="P40" s="71">
        <f t="shared" si="76"/>
        <v>26034.639732</v>
      </c>
      <c r="Q40" s="71">
        <f t="shared" si="77"/>
        <v>26693.007415313408</v>
      </c>
      <c r="R40" s="71">
        <f t="shared" si="78"/>
        <v>658.36768331340863</v>
      </c>
      <c r="S40" s="71">
        <f t="shared" si="79"/>
        <v>26523.01649266473</v>
      </c>
      <c r="T40" s="71">
        <f t="shared" si="80"/>
        <v>169.99092264867795</v>
      </c>
      <c r="U40" s="75">
        <f t="shared" si="12"/>
        <v>56.673548114183639</v>
      </c>
      <c r="V40" s="75">
        <f t="shared" si="81"/>
        <v>26523.01649266473</v>
      </c>
      <c r="W40" s="75">
        <f t="shared" si="82"/>
        <v>488.37676066473068</v>
      </c>
    </row>
    <row r="41" spans="1:25" s="63" customFormat="1">
      <c r="A41" s="353"/>
      <c r="B41" s="130" t="str">
        <f>'Tariff Changes'!$A$37</f>
        <v>Item 105, pg 31</v>
      </c>
      <c r="C41" s="135" t="s">
        <v>163</v>
      </c>
      <c r="D41" s="60"/>
      <c r="E41" s="73"/>
      <c r="F41" s="136">
        <f>69.3328*12</f>
        <v>831.99360000000001</v>
      </c>
      <c r="G41" s="133">
        <f>References!B31</f>
        <v>613</v>
      </c>
      <c r="H41" s="72">
        <f t="shared" si="72"/>
        <v>510012.07679999998</v>
      </c>
      <c r="I41" s="50">
        <f t="shared" si="73"/>
        <v>351793.74375274871</v>
      </c>
      <c r="J41" s="71">
        <f>(References!$C$49*I41)</f>
        <v>1095.8375117898097</v>
      </c>
      <c r="K41" s="71">
        <f>J41/References!$G$52</f>
        <v>1125.2053719989831</v>
      </c>
      <c r="L41" s="71">
        <f t="shared" si="74"/>
        <v>1.3524207061195941</v>
      </c>
      <c r="M41" s="71">
        <f>'Tariff Changes'!C46</f>
        <v>74.319999999999993</v>
      </c>
      <c r="N41" s="71">
        <f t="shared" si="75"/>
        <v>75.672420706119581</v>
      </c>
      <c r="O41" s="71">
        <f>'Tariff Changes'!E46</f>
        <v>76.195705833957717</v>
      </c>
      <c r="P41" s="71">
        <f t="shared" si="76"/>
        <v>61833.764351999998</v>
      </c>
      <c r="Q41" s="71">
        <f t="shared" si="77"/>
        <v>63394.339601335487</v>
      </c>
      <c r="R41" s="71">
        <f t="shared" si="78"/>
        <v>1560.5752493354885</v>
      </c>
      <c r="S41" s="71">
        <f t="shared" si="79"/>
        <v>62958.969723998976</v>
      </c>
      <c r="T41" s="71">
        <f t="shared" si="80"/>
        <v>435.3698773365104</v>
      </c>
      <c r="U41" s="75">
        <f t="shared" si="12"/>
        <v>75.672420706119581</v>
      </c>
      <c r="V41" s="75">
        <f t="shared" si="81"/>
        <v>62958.969723998976</v>
      </c>
      <c r="W41" s="75">
        <f t="shared" si="82"/>
        <v>1125.2053719989781</v>
      </c>
    </row>
    <row r="42" spans="1:25" s="63" customFormat="1">
      <c r="A42" s="353"/>
      <c r="B42" s="130" t="str">
        <f>'Tariff Changes'!$A$37</f>
        <v>Item 105, pg 31</v>
      </c>
      <c r="C42" s="135" t="s">
        <v>165</v>
      </c>
      <c r="D42" s="60"/>
      <c r="E42" s="73"/>
      <c r="F42" s="136">
        <f>13*12</f>
        <v>156</v>
      </c>
      <c r="G42" s="133">
        <f>References!B33</f>
        <v>980</v>
      </c>
      <c r="H42" s="72">
        <f t="shared" si="72"/>
        <v>152880</v>
      </c>
      <c r="I42" s="50">
        <f t="shared" si="73"/>
        <v>105452.85100378279</v>
      </c>
      <c r="J42" s="71">
        <f>(References!$C$49*I42)</f>
        <v>328.48563087678264</v>
      </c>
      <c r="K42" s="71">
        <f>J42/References!$G$52</f>
        <v>337.28887039406783</v>
      </c>
      <c r="L42" s="71">
        <f t="shared" si="74"/>
        <v>2.1621081435517167</v>
      </c>
      <c r="M42" s="71">
        <f>'Tariff Changes'!C48</f>
        <v>145.4</v>
      </c>
      <c r="N42" s="71">
        <f t="shared" si="75"/>
        <v>147.56210814355171</v>
      </c>
      <c r="O42" s="71">
        <f>'Tariff Changes'!E48</f>
        <v>149.15141166791545</v>
      </c>
      <c r="P42" s="71">
        <f t="shared" si="76"/>
        <v>22682.400000000001</v>
      </c>
      <c r="Q42" s="71">
        <f t="shared" si="77"/>
        <v>23267.620220194811</v>
      </c>
      <c r="R42" s="71">
        <f>Q42-P42</f>
        <v>585.22022019480937</v>
      </c>
      <c r="S42" s="71">
        <f t="shared" si="79"/>
        <v>23019.688870394068</v>
      </c>
      <c r="T42" s="71">
        <f t="shared" si="80"/>
        <v>247.93134980074319</v>
      </c>
      <c r="U42" s="75">
        <f t="shared" si="12"/>
        <v>147.56210814355171</v>
      </c>
      <c r="V42" s="75">
        <f t="shared" si="81"/>
        <v>23019.688870394068</v>
      </c>
      <c r="W42" s="75">
        <f t="shared" si="82"/>
        <v>337.28887039406618</v>
      </c>
    </row>
    <row r="43" spans="1:25" s="63" customFormat="1">
      <c r="A43" s="66"/>
      <c r="B43" s="51"/>
      <c r="C43" s="135"/>
      <c r="D43" s="105"/>
      <c r="E43" s="73"/>
      <c r="F43" s="136"/>
      <c r="G43" s="133"/>
      <c r="H43" s="72"/>
      <c r="I43" s="50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5"/>
      <c r="V43" s="75"/>
      <c r="W43" s="75"/>
    </row>
    <row r="44" spans="1:25" s="63" customFormat="1">
      <c r="A44" s="54"/>
      <c r="B44" s="52"/>
      <c r="C44" s="55" t="s">
        <v>17</v>
      </c>
      <c r="D44" s="56">
        <f>SUM(D36:D42)</f>
        <v>0</v>
      </c>
      <c r="E44" s="56"/>
      <c r="F44" s="56">
        <f>SUM(F36:F42)</f>
        <v>10919.9172</v>
      </c>
      <c r="G44" s="123"/>
      <c r="H44" s="56">
        <f>SUM(H36:H42)</f>
        <v>1485265.7508</v>
      </c>
      <c r="I44" s="56">
        <f>SUM(I36:I42)</f>
        <v>1024499.6593415358</v>
      </c>
      <c r="J44" s="77"/>
      <c r="K44" s="77"/>
      <c r="L44" s="77"/>
      <c r="M44" s="77"/>
      <c r="N44" s="77"/>
      <c r="O44" s="77"/>
      <c r="P44" s="56">
        <f>SUM(P36:P42)</f>
        <v>199774.83774000002</v>
      </c>
      <c r="Q44" s="140">
        <f>SUM(Q36:Q42)</f>
        <v>204427.94118747045</v>
      </c>
      <c r="R44" s="140">
        <f>SUM(R36:R42)</f>
        <v>4653.1034474704638</v>
      </c>
      <c r="S44" s="140">
        <f>SUM(S36:S42)</f>
        <v>203051.67975545221</v>
      </c>
      <c r="T44" s="140">
        <f>SUM(T36:T42)</f>
        <v>1376.261432018282</v>
      </c>
      <c r="U44" s="140"/>
      <c r="V44" s="140">
        <f>SUM(V36:V42)</f>
        <v>203051.67975545221</v>
      </c>
      <c r="W44" s="140">
        <f>SUM(W36:W42)</f>
        <v>3276.8420154521818</v>
      </c>
    </row>
    <row r="45" spans="1:25">
      <c r="C45" s="67" t="s">
        <v>3</v>
      </c>
      <c r="D45" s="68">
        <f>D21+D35+D44</f>
        <v>6492.5</v>
      </c>
      <c r="E45" s="68"/>
      <c r="F45" s="68">
        <f>F21+F35+F44</f>
        <v>349716.20973333326</v>
      </c>
      <c r="G45" s="124"/>
      <c r="H45" s="68">
        <f>H21+H35+H44</f>
        <v>17109919.199199997</v>
      </c>
      <c r="I45" s="68">
        <f>I21+I35+I44</f>
        <v>11802000.000000004</v>
      </c>
      <c r="J45" s="71"/>
      <c r="K45" s="79"/>
      <c r="L45" s="79"/>
      <c r="M45" s="79"/>
      <c r="N45" s="79"/>
      <c r="O45" s="79"/>
      <c r="P45" s="68">
        <f>P21+P35+P44</f>
        <v>1927291.587048</v>
      </c>
      <c r="Q45" s="68">
        <f>Q21+Q35+Q44</f>
        <v>1971614.7940055842</v>
      </c>
      <c r="R45" s="68">
        <f>R21+R35+R44</f>
        <v>44323.206957584262</v>
      </c>
      <c r="S45" s="68">
        <f>S21+S35+S44</f>
        <v>1965040.0519827981</v>
      </c>
      <c r="T45" s="68">
        <f>T21+T35+T44</f>
        <v>6574.7420227861439</v>
      </c>
      <c r="U45" s="68"/>
      <c r="V45" s="68">
        <f>V21+V35+V44</f>
        <v>1965040.0519827981</v>
      </c>
      <c r="W45" s="68">
        <f>W21+W35+W44</f>
        <v>37748.464934798118</v>
      </c>
    </row>
    <row r="46" spans="1:25">
      <c r="J46" s="59"/>
      <c r="S46" s="64"/>
      <c r="W46" s="33">
        <f>W45/P45</f>
        <v>1.9586275988791507E-2</v>
      </c>
    </row>
    <row r="47" spans="1:25">
      <c r="A47" s="256"/>
      <c r="B47" s="257"/>
      <c r="C47" s="258" t="s">
        <v>304</v>
      </c>
      <c r="D47" s="259"/>
      <c r="E47" s="260"/>
      <c r="F47" s="260"/>
      <c r="G47" s="261"/>
      <c r="H47" s="260"/>
      <c r="I47" s="262"/>
      <c r="J47" s="263"/>
      <c r="K47" s="260"/>
      <c r="L47" s="260"/>
      <c r="M47" s="260"/>
      <c r="N47" s="260"/>
      <c r="O47" s="264"/>
      <c r="P47" s="63"/>
      <c r="Q47" s="63"/>
      <c r="R47" s="63"/>
      <c r="S47" s="99"/>
      <c r="T47" s="63"/>
      <c r="U47" s="63"/>
      <c r="V47" s="63"/>
      <c r="W47" s="63"/>
      <c r="X47" s="63"/>
      <c r="Y47" s="63"/>
    </row>
    <row r="48" spans="1:25" s="63" customFormat="1" ht="14.45" customHeight="1">
      <c r="A48" s="265"/>
      <c r="B48" s="266" t="str">
        <f>'Tariff Changes'!$A$7</f>
        <v xml:space="preserve">Item 100, pg 21 Appendix A </v>
      </c>
      <c r="C48" s="269" t="str">
        <f>'Tariff Changes'!A12</f>
        <v>4 Can</v>
      </c>
      <c r="D48" s="142">
        <v>1</v>
      </c>
      <c r="E48" s="73">
        <f>[1]References!$B$7</f>
        <v>4.333333333333333</v>
      </c>
      <c r="F48" s="143">
        <f>D48*E48*12</f>
        <v>52</v>
      </c>
      <c r="G48" s="144">
        <f>References!B17</f>
        <v>97</v>
      </c>
      <c r="H48" s="72">
        <f>G48*F48</f>
        <v>5044</v>
      </c>
      <c r="I48" s="50">
        <f>$D$114*H48</f>
        <v>3479.2267167914733</v>
      </c>
      <c r="J48" s="71">
        <f>(References!$C$49*I48)</f>
        <v>10.837791222805414</v>
      </c>
      <c r="K48" s="71">
        <f>J48/References!$G$52</f>
        <v>11.128238240892713</v>
      </c>
      <c r="L48" s="71">
        <f>K48/F48*E48</f>
        <v>0.92735318674105938</v>
      </c>
      <c r="M48" s="145">
        <f>'Tariff Changes'!C12</f>
        <v>50.51</v>
      </c>
      <c r="N48" s="71">
        <f>L48+M48</f>
        <v>51.437353186741056</v>
      </c>
      <c r="O48" s="270">
        <f>'Tariff Changes'!E12</f>
        <v>51.686261596426036</v>
      </c>
      <c r="P48" s="71"/>
      <c r="Q48" s="71"/>
      <c r="R48" s="71"/>
      <c r="S48" s="71"/>
      <c r="T48" s="71"/>
      <c r="U48" s="71"/>
      <c r="V48" s="71"/>
      <c r="W48" s="71"/>
    </row>
    <row r="49" spans="1:25" s="63" customFormat="1">
      <c r="A49" s="265"/>
      <c r="B49" s="266" t="str">
        <f>'Tariff Changes'!$A$7</f>
        <v xml:space="preserve">Item 100, pg 21 Appendix A </v>
      </c>
      <c r="C49" s="269" t="str">
        <f>'Tariff Changes'!A13</f>
        <v>5 Can</v>
      </c>
      <c r="D49" s="142">
        <v>1</v>
      </c>
      <c r="E49" s="73">
        <f>[1]References!$B$7</f>
        <v>4.333333333333333</v>
      </c>
      <c r="F49" s="143">
        <f>D49*E49*12</f>
        <v>52</v>
      </c>
      <c r="G49" s="144">
        <f>References!B18</f>
        <v>117</v>
      </c>
      <c r="H49" s="72">
        <f t="shared" ref="H49:H70" si="83">G49*F49</f>
        <v>6084</v>
      </c>
      <c r="I49" s="50">
        <f t="shared" ref="I49:I105" si="84">$D$114*H49</f>
        <v>4196.59305015054</v>
      </c>
      <c r="J49" s="71">
        <f>(References!$C$49*I49)</f>
        <v>13.072387351218902</v>
      </c>
      <c r="K49" s="71">
        <f>J49/References!$G$52</f>
        <v>13.422720352416986</v>
      </c>
      <c r="L49" s="71">
        <f t="shared" ref="L49:L70" si="85">K49/F49*E49</f>
        <v>1.118560029368082</v>
      </c>
      <c r="M49" s="145">
        <f>'Tariff Changes'!C13</f>
        <v>61.53</v>
      </c>
      <c r="N49" s="71">
        <f t="shared" ref="N49:N105" si="86">L49+M49</f>
        <v>62.648560029368085</v>
      </c>
      <c r="O49" s="270">
        <f>'Tariff Changes'!E13</f>
        <v>63.000326995532546</v>
      </c>
      <c r="P49" s="71"/>
      <c r="Q49" s="71"/>
      <c r="R49" s="71"/>
      <c r="S49" s="71"/>
      <c r="T49" s="71"/>
      <c r="U49" s="71"/>
      <c r="V49" s="71"/>
      <c r="W49" s="71"/>
    </row>
    <row r="50" spans="1:25" s="63" customFormat="1">
      <c r="A50" s="265"/>
      <c r="B50" s="266" t="str">
        <f>'Tariff Changes'!A19</f>
        <v>Item 100, pg 22</v>
      </c>
      <c r="C50" s="269" t="str">
        <f>'Tariff Changes'!A20</f>
        <v>32 Can or Bag, Extra</v>
      </c>
      <c r="D50" s="142">
        <v>1</v>
      </c>
      <c r="E50" s="73">
        <f>References!B9</f>
        <v>1</v>
      </c>
      <c r="F50" s="143">
        <f t="shared" ref="F50:F70" si="87">D50*E50*12</f>
        <v>12</v>
      </c>
      <c r="G50" s="144">
        <f>References!B24</f>
        <v>34</v>
      </c>
      <c r="H50" s="72">
        <f t="shared" si="83"/>
        <v>408</v>
      </c>
      <c r="I50" s="50">
        <f t="shared" si="84"/>
        <v>281.42833077932613</v>
      </c>
      <c r="J50" s="71">
        <f>(References!$C$49*I50)</f>
        <v>0.87664925037759889</v>
      </c>
      <c r="K50" s="71">
        <f>J50/References!$G$52</f>
        <v>0.90014298221336775</v>
      </c>
      <c r="L50" s="71">
        <f t="shared" si="85"/>
        <v>7.5011915184447317E-2</v>
      </c>
      <c r="M50" s="145">
        <f>'Tariff Changes'!C20</f>
        <v>3.83</v>
      </c>
      <c r="N50" s="71">
        <f t="shared" si="86"/>
        <v>3.9050119151844473</v>
      </c>
      <c r="O50" s="270">
        <f>'Tariff Changes'!E20</f>
        <v>3.8979134870915728</v>
      </c>
      <c r="P50" s="71"/>
      <c r="Q50" s="71"/>
      <c r="R50" s="71"/>
      <c r="S50" s="71"/>
      <c r="T50" s="71"/>
      <c r="U50" s="71"/>
      <c r="V50" s="71"/>
      <c r="W50" s="71"/>
    </row>
    <row r="51" spans="1:25" s="63" customFormat="1">
      <c r="A51" s="265"/>
      <c r="B51" s="266" t="str">
        <f>'Tariff Changes'!A22</f>
        <v>Item 100, pg 25 Appendix B</v>
      </c>
      <c r="C51" s="269" t="str">
        <f>'Tariff Changes'!A28</f>
        <v>5 Can</v>
      </c>
      <c r="D51" s="142">
        <v>1</v>
      </c>
      <c r="E51" s="73">
        <f>References!B7</f>
        <v>4.333333333333333</v>
      </c>
      <c r="F51" s="143">
        <f t="shared" si="87"/>
        <v>52</v>
      </c>
      <c r="G51" s="144">
        <f>References!B18</f>
        <v>117</v>
      </c>
      <c r="H51" s="72">
        <f t="shared" si="83"/>
        <v>6084</v>
      </c>
      <c r="I51" s="50">
        <f t="shared" si="84"/>
        <v>4196.59305015054</v>
      </c>
      <c r="J51" s="71">
        <f>(References!$C$49*I51)</f>
        <v>13.072387351218902</v>
      </c>
      <c r="K51" s="71">
        <f>J51/References!$G$52</f>
        <v>13.422720352416986</v>
      </c>
      <c r="L51" s="71">
        <f t="shared" si="85"/>
        <v>1.118560029368082</v>
      </c>
      <c r="M51" s="145">
        <f>'Tariff Changes'!C28</f>
        <v>61.53</v>
      </c>
      <c r="N51" s="71">
        <f t="shared" si="86"/>
        <v>62.648560029368085</v>
      </c>
      <c r="O51" s="270">
        <f>'Tariff Changes'!E28</f>
        <v>63.000326995532546</v>
      </c>
      <c r="P51" s="71"/>
      <c r="Q51" s="71"/>
      <c r="R51" s="71"/>
      <c r="S51" s="71"/>
      <c r="T51" s="71"/>
      <c r="U51" s="71"/>
      <c r="V51" s="71"/>
      <c r="W51" s="71"/>
    </row>
    <row r="52" spans="1:25" s="63" customFormat="1">
      <c r="A52" s="265"/>
      <c r="B52" s="266" t="str">
        <f>'Tariff Changes'!A34</f>
        <v>Item 100, pg 26</v>
      </c>
      <c r="C52" s="269" t="str">
        <f>'Tariff Changes'!A35</f>
        <v>32 Can or Bag, Extra</v>
      </c>
      <c r="D52" s="142">
        <v>1</v>
      </c>
      <c r="E52" s="73">
        <v>1</v>
      </c>
      <c r="F52" s="143">
        <f t="shared" si="87"/>
        <v>12</v>
      </c>
      <c r="G52" s="144">
        <f>References!B24</f>
        <v>34</v>
      </c>
      <c r="H52" s="72">
        <f t="shared" si="83"/>
        <v>408</v>
      </c>
      <c r="I52" s="50">
        <f t="shared" si="84"/>
        <v>281.42833077932613</v>
      </c>
      <c r="J52" s="71">
        <f>(References!$C$49*I52)</f>
        <v>0.87664925037759889</v>
      </c>
      <c r="K52" s="71">
        <f>J52/References!$G$52</f>
        <v>0.90014298221336775</v>
      </c>
      <c r="L52" s="71">
        <f t="shared" si="85"/>
        <v>7.5011915184447317E-2</v>
      </c>
      <c r="M52" s="145">
        <f>'Tariff Changes'!C35</f>
        <v>3.12</v>
      </c>
      <c r="N52" s="71">
        <f t="shared" si="86"/>
        <v>3.1950119151844474</v>
      </c>
      <c r="O52" s="270">
        <f>'Tariff Changes'!E35</f>
        <v>3.1879134870915729</v>
      </c>
      <c r="P52" s="71"/>
      <c r="Q52" s="71"/>
      <c r="R52" s="71"/>
      <c r="S52" s="71"/>
      <c r="T52" s="71"/>
      <c r="U52" s="71"/>
      <c r="V52" s="71"/>
      <c r="W52" s="71"/>
    </row>
    <row r="53" spans="1:25" s="63" customFormat="1">
      <c r="A53" s="265"/>
      <c r="B53" s="266" t="str">
        <f>'Tariff Changes'!$A$37</f>
        <v>Item 105, pg 31</v>
      </c>
      <c r="C53" s="269" t="str">
        <f>'Tariff Changes'!A38</f>
        <v>20 Gallon</v>
      </c>
      <c r="D53" s="142">
        <v>1</v>
      </c>
      <c r="E53" s="73">
        <v>1</v>
      </c>
      <c r="F53" s="143">
        <f t="shared" si="87"/>
        <v>12</v>
      </c>
      <c r="G53" s="144">
        <f>References!B13</f>
        <v>20</v>
      </c>
      <c r="H53" s="72">
        <f t="shared" si="83"/>
        <v>240</v>
      </c>
      <c r="I53" s="50">
        <f t="shared" si="84"/>
        <v>165.54607692901538</v>
      </c>
      <c r="J53" s="71">
        <f>(References!$C$49*I53)</f>
        <v>0.51567602963388171</v>
      </c>
      <c r="K53" s="71">
        <f>J53/References!$G$52</f>
        <v>0.52949587189021641</v>
      </c>
      <c r="L53" s="71">
        <f t="shared" si="85"/>
        <v>4.4124655990851365E-2</v>
      </c>
      <c r="M53" s="145">
        <f>'Tariff Changes'!C38</f>
        <v>3.25</v>
      </c>
      <c r="N53" s="71">
        <f t="shared" si="86"/>
        <v>3.2941246559908515</v>
      </c>
      <c r="O53" s="270">
        <f>'Tariff Changes'!E38</f>
        <v>3.2968926458489429</v>
      </c>
      <c r="P53" s="71"/>
      <c r="Q53" s="71"/>
      <c r="R53" s="71"/>
      <c r="S53" s="71"/>
      <c r="T53" s="71"/>
      <c r="U53" s="71"/>
      <c r="V53" s="71"/>
      <c r="W53" s="71"/>
    </row>
    <row r="54" spans="1:25" s="63" customFormat="1">
      <c r="A54" s="265"/>
      <c r="B54" s="266" t="str">
        <f>'Tariff Changes'!$A$37</f>
        <v>Item 105, pg 31</v>
      </c>
      <c r="C54" s="269" t="str">
        <f>'Tariff Changes'!A39</f>
        <v>32 Gallon</v>
      </c>
      <c r="D54" s="142">
        <v>1</v>
      </c>
      <c r="E54" s="73">
        <v>1</v>
      </c>
      <c r="F54" s="143">
        <f t="shared" si="87"/>
        <v>12</v>
      </c>
      <c r="G54" s="144">
        <f>References!B14</f>
        <v>34</v>
      </c>
      <c r="H54" s="72">
        <f t="shared" si="83"/>
        <v>408</v>
      </c>
      <c r="I54" s="50">
        <f t="shared" si="84"/>
        <v>281.42833077932613</v>
      </c>
      <c r="J54" s="71">
        <f>(References!$C$49*I54)</f>
        <v>0.87664925037759889</v>
      </c>
      <c r="K54" s="71">
        <f>J54/References!$G$52</f>
        <v>0.90014298221336775</v>
      </c>
      <c r="L54" s="71">
        <f t="shared" si="85"/>
        <v>7.5011915184447317E-2</v>
      </c>
      <c r="M54" s="145">
        <f>'Tariff Changes'!C39</f>
        <v>4.9800000000000004</v>
      </c>
      <c r="N54" s="71">
        <f t="shared" si="86"/>
        <v>5.0550119151844477</v>
      </c>
      <c r="O54" s="270">
        <f>'Tariff Changes'!E39</f>
        <v>5.0540903804413304</v>
      </c>
      <c r="P54" s="71"/>
      <c r="Q54" s="71"/>
      <c r="R54" s="71"/>
      <c r="S54" s="71"/>
      <c r="T54" s="71"/>
      <c r="U54" s="71"/>
      <c r="V54" s="71"/>
      <c r="W54" s="71"/>
    </row>
    <row r="55" spans="1:25" s="63" customFormat="1">
      <c r="A55" s="265"/>
      <c r="B55" s="266" t="str">
        <f>'Tariff Changes'!$A$37</f>
        <v>Item 105, pg 31</v>
      </c>
      <c r="C55" s="269" t="str">
        <f>'Tariff Changes'!A42</f>
        <v>1 Yard</v>
      </c>
      <c r="D55" s="142">
        <v>1</v>
      </c>
      <c r="E55" s="73">
        <v>1</v>
      </c>
      <c r="F55" s="143">
        <f t="shared" si="87"/>
        <v>12</v>
      </c>
      <c r="G55" s="144">
        <f>References!B27</f>
        <v>175</v>
      </c>
      <c r="H55" s="72">
        <f t="shared" si="83"/>
        <v>2100</v>
      </c>
      <c r="I55" s="50">
        <f t="shared" si="84"/>
        <v>1448.5281731288846</v>
      </c>
      <c r="J55" s="71">
        <f>(References!$C$49*I55)</f>
        <v>4.5121652592964656</v>
      </c>
      <c r="K55" s="71">
        <f>J55/References!$G$52</f>
        <v>4.633088879039394</v>
      </c>
      <c r="L55" s="71">
        <f t="shared" si="85"/>
        <v>0.38609073991994952</v>
      </c>
      <c r="M55" s="145">
        <f>'Tariff Changes'!C42</f>
        <v>21.97</v>
      </c>
      <c r="N55" s="71">
        <f t="shared" si="86"/>
        <v>22.356090739919949</v>
      </c>
      <c r="O55" s="270">
        <f>'Tariff Changes'!E42</f>
        <v>22.43892645848943</v>
      </c>
      <c r="P55" s="71"/>
      <c r="Q55" s="71"/>
      <c r="R55" s="71"/>
      <c r="S55" s="71"/>
      <c r="T55" s="71"/>
      <c r="U55" s="71"/>
      <c r="V55" s="71"/>
      <c r="W55" s="71"/>
    </row>
    <row r="56" spans="1:25" s="63" customFormat="1">
      <c r="A56" s="265"/>
      <c r="B56" s="266" t="str">
        <f>'Tariff Changes'!$A$37</f>
        <v>Item 105, pg 31</v>
      </c>
      <c r="C56" s="269" t="str">
        <f>'Tariff Changes'!A47</f>
        <v>6 Yard</v>
      </c>
      <c r="D56" s="142">
        <v>1</v>
      </c>
      <c r="E56" s="73">
        <v>1</v>
      </c>
      <c r="F56" s="143">
        <f t="shared" si="87"/>
        <v>12</v>
      </c>
      <c r="G56" s="144">
        <f>References!B32</f>
        <v>840</v>
      </c>
      <c r="H56" s="72">
        <f t="shared" si="83"/>
        <v>10080</v>
      </c>
      <c r="I56" s="50">
        <f t="shared" si="84"/>
        <v>6952.9352310186459</v>
      </c>
      <c r="J56" s="71">
        <f>(References!$C$49*I56)</f>
        <v>21.658393244623031</v>
      </c>
      <c r="K56" s="71">
        <f>J56/References!$G$52</f>
        <v>22.238826619389087</v>
      </c>
      <c r="L56" s="71">
        <f t="shared" si="85"/>
        <v>1.8532355516157573</v>
      </c>
      <c r="M56" s="145">
        <f>'Tariff Changes'!C47</f>
        <v>108.22</v>
      </c>
      <c r="N56" s="71">
        <f t="shared" si="86"/>
        <v>110.07323555161575</v>
      </c>
      <c r="O56" s="270">
        <f>'Tariff Changes'!E47</f>
        <v>111.03355875093658</v>
      </c>
      <c r="P56" s="71"/>
      <c r="Q56" s="71"/>
      <c r="R56" s="71"/>
      <c r="S56" s="71"/>
      <c r="T56" s="71"/>
      <c r="U56" s="71"/>
      <c r="V56" s="71"/>
      <c r="W56" s="71"/>
    </row>
    <row r="57" spans="1:25">
      <c r="A57" s="265"/>
      <c r="B57" s="266" t="str">
        <f>'Tariff Changes'!$A$37</f>
        <v>Item 105, pg 31</v>
      </c>
      <c r="C57" s="61" t="str">
        <f>'Tariff Changes'!A50</f>
        <v>20 Gallon Special</v>
      </c>
      <c r="D57" s="142">
        <v>1</v>
      </c>
      <c r="E57" s="73">
        <v>1</v>
      </c>
      <c r="F57" s="143">
        <f t="shared" si="87"/>
        <v>12</v>
      </c>
      <c r="G57" s="144">
        <f>References!B13</f>
        <v>20</v>
      </c>
      <c r="H57" s="72">
        <f t="shared" si="83"/>
        <v>240</v>
      </c>
      <c r="I57" s="50">
        <f t="shared" si="84"/>
        <v>165.54607692901538</v>
      </c>
      <c r="J57" s="71">
        <f>(References!$C$49*I57)</f>
        <v>0.51567602963388171</v>
      </c>
      <c r="K57" s="71">
        <f>J57/References!$G$52</f>
        <v>0.52949587189021641</v>
      </c>
      <c r="L57" s="71">
        <f t="shared" si="85"/>
        <v>4.4124655990851365E-2</v>
      </c>
      <c r="M57" s="145">
        <f>'Tariff Changes'!C50</f>
        <v>5.46</v>
      </c>
      <c r="N57" s="71">
        <f t="shared" si="86"/>
        <v>5.504124655990851</v>
      </c>
      <c r="O57" s="270">
        <f>'Tariff Changes'!E50</f>
        <v>5.5068926458489429</v>
      </c>
      <c r="P57" s="71"/>
      <c r="Q57" s="71"/>
      <c r="R57" s="71"/>
      <c r="S57" s="71"/>
      <c r="T57" s="71"/>
      <c r="U57" s="71"/>
      <c r="V57" s="71"/>
      <c r="W57" s="71"/>
      <c r="X57" s="63"/>
      <c r="Y57" s="63"/>
    </row>
    <row r="58" spans="1:25">
      <c r="A58" s="265"/>
      <c r="B58" s="266" t="str">
        <f>'Tariff Changes'!$A$37</f>
        <v>Item 105, pg 31</v>
      </c>
      <c r="C58" s="61" t="str">
        <f>'Tariff Changes'!A51</f>
        <v>32 Gallon Special</v>
      </c>
      <c r="D58" s="142">
        <v>1</v>
      </c>
      <c r="E58" s="73">
        <v>1</v>
      </c>
      <c r="F58" s="143">
        <f t="shared" si="87"/>
        <v>12</v>
      </c>
      <c r="G58" s="144">
        <f>References!B26</f>
        <v>29</v>
      </c>
      <c r="H58" s="72">
        <f t="shared" si="83"/>
        <v>348</v>
      </c>
      <c r="I58" s="50">
        <f t="shared" si="84"/>
        <v>240.04181154707229</v>
      </c>
      <c r="J58" s="71">
        <f>(References!$C$49*I58)</f>
        <v>0.74773024296912849</v>
      </c>
      <c r="K58" s="71">
        <f>J58/References!$G$52</f>
        <v>0.76776901424081379</v>
      </c>
      <c r="L58" s="71">
        <f t="shared" si="85"/>
        <v>6.3980751186734477E-2</v>
      </c>
      <c r="M58" s="145">
        <f>'Tariff Changes'!C51</f>
        <v>5.51</v>
      </c>
      <c r="N58" s="71">
        <f t="shared" si="86"/>
        <v>5.5739807511867339</v>
      </c>
      <c r="O58" s="270">
        <f>'Tariff Changes'!E51</f>
        <v>5.5840903804413298</v>
      </c>
      <c r="P58" s="71"/>
      <c r="Q58" s="71"/>
      <c r="R58" s="71"/>
      <c r="S58" s="71"/>
      <c r="T58" s="71"/>
      <c r="U58" s="71"/>
      <c r="V58" s="71"/>
      <c r="W58" s="71"/>
      <c r="X58" s="63"/>
      <c r="Y58" s="63"/>
    </row>
    <row r="59" spans="1:25">
      <c r="A59" s="265"/>
      <c r="B59" s="266" t="str">
        <f>'Tariff Changes'!$A$37</f>
        <v>Item 105, pg 31</v>
      </c>
      <c r="C59" s="61" t="str">
        <f>'Tariff Changes'!A52</f>
        <v>64 Gallon Special</v>
      </c>
      <c r="D59" s="142">
        <v>1</v>
      </c>
      <c r="E59" s="73">
        <v>1</v>
      </c>
      <c r="F59" s="143">
        <f t="shared" si="87"/>
        <v>12</v>
      </c>
      <c r="G59" s="144">
        <f>References!B21</f>
        <v>47</v>
      </c>
      <c r="H59" s="72">
        <f t="shared" si="83"/>
        <v>564</v>
      </c>
      <c r="I59" s="50">
        <f t="shared" si="84"/>
        <v>389.03328078318611</v>
      </c>
      <c r="J59" s="71">
        <f>(References!$C$49*I59)</f>
        <v>1.2118386696396219</v>
      </c>
      <c r="K59" s="71">
        <f>J59/References!$G$52</f>
        <v>1.2443152989420083</v>
      </c>
      <c r="L59" s="71">
        <f t="shared" si="85"/>
        <v>0.10369294157850069</v>
      </c>
      <c r="M59" s="145">
        <f>'Tariff Changes'!C52</f>
        <v>8.09</v>
      </c>
      <c r="N59" s="71">
        <f t="shared" si="86"/>
        <v>8.1936929415785009</v>
      </c>
      <c r="O59" s="270">
        <f>'Tariff Changes'!E52</f>
        <v>8.2381807608826598</v>
      </c>
      <c r="P59" s="71"/>
      <c r="Q59" s="71"/>
      <c r="R59" s="71"/>
      <c r="S59" s="71"/>
      <c r="T59" s="71"/>
      <c r="U59" s="71"/>
      <c r="V59" s="71"/>
      <c r="W59" s="71"/>
      <c r="X59" s="63"/>
      <c r="Y59" s="63"/>
    </row>
    <row r="60" spans="1:25">
      <c r="A60" s="265"/>
      <c r="B60" s="266" t="str">
        <f>'Tariff Changes'!$A$37</f>
        <v>Item 105, pg 31</v>
      </c>
      <c r="C60" s="61" t="str">
        <f>'Tariff Changes'!A53</f>
        <v>96 Gallon Special</v>
      </c>
      <c r="D60" s="142">
        <v>1</v>
      </c>
      <c r="E60" s="73">
        <v>1</v>
      </c>
      <c r="F60" s="143">
        <f t="shared" si="87"/>
        <v>12</v>
      </c>
      <c r="G60" s="144">
        <f>References!B22</f>
        <v>68</v>
      </c>
      <c r="H60" s="72">
        <f t="shared" si="83"/>
        <v>816</v>
      </c>
      <c r="I60" s="50">
        <f t="shared" si="84"/>
        <v>562.85666155865226</v>
      </c>
      <c r="J60" s="71">
        <f>(References!$C$49*I60)</f>
        <v>1.7532985007551978</v>
      </c>
      <c r="K60" s="71">
        <f>J60/References!$G$52</f>
        <v>1.8002859644267355</v>
      </c>
      <c r="L60" s="71">
        <f t="shared" si="85"/>
        <v>0.15002383036889463</v>
      </c>
      <c r="M60" s="145">
        <f>'Tariff Changes'!C53</f>
        <v>11.01</v>
      </c>
      <c r="N60" s="71">
        <f t="shared" si="86"/>
        <v>11.160023830368894</v>
      </c>
      <c r="O60" s="270">
        <f>'Tariff Changes'!E53</f>
        <v>11.23227114132399</v>
      </c>
      <c r="P60" s="71"/>
      <c r="Q60" s="71"/>
      <c r="R60" s="71"/>
      <c r="S60" s="71"/>
      <c r="T60" s="71"/>
      <c r="U60" s="71"/>
      <c r="V60" s="71"/>
      <c r="W60" s="71"/>
      <c r="X60" s="63"/>
      <c r="Y60" s="63"/>
    </row>
    <row r="61" spans="1:25">
      <c r="A61" s="265"/>
      <c r="B61" s="266" t="str">
        <f>'Tariff Changes'!$A$37</f>
        <v>Item 105, pg 31</v>
      </c>
      <c r="C61" s="61" t="str">
        <f>'Tariff Changes'!A54</f>
        <v>1 Yard Special</v>
      </c>
      <c r="D61" s="142">
        <v>1</v>
      </c>
      <c r="E61" s="73">
        <v>1</v>
      </c>
      <c r="F61" s="143">
        <f t="shared" si="87"/>
        <v>12</v>
      </c>
      <c r="G61" s="144">
        <f>References!B27</f>
        <v>175</v>
      </c>
      <c r="H61" s="72">
        <f t="shared" si="83"/>
        <v>2100</v>
      </c>
      <c r="I61" s="50">
        <f t="shared" si="84"/>
        <v>1448.5281731288846</v>
      </c>
      <c r="J61" s="71">
        <f>(References!$C$49*I61)</f>
        <v>4.5121652592964656</v>
      </c>
      <c r="K61" s="71">
        <f>J61/References!$G$52</f>
        <v>4.633088879039394</v>
      </c>
      <c r="L61" s="71">
        <f t="shared" si="85"/>
        <v>0.38609073991994952</v>
      </c>
      <c r="M61" s="145">
        <f>'Tariff Changes'!C54</f>
        <v>24.54</v>
      </c>
      <c r="N61" s="71">
        <f t="shared" si="86"/>
        <v>24.92609073991995</v>
      </c>
      <c r="O61" s="270">
        <f>'Tariff Changes'!E54</f>
        <v>25.00892645848943</v>
      </c>
      <c r="P61" s="71"/>
      <c r="Q61" s="71"/>
      <c r="R61" s="71"/>
      <c r="S61" s="71"/>
      <c r="T61" s="71"/>
      <c r="U61" s="71"/>
      <c r="V61" s="71"/>
      <c r="W61" s="71"/>
      <c r="X61" s="63"/>
      <c r="Y61" s="63"/>
    </row>
    <row r="62" spans="1:25">
      <c r="A62" s="265"/>
      <c r="B62" s="266" t="str">
        <f>'Tariff Changes'!$A$37</f>
        <v>Item 105, pg 31</v>
      </c>
      <c r="C62" s="61" t="str">
        <f>'Tariff Changes'!A55</f>
        <v>1.5 Yard Special</v>
      </c>
      <c r="D62" s="142">
        <v>1</v>
      </c>
      <c r="E62" s="73">
        <v>1</v>
      </c>
      <c r="F62" s="143">
        <f t="shared" si="87"/>
        <v>12</v>
      </c>
      <c r="G62" s="144">
        <f>References!B28</f>
        <v>250</v>
      </c>
      <c r="H62" s="72">
        <f t="shared" si="83"/>
        <v>3000</v>
      </c>
      <c r="I62" s="50">
        <f t="shared" si="84"/>
        <v>2069.325961612692</v>
      </c>
      <c r="J62" s="71">
        <f>(References!$C$49*I62)</f>
        <v>6.445950370423521</v>
      </c>
      <c r="K62" s="71">
        <f>J62/References!$G$52</f>
        <v>6.6186983986277044</v>
      </c>
      <c r="L62" s="71">
        <f t="shared" si="85"/>
        <v>0.55155819988564203</v>
      </c>
      <c r="M62" s="145">
        <f>'Tariff Changes'!C55</f>
        <v>32.659999999999997</v>
      </c>
      <c r="N62" s="71">
        <f t="shared" si="86"/>
        <v>33.211558199885637</v>
      </c>
      <c r="O62" s="270">
        <f>'Tariff Changes'!E55</f>
        <v>33.363389687734141</v>
      </c>
      <c r="P62" s="71"/>
      <c r="Q62" s="71"/>
      <c r="R62" s="71"/>
      <c r="S62" s="71"/>
      <c r="T62" s="71"/>
      <c r="U62" s="71"/>
      <c r="V62" s="71"/>
      <c r="W62" s="71"/>
      <c r="X62" s="63"/>
      <c r="Y62" s="63"/>
    </row>
    <row r="63" spans="1:25">
      <c r="A63" s="265"/>
      <c r="B63" s="266" t="str">
        <f>'Tariff Changes'!$A$37</f>
        <v>Item 105, pg 31</v>
      </c>
      <c r="C63" s="61" t="str">
        <f>'Tariff Changes'!A56</f>
        <v>2 Yard Special</v>
      </c>
      <c r="D63" s="142">
        <v>1</v>
      </c>
      <c r="E63" s="73">
        <v>1</v>
      </c>
      <c r="F63" s="143">
        <f t="shared" si="87"/>
        <v>12</v>
      </c>
      <c r="G63" s="144">
        <f>References!B29</f>
        <v>324</v>
      </c>
      <c r="H63" s="72">
        <f t="shared" si="83"/>
        <v>3888</v>
      </c>
      <c r="I63" s="50">
        <f t="shared" si="84"/>
        <v>2681.8464462500492</v>
      </c>
      <c r="J63" s="71">
        <f>(References!$C$49*I63)</f>
        <v>8.3539516800688833</v>
      </c>
      <c r="K63" s="71">
        <f>J63/References!$G$52</f>
        <v>8.5778331246215043</v>
      </c>
      <c r="L63" s="71">
        <f t="shared" si="85"/>
        <v>0.71481942705179202</v>
      </c>
      <c r="M63" s="145">
        <f>'Tariff Changes'!C56</f>
        <v>43.27</v>
      </c>
      <c r="N63" s="71">
        <f t="shared" si="86"/>
        <v>43.984819427051796</v>
      </c>
      <c r="O63" s="270">
        <f>'Tariff Changes'!E56</f>
        <v>44.207852916978865</v>
      </c>
      <c r="P63" s="71"/>
      <c r="Q63" s="71"/>
      <c r="R63" s="71"/>
      <c r="S63" s="71"/>
      <c r="T63" s="71"/>
      <c r="U63" s="71"/>
      <c r="V63" s="71"/>
      <c r="W63" s="71"/>
      <c r="X63" s="63"/>
      <c r="Y63" s="63"/>
    </row>
    <row r="64" spans="1:25">
      <c r="A64" s="265"/>
      <c r="B64" s="266" t="str">
        <f>'Tariff Changes'!$A$37</f>
        <v>Item 105, pg 31</v>
      </c>
      <c r="C64" s="61" t="str">
        <f>'Tariff Changes'!A57</f>
        <v>3 Yard Special</v>
      </c>
      <c r="D64" s="142">
        <v>1</v>
      </c>
      <c r="E64" s="73">
        <v>1</v>
      </c>
      <c r="F64" s="143">
        <f t="shared" si="87"/>
        <v>12</v>
      </c>
      <c r="G64" s="144">
        <f>References!B30</f>
        <v>473</v>
      </c>
      <c r="H64" s="72">
        <f t="shared" si="83"/>
        <v>5676</v>
      </c>
      <c r="I64" s="50">
        <f t="shared" si="84"/>
        <v>3915.1647193712138</v>
      </c>
      <c r="J64" s="71">
        <f>(References!$C$49*I64)</f>
        <v>12.195738100841302</v>
      </c>
      <c r="K64" s="71">
        <f>J64/References!$G$52</f>
        <v>12.522577370203617</v>
      </c>
      <c r="L64" s="71">
        <f t="shared" si="85"/>
        <v>1.0435481141836347</v>
      </c>
      <c r="M64" s="145">
        <f>'Tariff Changes'!C57</f>
        <v>60.94</v>
      </c>
      <c r="N64" s="71">
        <f t="shared" si="86"/>
        <v>61.983548114183634</v>
      </c>
      <c r="O64" s="270">
        <f>'Tariff Changes'!E57</f>
        <v>62.346779375468287</v>
      </c>
      <c r="P64" s="71"/>
      <c r="Q64" s="71"/>
      <c r="R64" s="71"/>
      <c r="S64" s="71"/>
      <c r="T64" s="71"/>
      <c r="U64" s="71"/>
      <c r="V64" s="71"/>
      <c r="W64" s="71"/>
      <c r="X64" s="63"/>
      <c r="Y64" s="63"/>
    </row>
    <row r="65" spans="1:25">
      <c r="A65" s="265"/>
      <c r="B65" s="266" t="str">
        <f>'Tariff Changes'!$A$37</f>
        <v>Item 105, pg 31</v>
      </c>
      <c r="C65" s="61" t="str">
        <f>'Tariff Changes'!A58</f>
        <v>4 Yard Special</v>
      </c>
      <c r="D65" s="142">
        <v>1</v>
      </c>
      <c r="E65" s="73">
        <v>1</v>
      </c>
      <c r="F65" s="143">
        <f t="shared" si="87"/>
        <v>12</v>
      </c>
      <c r="G65" s="144">
        <f>References!B31</f>
        <v>613</v>
      </c>
      <c r="H65" s="72">
        <f t="shared" si="83"/>
        <v>7356</v>
      </c>
      <c r="I65" s="50">
        <f t="shared" si="84"/>
        <v>5073.9872578743216</v>
      </c>
      <c r="J65" s="71">
        <f>(References!$C$49*I65)</f>
        <v>15.805470308278474</v>
      </c>
      <c r="K65" s="71">
        <f>J65/References!$G$52</f>
        <v>16.229048473435132</v>
      </c>
      <c r="L65" s="71">
        <f t="shared" si="85"/>
        <v>1.3524207061195943</v>
      </c>
      <c r="M65" s="145">
        <f>'Tariff Changes'!C58</f>
        <v>79.62</v>
      </c>
      <c r="N65" s="71">
        <f t="shared" si="86"/>
        <v>80.972420706119593</v>
      </c>
      <c r="O65" s="270">
        <f>'Tariff Changes'!E58</f>
        <v>81.495705833957729</v>
      </c>
      <c r="P65" s="71"/>
      <c r="Q65" s="71"/>
      <c r="R65" s="71"/>
      <c r="S65" s="71"/>
      <c r="T65" s="71"/>
      <c r="U65" s="71"/>
      <c r="V65" s="71"/>
      <c r="W65" s="71"/>
      <c r="X65" s="63"/>
      <c r="Y65" s="63"/>
    </row>
    <row r="66" spans="1:25">
      <c r="A66" s="265"/>
      <c r="B66" s="266" t="str">
        <f>'Tariff Changes'!$A$37</f>
        <v>Item 105, pg 31</v>
      </c>
      <c r="C66" s="61" t="str">
        <f>'Tariff Changes'!A59</f>
        <v>6 Yard Sepcial</v>
      </c>
      <c r="D66" s="142">
        <v>1</v>
      </c>
      <c r="E66" s="73">
        <v>1</v>
      </c>
      <c r="F66" s="143">
        <f t="shared" si="87"/>
        <v>12</v>
      </c>
      <c r="G66" s="144">
        <f>References!B32</f>
        <v>840</v>
      </c>
      <c r="H66" s="72">
        <f t="shared" si="83"/>
        <v>10080</v>
      </c>
      <c r="I66" s="50">
        <f t="shared" si="84"/>
        <v>6952.9352310186459</v>
      </c>
      <c r="J66" s="71">
        <f>(References!$C$49*I66)</f>
        <v>21.658393244623031</v>
      </c>
      <c r="K66" s="71">
        <f>J66/References!$G$52</f>
        <v>22.238826619389087</v>
      </c>
      <c r="L66" s="71">
        <f t="shared" si="85"/>
        <v>1.8532355516157573</v>
      </c>
      <c r="M66" s="145">
        <f>'Tariff Changes'!C59</f>
        <v>116.17</v>
      </c>
      <c r="N66" s="71">
        <f t="shared" si="86"/>
        <v>118.02323555161576</v>
      </c>
      <c r="O66" s="270">
        <f>'Tariff Changes'!E59</f>
        <v>118.98355875093658</v>
      </c>
      <c r="P66" s="71"/>
      <c r="Q66" s="71"/>
      <c r="R66" s="71"/>
      <c r="S66" s="71"/>
      <c r="T66" s="71"/>
      <c r="U66" s="71"/>
      <c r="V66" s="71"/>
      <c r="W66" s="71"/>
      <c r="X66" s="63"/>
      <c r="Y66" s="63"/>
    </row>
    <row r="67" spans="1:25">
      <c r="A67" s="267"/>
      <c r="B67" s="266" t="str">
        <f>'Tariff Changes'!$A$37</f>
        <v>Item 105, pg 31</v>
      </c>
      <c r="C67" s="61" t="str">
        <f>'Tariff Changes'!A60</f>
        <v>8 Yard Special</v>
      </c>
      <c r="D67" s="142">
        <v>1</v>
      </c>
      <c r="E67" s="73">
        <v>1</v>
      </c>
      <c r="F67" s="143">
        <f t="shared" si="87"/>
        <v>12</v>
      </c>
      <c r="G67" s="144">
        <f>References!B33</f>
        <v>980</v>
      </c>
      <c r="H67" s="72">
        <f t="shared" si="83"/>
        <v>11760</v>
      </c>
      <c r="I67" s="50">
        <f t="shared" si="84"/>
        <v>8111.7577695217533</v>
      </c>
      <c r="J67" s="71">
        <f>(References!$C$49*I67)</f>
        <v>25.268125452060204</v>
      </c>
      <c r="K67" s="71">
        <f>J67/References!$G$52</f>
        <v>25.945297722620602</v>
      </c>
      <c r="L67" s="71">
        <f t="shared" si="85"/>
        <v>2.1621081435517167</v>
      </c>
      <c r="M67" s="145">
        <f>'Tariff Changes'!C60</f>
        <v>156.38</v>
      </c>
      <c r="N67" s="71">
        <f t="shared" si="86"/>
        <v>158.5421081435517</v>
      </c>
      <c r="O67" s="270">
        <f>'Tariff Changes'!E60</f>
        <v>160.13141166791544</v>
      </c>
      <c r="P67" s="71"/>
      <c r="Q67" s="71"/>
      <c r="R67" s="71"/>
      <c r="S67" s="71"/>
      <c r="T67" s="71"/>
      <c r="U67" s="71"/>
      <c r="V67" s="71"/>
      <c r="W67" s="71"/>
      <c r="X67" s="63"/>
      <c r="Y67" s="63"/>
    </row>
    <row r="68" spans="1:25">
      <c r="A68" s="267"/>
      <c r="B68" s="46" t="str">
        <f>'Tariff Changes'!$A$70</f>
        <v>Item 106, pg 34 Compacted</v>
      </c>
      <c r="C68" s="61" t="str">
        <f>'Tariff Changes'!A71</f>
        <v>3 Yard</v>
      </c>
      <c r="D68" s="142">
        <v>1</v>
      </c>
      <c r="E68" s="73">
        <v>1</v>
      </c>
      <c r="F68" s="143">
        <f t="shared" si="87"/>
        <v>12</v>
      </c>
      <c r="G68" s="144">
        <f>References!B37</f>
        <v>1301</v>
      </c>
      <c r="H68" s="72">
        <f t="shared" si="83"/>
        <v>15612</v>
      </c>
      <c r="I68" s="50">
        <f t="shared" si="84"/>
        <v>10768.772304232451</v>
      </c>
      <c r="J68" s="71">
        <f>(References!$C$49*I68)</f>
        <v>33.544725727684003</v>
      </c>
      <c r="K68" s="71">
        <f>J68/References!$G$52</f>
        <v>34.443706466458572</v>
      </c>
      <c r="L68" s="71">
        <f t="shared" si="85"/>
        <v>2.8703088722048808</v>
      </c>
      <c r="M68" s="145">
        <f>'Tariff Changes'!C71</f>
        <v>247.79</v>
      </c>
      <c r="N68" s="71">
        <f t="shared" si="86"/>
        <v>250.66030887220487</v>
      </c>
      <c r="O68" s="270">
        <f>'Tariff Changes'!E71</f>
        <v>252.71372781413899</v>
      </c>
      <c r="P68" s="71"/>
      <c r="Q68" s="71"/>
      <c r="R68" s="71"/>
      <c r="S68" s="71"/>
      <c r="T68" s="71"/>
      <c r="U68" s="71"/>
      <c r="V68" s="71"/>
      <c r="W68" s="71"/>
      <c r="X68" s="63"/>
      <c r="Y68" s="63"/>
    </row>
    <row r="69" spans="1:25">
      <c r="A69" s="267"/>
      <c r="B69" s="46" t="str">
        <f>'Tariff Changes'!$A$70</f>
        <v>Item 106, pg 34 Compacted</v>
      </c>
      <c r="C69" s="61" t="str">
        <f>'Tariff Changes'!A72</f>
        <v>4 Yard</v>
      </c>
      <c r="D69" s="142">
        <v>1</v>
      </c>
      <c r="E69" s="73">
        <v>1</v>
      </c>
      <c r="F69" s="143">
        <f t="shared" si="87"/>
        <v>12</v>
      </c>
      <c r="G69" s="144">
        <f>References!B38</f>
        <v>1686</v>
      </c>
      <c r="H69" s="72">
        <f t="shared" si="83"/>
        <v>20232</v>
      </c>
      <c r="I69" s="50">
        <f t="shared" si="84"/>
        <v>13955.534285115997</v>
      </c>
      <c r="J69" s="71">
        <f>(References!$C$49*I69)</f>
        <v>43.471489298136227</v>
      </c>
      <c r="K69" s="71">
        <f>J69/References!$G$52</f>
        <v>44.636502000345239</v>
      </c>
      <c r="L69" s="71">
        <f t="shared" si="85"/>
        <v>3.7197085000287697</v>
      </c>
      <c r="M69" s="145">
        <f>'Tariff Changes'!C72</f>
        <v>307.01</v>
      </c>
      <c r="N69" s="71">
        <f t="shared" si="86"/>
        <v>310.72970850002878</v>
      </c>
      <c r="O69" s="270">
        <f>'Tariff Changes'!E72</f>
        <v>313.57497041885199</v>
      </c>
      <c r="P69" s="71"/>
      <c r="Q69" s="71"/>
      <c r="R69" s="71"/>
      <c r="S69" s="71"/>
      <c r="T69" s="71"/>
      <c r="U69" s="71"/>
      <c r="V69" s="71"/>
      <c r="W69" s="71"/>
      <c r="X69" s="63"/>
      <c r="Y69" s="63"/>
    </row>
    <row r="70" spans="1:25">
      <c r="A70" s="267"/>
      <c r="B70" s="46" t="str">
        <f>'Tariff Changes'!$A$70</f>
        <v>Item 106, pg 34 Compacted</v>
      </c>
      <c r="C70" s="61" t="str">
        <f>'Tariff Changes'!A73</f>
        <v>5 Yard</v>
      </c>
      <c r="D70" s="142">
        <v>1</v>
      </c>
      <c r="E70" s="73">
        <v>1</v>
      </c>
      <c r="F70" s="143">
        <f t="shared" si="87"/>
        <v>12</v>
      </c>
      <c r="G70" s="144">
        <f>References!B39</f>
        <v>2046</v>
      </c>
      <c r="H70" s="72">
        <f t="shared" si="83"/>
        <v>24552</v>
      </c>
      <c r="I70" s="50">
        <f t="shared" si="84"/>
        <v>16935.363669838272</v>
      </c>
      <c r="J70" s="71">
        <f>(References!$C$49*I70)</f>
        <v>52.753657831546093</v>
      </c>
      <c r="K70" s="71">
        <f>J70/References!$G$52</f>
        <v>54.167427694369131</v>
      </c>
      <c r="L70" s="71">
        <f t="shared" si="85"/>
        <v>4.513952307864094</v>
      </c>
      <c r="M70" s="145">
        <f>'Tariff Changes'!C73</f>
        <v>351.57</v>
      </c>
      <c r="N70" s="71">
        <f t="shared" si="86"/>
        <v>356.08395230786408</v>
      </c>
      <c r="O70" s="270">
        <f>'Tariff Changes'!E73</f>
        <v>359.77621302356499</v>
      </c>
      <c r="P70" s="71"/>
      <c r="Q70" s="71"/>
      <c r="R70" s="71"/>
      <c r="S70" s="71"/>
      <c r="T70" s="71"/>
      <c r="U70" s="71"/>
      <c r="V70" s="71"/>
      <c r="W70" s="71"/>
      <c r="X70" s="63"/>
      <c r="Y70" s="63"/>
    </row>
    <row r="71" spans="1:25" s="63" customFormat="1">
      <c r="A71" s="265"/>
      <c r="B71" s="46" t="str">
        <f>'Tariff Changes'!$A$70</f>
        <v>Item 106, pg 34 Compacted</v>
      </c>
      <c r="C71" s="61" t="str">
        <f>'Tariff Changes'!A74</f>
        <v>6 Yard</v>
      </c>
      <c r="D71" s="142">
        <v>1</v>
      </c>
      <c r="E71" s="73">
        <v>1</v>
      </c>
      <c r="F71" s="143">
        <f t="shared" ref="F71:F98" si="88">D71*E71*12</f>
        <v>12</v>
      </c>
      <c r="G71" s="144">
        <f>References!B40</f>
        <v>2310</v>
      </c>
      <c r="H71" s="72">
        <f t="shared" ref="H71:H98" si="89">G71*F71</f>
        <v>27720</v>
      </c>
      <c r="I71" s="50">
        <f t="shared" si="84"/>
        <v>19120.571885301277</v>
      </c>
      <c r="J71" s="71">
        <f>(References!$C$49*I71)</f>
        <v>59.560581422713341</v>
      </c>
      <c r="K71" s="71">
        <f>J71/References!$G$52</f>
        <v>61.156773203319993</v>
      </c>
      <c r="L71" s="71">
        <f t="shared" ref="L71:L98" si="90">K71/F71*E71</f>
        <v>5.0963977669433325</v>
      </c>
      <c r="M71" s="145">
        <f>'Tariff Changes'!C74</f>
        <v>416.78</v>
      </c>
      <c r="N71" s="71">
        <f t="shared" si="86"/>
        <v>421.87639776694328</v>
      </c>
      <c r="O71" s="270">
        <f>'Tariff Changes'!E74</f>
        <v>426.62745562827797</v>
      </c>
      <c r="P71" s="71"/>
      <c r="Q71" s="71"/>
      <c r="R71" s="71"/>
      <c r="S71" s="71"/>
      <c r="T71" s="71"/>
      <c r="U71" s="71"/>
      <c r="V71" s="71"/>
      <c r="W71" s="71"/>
    </row>
    <row r="72" spans="1:25">
      <c r="A72" s="265"/>
      <c r="B72" s="46" t="str">
        <f>'Tariff Changes'!$A$81</f>
        <v>Item 106, pg 35 Compacted</v>
      </c>
      <c r="C72" s="61" t="str">
        <f>'Tariff Changes'!A82</f>
        <v>1 Yard</v>
      </c>
      <c r="D72" s="142">
        <v>1</v>
      </c>
      <c r="E72" s="73">
        <v>1</v>
      </c>
      <c r="F72" s="143">
        <f t="shared" si="88"/>
        <v>12</v>
      </c>
      <c r="G72" s="144">
        <f>References!B34</f>
        <v>482</v>
      </c>
      <c r="H72" s="72">
        <f t="shared" si="89"/>
        <v>5784</v>
      </c>
      <c r="I72" s="50">
        <f t="shared" si="84"/>
        <v>3989.6604539892705</v>
      </c>
      <c r="J72" s="71">
        <f>(References!$C$49*I72)</f>
        <v>12.427792314176548</v>
      </c>
      <c r="K72" s="71">
        <f>J72/References!$G$52</f>
        <v>12.760850512554214</v>
      </c>
      <c r="L72" s="71">
        <f t="shared" si="90"/>
        <v>1.0634042093795177</v>
      </c>
      <c r="M72" s="145">
        <f>'Tariff Changes'!C82</f>
        <v>142.94</v>
      </c>
      <c r="N72" s="71">
        <f t="shared" si="86"/>
        <v>144.00340420937951</v>
      </c>
      <c r="O72" s="270">
        <f>'Tariff Changes'!E82</f>
        <v>145.28463229244716</v>
      </c>
      <c r="P72" s="71"/>
      <c r="Q72" s="71"/>
      <c r="R72" s="71"/>
      <c r="S72" s="71"/>
      <c r="T72" s="71"/>
      <c r="U72" s="71"/>
      <c r="V72" s="71"/>
      <c r="W72" s="71"/>
      <c r="X72" s="63"/>
      <c r="Y72" s="63"/>
    </row>
    <row r="73" spans="1:25">
      <c r="A73" s="265"/>
      <c r="B73" s="46" t="str">
        <f>'Tariff Changes'!$A$81</f>
        <v>Item 106, pg 35 Compacted</v>
      </c>
      <c r="C73" s="61" t="str">
        <f>'Tariff Changes'!A83</f>
        <v>2 Yard</v>
      </c>
      <c r="D73" s="142">
        <v>1</v>
      </c>
      <c r="E73" s="73">
        <v>1</v>
      </c>
      <c r="F73" s="143">
        <f t="shared" si="88"/>
        <v>12</v>
      </c>
      <c r="G73" s="144">
        <f>References!B36</f>
        <v>892</v>
      </c>
      <c r="H73" s="72">
        <f t="shared" si="89"/>
        <v>10704</v>
      </c>
      <c r="I73" s="50">
        <f t="shared" si="84"/>
        <v>7383.3550310340861</v>
      </c>
      <c r="J73" s="71">
        <f>(References!$C$49*I73)</f>
        <v>22.999150921671124</v>
      </c>
      <c r="K73" s="71">
        <f>J73/References!$G$52</f>
        <v>23.615515886303648</v>
      </c>
      <c r="L73" s="71">
        <f t="shared" si="90"/>
        <v>1.9679596571919706</v>
      </c>
      <c r="M73" s="145">
        <f>'Tariff Changes'!C83</f>
        <v>229.19</v>
      </c>
      <c r="N73" s="71">
        <f t="shared" si="86"/>
        <v>231.15795965719198</v>
      </c>
      <c r="O73" s="270">
        <f>'Tariff Changes'!E83</f>
        <v>233.87926458489429</v>
      </c>
      <c r="P73" s="71"/>
      <c r="Q73" s="71"/>
      <c r="R73" s="71"/>
      <c r="S73" s="71"/>
      <c r="T73" s="71"/>
      <c r="U73" s="71"/>
      <c r="V73" s="71"/>
      <c r="W73" s="71"/>
      <c r="X73" s="63"/>
      <c r="Y73" s="63"/>
    </row>
    <row r="74" spans="1:25">
      <c r="A74" s="265"/>
      <c r="B74" s="46" t="str">
        <f>'Tariff Changes'!$A$81</f>
        <v>Item 106, pg 35 Compacted</v>
      </c>
      <c r="C74" s="61" t="str">
        <f>'Tariff Changes'!A84</f>
        <v>3 Yard</v>
      </c>
      <c r="D74" s="142">
        <v>1</v>
      </c>
      <c r="E74" s="73">
        <v>1</v>
      </c>
      <c r="F74" s="143">
        <f t="shared" si="88"/>
        <v>12</v>
      </c>
      <c r="G74" s="144">
        <f>References!B37</f>
        <v>1301</v>
      </c>
      <c r="H74" s="72">
        <f t="shared" si="89"/>
        <v>15612</v>
      </c>
      <c r="I74" s="50">
        <f t="shared" si="84"/>
        <v>10768.772304232451</v>
      </c>
      <c r="J74" s="71">
        <f>(References!$C$49*I74)</f>
        <v>33.544725727684003</v>
      </c>
      <c r="K74" s="71">
        <f>J74/References!$G$52</f>
        <v>34.443706466458572</v>
      </c>
      <c r="L74" s="71">
        <f t="shared" si="90"/>
        <v>2.8703088722048808</v>
      </c>
      <c r="M74" s="145">
        <f>'Tariff Changes'!C84</f>
        <v>297.93</v>
      </c>
      <c r="N74" s="71">
        <f t="shared" si="86"/>
        <v>300.80030887220488</v>
      </c>
      <c r="O74" s="270">
        <f>'Tariff Changes'!E84</f>
        <v>304.96389687734143</v>
      </c>
      <c r="P74" s="71"/>
      <c r="Q74" s="71"/>
      <c r="R74" s="71"/>
      <c r="S74" s="71"/>
      <c r="T74" s="71"/>
      <c r="U74" s="71"/>
      <c r="V74" s="71"/>
      <c r="W74" s="71"/>
      <c r="X74" s="63"/>
      <c r="Y74" s="63"/>
    </row>
    <row r="75" spans="1:25">
      <c r="A75" s="265"/>
      <c r="B75" s="46" t="str">
        <f>'Tariff Changes'!$A$81</f>
        <v>Item 106, pg 35 Compacted</v>
      </c>
      <c r="C75" s="61" t="str">
        <f>'Tariff Changes'!A85</f>
        <v>4 Yard</v>
      </c>
      <c r="D75" s="142">
        <v>1</v>
      </c>
      <c r="E75" s="73">
        <v>1</v>
      </c>
      <c r="F75" s="143">
        <f t="shared" si="88"/>
        <v>12</v>
      </c>
      <c r="G75" s="144">
        <f>References!B38</f>
        <v>1686</v>
      </c>
      <c r="H75" s="72">
        <f t="shared" si="89"/>
        <v>20232</v>
      </c>
      <c r="I75" s="50">
        <f t="shared" si="84"/>
        <v>13955.534285115997</v>
      </c>
      <c r="J75" s="71">
        <f>(References!$C$49*I75)</f>
        <v>43.471489298136227</v>
      </c>
      <c r="K75" s="71">
        <f>J75/References!$G$52</f>
        <v>44.636502000345239</v>
      </c>
      <c r="L75" s="71">
        <f t="shared" si="90"/>
        <v>3.7197085000287697</v>
      </c>
      <c r="M75" s="145">
        <f>'Tariff Changes'!C85</f>
        <v>376.02</v>
      </c>
      <c r="N75" s="71">
        <f t="shared" si="86"/>
        <v>379.73970850002877</v>
      </c>
      <c r="O75" s="270">
        <f>'Tariff Changes'!E85</f>
        <v>385.39852916978856</v>
      </c>
      <c r="P75" s="71"/>
      <c r="Q75" s="71"/>
      <c r="R75" s="71"/>
      <c r="S75" s="71"/>
      <c r="T75" s="71"/>
      <c r="U75" s="71"/>
      <c r="V75" s="71"/>
      <c r="W75" s="71"/>
      <c r="X75" s="63"/>
      <c r="Y75" s="63"/>
    </row>
    <row r="76" spans="1:25">
      <c r="A76" s="265"/>
      <c r="B76" s="46" t="str">
        <f>'Tariff Changes'!$A$81</f>
        <v>Item 106, pg 35 Compacted</v>
      </c>
      <c r="C76" s="61" t="str">
        <f>'Tariff Changes'!A86</f>
        <v>5 Yard</v>
      </c>
      <c r="D76" s="142">
        <v>1</v>
      </c>
      <c r="E76" s="73">
        <v>1</v>
      </c>
      <c r="F76" s="143">
        <f t="shared" si="88"/>
        <v>12</v>
      </c>
      <c r="G76" s="144">
        <f>References!B39</f>
        <v>2046</v>
      </c>
      <c r="H76" s="72">
        <f t="shared" si="89"/>
        <v>24552</v>
      </c>
      <c r="I76" s="50">
        <f t="shared" si="84"/>
        <v>16935.363669838272</v>
      </c>
      <c r="J76" s="71">
        <f>(References!$C$49*I76)</f>
        <v>52.753657831546093</v>
      </c>
      <c r="K76" s="71">
        <f>J76/References!$G$52</f>
        <v>54.167427694369131</v>
      </c>
      <c r="L76" s="71">
        <f t="shared" si="90"/>
        <v>4.513952307864094</v>
      </c>
      <c r="M76" s="145">
        <f>'Tariff Changes'!C86</f>
        <v>430.44</v>
      </c>
      <c r="N76" s="71">
        <f t="shared" si="86"/>
        <v>434.95395230786409</v>
      </c>
      <c r="O76" s="270">
        <f>'Tariff Changes'!E86</f>
        <v>442.16316146223573</v>
      </c>
      <c r="P76" s="71"/>
      <c r="Q76" s="71"/>
      <c r="R76" s="71"/>
      <c r="S76" s="71"/>
      <c r="T76" s="71"/>
      <c r="U76" s="71"/>
      <c r="V76" s="71"/>
      <c r="W76" s="71"/>
      <c r="X76" s="63"/>
      <c r="Y76" s="63"/>
    </row>
    <row r="77" spans="1:25">
      <c r="A77" s="265"/>
      <c r="B77" s="46" t="str">
        <f>'Tariff Changes'!$A$81</f>
        <v>Item 106, pg 35 Compacted</v>
      </c>
      <c r="C77" s="61" t="str">
        <f>'Tariff Changes'!A87</f>
        <v>6 Yard</v>
      </c>
      <c r="D77" s="142">
        <v>1</v>
      </c>
      <c r="E77" s="73">
        <v>1</v>
      </c>
      <c r="F77" s="143">
        <f t="shared" si="88"/>
        <v>12</v>
      </c>
      <c r="G77" s="144">
        <f>References!B40</f>
        <v>2310</v>
      </c>
      <c r="H77" s="72">
        <f t="shared" si="89"/>
        <v>27720</v>
      </c>
      <c r="I77" s="50">
        <f t="shared" si="84"/>
        <v>19120.571885301277</v>
      </c>
      <c r="J77" s="71">
        <f>(References!$C$49*I77)</f>
        <v>59.560581422713341</v>
      </c>
      <c r="K77" s="71">
        <f>J77/References!$G$52</f>
        <v>61.156773203319993</v>
      </c>
      <c r="L77" s="71">
        <f t="shared" si="90"/>
        <v>5.0963977669433325</v>
      </c>
      <c r="M77" s="145">
        <f>'Tariff Changes'!C87</f>
        <v>495.97</v>
      </c>
      <c r="N77" s="71">
        <f t="shared" si="86"/>
        <v>501.06639776694334</v>
      </c>
      <c r="O77" s="270">
        <f>'Tariff Changes'!E87</f>
        <v>510.03779375468292</v>
      </c>
      <c r="P77" s="71"/>
      <c r="Q77" s="71"/>
      <c r="R77" s="71"/>
      <c r="S77" s="71"/>
      <c r="T77" s="71"/>
      <c r="U77" s="71"/>
      <c r="V77" s="71"/>
      <c r="W77" s="71"/>
      <c r="X77" s="63"/>
      <c r="Y77" s="63"/>
    </row>
    <row r="78" spans="1:25">
      <c r="A78" s="265"/>
      <c r="B78" s="46" t="str">
        <f>'Tariff Changes'!$A$96</f>
        <v xml:space="preserve">Item 150, pg 38 </v>
      </c>
      <c r="C78" s="61" t="str">
        <f>'Tariff Changes'!A97</f>
        <v>Bulky</v>
      </c>
      <c r="D78" s="142">
        <v>1</v>
      </c>
      <c r="E78" s="73">
        <v>1</v>
      </c>
      <c r="F78" s="143">
        <f t="shared" si="88"/>
        <v>12</v>
      </c>
      <c r="G78" s="144">
        <f>References!B42</f>
        <v>125</v>
      </c>
      <c r="H78" s="72">
        <f t="shared" si="89"/>
        <v>1500</v>
      </c>
      <c r="I78" s="50">
        <f t="shared" si="84"/>
        <v>1034.662980806346</v>
      </c>
      <c r="J78" s="71">
        <f>(References!$C$49*I78)</f>
        <v>3.2229751852117605</v>
      </c>
      <c r="K78" s="71">
        <f>J78/References!$G$52</f>
        <v>3.3093491993138522</v>
      </c>
      <c r="L78" s="71">
        <f t="shared" si="90"/>
        <v>0.27577909994282102</v>
      </c>
      <c r="M78" s="145">
        <f>'Tariff Changes'!C97</f>
        <v>14.88</v>
      </c>
      <c r="N78" s="71">
        <f t="shared" si="86"/>
        <v>15.155779099942821</v>
      </c>
      <c r="O78" s="270">
        <f>'Tariff Changes'!E97</f>
        <v>15.124709906152518</v>
      </c>
      <c r="P78" s="71"/>
      <c r="Q78" s="71"/>
      <c r="R78" s="71"/>
      <c r="S78" s="71"/>
      <c r="T78" s="71"/>
      <c r="U78" s="71"/>
      <c r="V78" s="71"/>
      <c r="W78" s="71"/>
      <c r="X78" s="63"/>
      <c r="Y78" s="63"/>
    </row>
    <row r="79" spans="1:25">
      <c r="A79" s="265"/>
      <c r="B79" s="46" t="str">
        <f>'Tariff Changes'!$A$96</f>
        <v xml:space="preserve">Item 150, pg 38 </v>
      </c>
      <c r="C79" s="61" t="str">
        <f>'Tariff Changes'!A98</f>
        <v>Loose Material</v>
      </c>
      <c r="D79" s="142">
        <v>1</v>
      </c>
      <c r="E79" s="73">
        <v>1</v>
      </c>
      <c r="F79" s="143">
        <f t="shared" si="88"/>
        <v>12</v>
      </c>
      <c r="G79" s="144">
        <f>References!B42</f>
        <v>125</v>
      </c>
      <c r="H79" s="72">
        <f t="shared" si="89"/>
        <v>1500</v>
      </c>
      <c r="I79" s="50">
        <f t="shared" si="84"/>
        <v>1034.662980806346</v>
      </c>
      <c r="J79" s="71">
        <f>(References!$C$49*I79)</f>
        <v>3.2229751852117605</v>
      </c>
      <c r="K79" s="71">
        <f>J79/References!$G$52</f>
        <v>3.3093491993138522</v>
      </c>
      <c r="L79" s="71">
        <f t="shared" si="90"/>
        <v>0.27577909994282102</v>
      </c>
      <c r="M79" s="145">
        <f>'Tariff Changes'!C98</f>
        <v>14.88</v>
      </c>
      <c r="N79" s="71">
        <f t="shared" si="86"/>
        <v>15.155779099942821</v>
      </c>
      <c r="O79" s="270">
        <f>'Tariff Changes'!E98</f>
        <v>15.124709906152518</v>
      </c>
      <c r="P79" s="71"/>
      <c r="Q79" s="71"/>
      <c r="R79" s="71"/>
      <c r="S79" s="71"/>
      <c r="T79" s="71"/>
      <c r="U79" s="71"/>
      <c r="V79" s="71"/>
      <c r="W79" s="71"/>
      <c r="X79" s="63"/>
      <c r="Y79" s="63"/>
    </row>
    <row r="80" spans="1:25">
      <c r="A80" s="265"/>
      <c r="B80" s="46" t="str">
        <f>'Tariff Changes'!$A$100</f>
        <v>Item 240, pg 45</v>
      </c>
      <c r="C80" s="61" t="str">
        <f>'Tariff Changes'!A101</f>
        <v>32 Gallon</v>
      </c>
      <c r="D80" s="142">
        <v>1</v>
      </c>
      <c r="E80" s="73">
        <v>1</v>
      </c>
      <c r="F80" s="143">
        <f t="shared" si="88"/>
        <v>12</v>
      </c>
      <c r="G80" s="144">
        <f>[1]References!B26</f>
        <v>29</v>
      </c>
      <c r="H80" s="72">
        <f t="shared" si="89"/>
        <v>348</v>
      </c>
      <c r="I80" s="50">
        <f t="shared" si="84"/>
        <v>240.04181154707229</v>
      </c>
      <c r="J80" s="71">
        <f>(References!$C$49*I80)</f>
        <v>0.74773024296912849</v>
      </c>
      <c r="K80" s="71">
        <f>J80/References!$G$52</f>
        <v>0.76776901424081379</v>
      </c>
      <c r="L80" s="71">
        <f t="shared" si="90"/>
        <v>6.3980751186734477E-2</v>
      </c>
      <c r="M80" s="145">
        <f>'Tariff Changes'!C101</f>
        <v>4.53</v>
      </c>
      <c r="N80" s="71">
        <f t="shared" si="86"/>
        <v>4.5939807511867343</v>
      </c>
      <c r="O80" s="270">
        <f>'Tariff Changes'!E101</f>
        <v>4.6040903804413302</v>
      </c>
      <c r="P80" s="71"/>
      <c r="Q80" s="71"/>
      <c r="R80" s="71"/>
      <c r="S80" s="71"/>
      <c r="T80" s="71"/>
      <c r="U80" s="71"/>
      <c r="V80" s="71"/>
      <c r="W80" s="71"/>
      <c r="X80" s="63"/>
      <c r="Y80" s="63"/>
    </row>
    <row r="81" spans="1:25">
      <c r="A81" s="265"/>
      <c r="B81" s="46" t="str">
        <f>'Tariff Changes'!$A$100</f>
        <v>Item 240, pg 45</v>
      </c>
      <c r="C81" s="61" t="str">
        <f>'Tariff Changes'!A111</f>
        <v>32 Gal Special</v>
      </c>
      <c r="D81" s="142">
        <v>1</v>
      </c>
      <c r="E81" s="73">
        <v>1</v>
      </c>
      <c r="F81" s="143">
        <f t="shared" ref="F81:F83" si="91">D81*E81*12</f>
        <v>12</v>
      </c>
      <c r="G81" s="144">
        <f>References!B24</f>
        <v>34</v>
      </c>
      <c r="H81" s="72">
        <f t="shared" ref="H81:H83" si="92">G81*F81</f>
        <v>408</v>
      </c>
      <c r="I81" s="50">
        <f t="shared" ref="I81:I83" si="93">$D$114*H81</f>
        <v>281.42833077932613</v>
      </c>
      <c r="J81" s="71">
        <f>(References!$C$49*I81)</f>
        <v>0.87664925037759889</v>
      </c>
      <c r="K81" s="71">
        <f>J81/References!$G$52</f>
        <v>0.90014298221336775</v>
      </c>
      <c r="L81" s="71">
        <f t="shared" ref="L81:L83" si="94">K81/F81*E81</f>
        <v>7.5011915184447317E-2</v>
      </c>
      <c r="M81" s="145">
        <f>'Tariff Changes'!C111</f>
        <v>5.1100000000000003</v>
      </c>
      <c r="N81" s="71">
        <f t="shared" ref="N81:N83" si="95">L81+M81</f>
        <v>5.1850119151844476</v>
      </c>
      <c r="O81" s="270">
        <f>'Tariff Changes'!E111</f>
        <v>5.1840903804413303</v>
      </c>
      <c r="P81" s="71"/>
      <c r="Q81" s="71"/>
      <c r="R81" s="71"/>
      <c r="S81" s="71"/>
      <c r="T81" s="71"/>
      <c r="U81" s="71"/>
      <c r="V81" s="71"/>
      <c r="W81" s="71"/>
      <c r="X81" s="63"/>
      <c r="Y81" s="63"/>
    </row>
    <row r="82" spans="1:25">
      <c r="A82" s="267"/>
      <c r="B82" s="46" t="str">
        <f>'Tariff Changes'!$A$100</f>
        <v>Item 240, pg 45</v>
      </c>
      <c r="C82" s="61" t="str">
        <f>'Tariff Changes'!A112</f>
        <v>64 Gal Special</v>
      </c>
      <c r="D82" s="142">
        <v>1</v>
      </c>
      <c r="E82" s="73">
        <v>1</v>
      </c>
      <c r="F82" s="143">
        <f t="shared" si="91"/>
        <v>12</v>
      </c>
      <c r="G82" s="144">
        <f>References!B21</f>
        <v>47</v>
      </c>
      <c r="H82" s="72">
        <f t="shared" si="92"/>
        <v>564</v>
      </c>
      <c r="I82" s="50">
        <f t="shared" si="93"/>
        <v>389.03328078318611</v>
      </c>
      <c r="J82" s="71">
        <f>(References!$C$49*I82)</f>
        <v>1.2118386696396219</v>
      </c>
      <c r="K82" s="71">
        <f>J82/References!$G$52</f>
        <v>1.2443152989420083</v>
      </c>
      <c r="L82" s="71">
        <f t="shared" si="94"/>
        <v>0.10369294157850069</v>
      </c>
      <c r="M82" s="145">
        <f>'Tariff Changes'!C112</f>
        <v>7.24</v>
      </c>
      <c r="N82" s="71">
        <f t="shared" si="95"/>
        <v>7.3436929415785013</v>
      </c>
      <c r="O82" s="270">
        <f>'Tariff Changes'!E112</f>
        <v>7.3140903804413302</v>
      </c>
      <c r="P82" s="71"/>
      <c r="Q82" s="71"/>
      <c r="R82" s="71"/>
      <c r="S82" s="71"/>
      <c r="T82" s="71"/>
      <c r="U82" s="71"/>
      <c r="V82" s="71"/>
      <c r="W82" s="71"/>
      <c r="X82" s="63"/>
      <c r="Y82" s="63"/>
    </row>
    <row r="83" spans="1:25">
      <c r="A83" s="267"/>
      <c r="B83" s="46" t="str">
        <f>'Tariff Changes'!$A$100</f>
        <v>Item 240, pg 45</v>
      </c>
      <c r="C83" s="61" t="str">
        <f>'Tariff Changes'!A113</f>
        <v>96 Gal Special</v>
      </c>
      <c r="D83" s="142">
        <v>1</v>
      </c>
      <c r="E83" s="73">
        <v>1</v>
      </c>
      <c r="F83" s="143">
        <f t="shared" si="91"/>
        <v>12</v>
      </c>
      <c r="G83" s="144">
        <f>References!B22</f>
        <v>68</v>
      </c>
      <c r="H83" s="72">
        <f t="shared" si="92"/>
        <v>816</v>
      </c>
      <c r="I83" s="50">
        <f t="shared" si="93"/>
        <v>562.85666155865226</v>
      </c>
      <c r="J83" s="71">
        <f>(References!$C$49*I83)</f>
        <v>1.7532985007551978</v>
      </c>
      <c r="K83" s="71">
        <f>J83/References!$G$52</f>
        <v>1.8002859644267355</v>
      </c>
      <c r="L83" s="71">
        <f t="shared" si="94"/>
        <v>0.15002383036889463</v>
      </c>
      <c r="M83" s="145">
        <f>'Tariff Changes'!C113</f>
        <v>9.74</v>
      </c>
      <c r="N83" s="71">
        <f t="shared" si="95"/>
        <v>9.8900238303688948</v>
      </c>
      <c r="O83" s="270">
        <f>'Tariff Changes'!E113</f>
        <v>9.8140903804413302</v>
      </c>
      <c r="P83" s="71"/>
      <c r="Q83" s="71"/>
      <c r="R83" s="71"/>
      <c r="S83" s="71"/>
      <c r="T83" s="71"/>
      <c r="U83" s="71"/>
      <c r="V83" s="71"/>
      <c r="W83" s="71"/>
      <c r="X83" s="63"/>
      <c r="Y83" s="63"/>
    </row>
    <row r="84" spans="1:25">
      <c r="A84" s="265"/>
      <c r="B84" s="46" t="str">
        <f>'Tariff Changes'!$A$100</f>
        <v>Item 240, pg 45</v>
      </c>
      <c r="C84" s="61" t="str">
        <f>'Tariff Changes'!A114</f>
        <v>1 Yard Pickup Temp</v>
      </c>
      <c r="D84" s="142">
        <v>1</v>
      </c>
      <c r="E84" s="73">
        <v>1</v>
      </c>
      <c r="F84" s="143">
        <f t="shared" si="88"/>
        <v>12</v>
      </c>
      <c r="G84" s="144">
        <f>References!B27</f>
        <v>175</v>
      </c>
      <c r="H84" s="72">
        <f t="shared" si="89"/>
        <v>2100</v>
      </c>
      <c r="I84" s="50">
        <f t="shared" si="84"/>
        <v>1448.5281731288846</v>
      </c>
      <c r="J84" s="71">
        <f>(References!$C$49*I84)</f>
        <v>4.5121652592964656</v>
      </c>
      <c r="K84" s="71">
        <f>J84/References!$G$52</f>
        <v>4.633088879039394</v>
      </c>
      <c r="L84" s="71">
        <f t="shared" si="90"/>
        <v>0.38609073991994952</v>
      </c>
      <c r="M84" s="145">
        <f>'Tariff Changes'!C114</f>
        <v>21.9</v>
      </c>
      <c r="N84" s="71">
        <f t="shared" si="86"/>
        <v>22.286090739919949</v>
      </c>
      <c r="O84" s="270">
        <f>'Tariff Changes'!E114</f>
        <v>22.36892645848943</v>
      </c>
      <c r="P84" s="71"/>
      <c r="Q84" s="71"/>
      <c r="R84" s="71"/>
      <c r="S84" s="71"/>
      <c r="T84" s="71"/>
      <c r="U84" s="71"/>
      <c r="V84" s="71"/>
      <c r="W84" s="71"/>
      <c r="X84" s="63"/>
      <c r="Y84" s="63"/>
    </row>
    <row r="85" spans="1:25">
      <c r="A85" s="267"/>
      <c r="B85" s="46" t="str">
        <f>'Tariff Changes'!$A$100</f>
        <v>Item 240, pg 45</v>
      </c>
      <c r="C85" s="61" t="str">
        <f>'Tariff Changes'!A115</f>
        <v>1.5 Yard Pickup Temp</v>
      </c>
      <c r="D85" s="142">
        <v>1</v>
      </c>
      <c r="E85" s="73">
        <v>1</v>
      </c>
      <c r="F85" s="143">
        <f t="shared" si="88"/>
        <v>12</v>
      </c>
      <c r="G85" s="144">
        <f>References!B28</f>
        <v>250</v>
      </c>
      <c r="H85" s="72">
        <f t="shared" si="89"/>
        <v>3000</v>
      </c>
      <c r="I85" s="50">
        <f t="shared" si="84"/>
        <v>2069.325961612692</v>
      </c>
      <c r="J85" s="71">
        <f>(References!$C$49*I85)</f>
        <v>6.445950370423521</v>
      </c>
      <c r="K85" s="71">
        <f>J85/References!$G$52</f>
        <v>6.6186983986277044</v>
      </c>
      <c r="L85" s="71">
        <f t="shared" si="90"/>
        <v>0.55155819988564203</v>
      </c>
      <c r="M85" s="145">
        <f>'Tariff Changes'!C115</f>
        <v>28.7</v>
      </c>
      <c r="N85" s="71">
        <f t="shared" si="86"/>
        <v>29.25155819988564</v>
      </c>
      <c r="O85" s="270">
        <f>'Tariff Changes'!E115</f>
        <v>29.403389687734144</v>
      </c>
      <c r="P85" s="71"/>
      <c r="Q85" s="71"/>
      <c r="R85" s="71"/>
      <c r="S85" s="71"/>
      <c r="T85" s="71"/>
      <c r="U85" s="71"/>
      <c r="V85" s="71"/>
      <c r="W85" s="71"/>
      <c r="X85" s="63"/>
      <c r="Y85" s="63"/>
    </row>
    <row r="86" spans="1:25">
      <c r="A86" s="267"/>
      <c r="B86" s="46" t="str">
        <f>'Tariff Changes'!$A$100</f>
        <v>Item 240, pg 45</v>
      </c>
      <c r="C86" s="61" t="str">
        <f>'Tariff Changes'!A116</f>
        <v>2 Yard Pickup Temp</v>
      </c>
      <c r="D86" s="142">
        <v>1</v>
      </c>
      <c r="E86" s="73">
        <v>1</v>
      </c>
      <c r="F86" s="143">
        <f t="shared" si="88"/>
        <v>12</v>
      </c>
      <c r="G86" s="144">
        <f>References!B29</f>
        <v>324</v>
      </c>
      <c r="H86" s="72">
        <f t="shared" si="89"/>
        <v>3888</v>
      </c>
      <c r="I86" s="50">
        <f t="shared" si="84"/>
        <v>2681.8464462500492</v>
      </c>
      <c r="J86" s="71">
        <f>(References!$C$49*I86)</f>
        <v>8.3539516800688833</v>
      </c>
      <c r="K86" s="71">
        <f>J86/References!$G$52</f>
        <v>8.5778331246215043</v>
      </c>
      <c r="L86" s="71">
        <f t="shared" si="90"/>
        <v>0.71481942705179202</v>
      </c>
      <c r="M86" s="145">
        <f>'Tariff Changes'!C116</f>
        <v>37.99</v>
      </c>
      <c r="N86" s="71">
        <f t="shared" si="86"/>
        <v>38.704819427051795</v>
      </c>
      <c r="O86" s="270">
        <f>'Tariff Changes'!E116</f>
        <v>38.927852916978864</v>
      </c>
      <c r="P86" s="71"/>
      <c r="Q86" s="71"/>
      <c r="R86" s="71"/>
      <c r="S86" s="71"/>
      <c r="T86" s="71"/>
      <c r="U86" s="71"/>
      <c r="V86" s="71"/>
      <c r="W86" s="71"/>
      <c r="X86" s="63"/>
      <c r="Y86" s="63"/>
    </row>
    <row r="87" spans="1:25">
      <c r="A87" s="267"/>
      <c r="B87" s="46" t="str">
        <f>'Tariff Changes'!$A$100</f>
        <v>Item 240, pg 45</v>
      </c>
      <c r="C87" s="61" t="str">
        <f>'Tariff Changes'!A117</f>
        <v>3 Yard Pickup Temp</v>
      </c>
      <c r="D87" s="142">
        <v>1</v>
      </c>
      <c r="E87" s="292">
        <v>1</v>
      </c>
      <c r="F87" s="143">
        <f t="shared" ref="F87" si="96">D87*E87*12</f>
        <v>12</v>
      </c>
      <c r="G87" s="144">
        <v>473</v>
      </c>
      <c r="H87" s="72">
        <f t="shared" si="89"/>
        <v>5676</v>
      </c>
      <c r="I87" s="50">
        <f t="shared" ref="I87" si="97">$D$114*H87</f>
        <v>3915.1647193712138</v>
      </c>
      <c r="J87" s="71">
        <f>(References!$C$49*I87)</f>
        <v>12.195738100841302</v>
      </c>
      <c r="K87" s="71">
        <f>J87/References!$G$52</f>
        <v>12.522577370203617</v>
      </c>
      <c r="L87" s="71">
        <f t="shared" ref="L87" si="98">K87/F87*E87</f>
        <v>1.0435481141836347</v>
      </c>
      <c r="M87" s="145">
        <f>'Tariff Changes'!C117</f>
        <v>53.02</v>
      </c>
      <c r="N87" s="71">
        <f t="shared" ref="N87" si="99">L87+M87</f>
        <v>54.063548114183639</v>
      </c>
      <c r="O87" s="270">
        <f>'Tariff Changes'!E117</f>
        <v>54.426779375468293</v>
      </c>
      <c r="P87" s="71"/>
      <c r="Q87" s="71"/>
      <c r="R87" s="71"/>
      <c r="S87" s="71"/>
      <c r="T87" s="71"/>
      <c r="U87" s="71"/>
      <c r="V87" s="71"/>
      <c r="W87" s="71"/>
      <c r="X87" s="63"/>
      <c r="Y87" s="63"/>
    </row>
    <row r="88" spans="1:25">
      <c r="A88" s="267"/>
      <c r="B88" s="46" t="str">
        <f>'Tariff Changes'!$A$100</f>
        <v>Item 240, pg 45</v>
      </c>
      <c r="C88" s="84" t="str">
        <f>'Tariff Changes'!A118</f>
        <v>4 Yard Pickup Temp</v>
      </c>
      <c r="D88" s="142">
        <v>1</v>
      </c>
      <c r="E88" s="73">
        <v>1</v>
      </c>
      <c r="F88" s="143">
        <f t="shared" si="88"/>
        <v>12</v>
      </c>
      <c r="G88" s="144">
        <f>References!B31</f>
        <v>613</v>
      </c>
      <c r="H88" s="72">
        <f t="shared" si="89"/>
        <v>7356</v>
      </c>
      <c r="I88" s="50">
        <f t="shared" si="84"/>
        <v>5073.9872578743216</v>
      </c>
      <c r="J88" s="71">
        <f>(References!$C$49*I88)</f>
        <v>15.805470308278474</v>
      </c>
      <c r="K88" s="71">
        <f>J88/References!$G$52</f>
        <v>16.229048473435132</v>
      </c>
      <c r="L88" s="71">
        <f t="shared" si="90"/>
        <v>1.3524207061195943</v>
      </c>
      <c r="M88" s="145">
        <f>'Tariff Changes'!C118</f>
        <v>69.05</v>
      </c>
      <c r="N88" s="71">
        <f t="shared" si="86"/>
        <v>70.402420706119585</v>
      </c>
      <c r="O88" s="270">
        <f>'Tariff Changes'!E118</f>
        <v>70.925705833957721</v>
      </c>
      <c r="P88" s="71"/>
      <c r="Q88" s="71"/>
      <c r="R88" s="71"/>
      <c r="S88" s="71"/>
      <c r="T88" s="71"/>
      <c r="U88" s="71"/>
      <c r="V88" s="71"/>
      <c r="W88" s="71"/>
      <c r="X88" s="63"/>
      <c r="Y88" s="63"/>
    </row>
    <row r="89" spans="1:25">
      <c r="A89" s="265"/>
      <c r="B89" s="46" t="str">
        <f>'Tariff Changes'!$A$100</f>
        <v>Item 240, pg 45</v>
      </c>
      <c r="C89" s="84" t="str">
        <f>'Tariff Changes'!A119</f>
        <v>6 Yard Pickup Temp</v>
      </c>
      <c r="D89" s="142">
        <v>1</v>
      </c>
      <c r="E89" s="73">
        <v>1</v>
      </c>
      <c r="F89" s="143">
        <f t="shared" si="88"/>
        <v>12</v>
      </c>
      <c r="G89" s="144">
        <f>References!B32</f>
        <v>840</v>
      </c>
      <c r="H89" s="72">
        <f t="shared" si="89"/>
        <v>10080</v>
      </c>
      <c r="I89" s="50">
        <f t="shared" si="84"/>
        <v>6952.9352310186459</v>
      </c>
      <c r="J89" s="71">
        <f>(References!$C$49*I89)</f>
        <v>21.658393244623031</v>
      </c>
      <c r="K89" s="71">
        <f>J89/References!$G$52</f>
        <v>22.238826619389087</v>
      </c>
      <c r="L89" s="71">
        <f t="shared" si="90"/>
        <v>1.8532355516157573</v>
      </c>
      <c r="M89" s="145">
        <f>'Tariff Changes'!C119</f>
        <v>100.32</v>
      </c>
      <c r="N89" s="71">
        <f t="shared" si="86"/>
        <v>102.17323555161575</v>
      </c>
      <c r="O89" s="270">
        <f>'Tariff Changes'!E119</f>
        <v>103.13355875093657</v>
      </c>
      <c r="P89" s="71"/>
      <c r="Q89" s="71"/>
      <c r="R89" s="71"/>
      <c r="S89" s="71"/>
      <c r="T89" s="71"/>
      <c r="U89" s="71"/>
      <c r="V89" s="71"/>
      <c r="W89" s="71"/>
      <c r="X89" s="63"/>
      <c r="Y89" s="63"/>
    </row>
    <row r="90" spans="1:25">
      <c r="A90" s="265"/>
      <c r="B90" s="46" t="str">
        <f>'Tariff Changes'!$A$100</f>
        <v>Item 240, pg 45</v>
      </c>
      <c r="C90" s="84" t="str">
        <f>'Tariff Changes'!A120</f>
        <v>8 Yard Pickup Temp</v>
      </c>
      <c r="D90" s="142">
        <v>1</v>
      </c>
      <c r="E90" s="292">
        <v>1</v>
      </c>
      <c r="F90" s="143">
        <f t="shared" si="88"/>
        <v>12</v>
      </c>
      <c r="G90" s="144">
        <v>980</v>
      </c>
      <c r="H90" s="72">
        <f t="shared" ref="H90" si="100">G90*F90</f>
        <v>11760</v>
      </c>
      <c r="I90" s="50">
        <f t="shared" ref="I90" si="101">$D$114*H90</f>
        <v>8111.7577695217533</v>
      </c>
      <c r="J90" s="71">
        <f>(References!$C$49*I90)</f>
        <v>25.268125452060204</v>
      </c>
      <c r="K90" s="71">
        <f>J90/References!$G$52</f>
        <v>25.945297722620602</v>
      </c>
      <c r="L90" s="71">
        <f t="shared" ref="L90" si="102">K90/F90*E90</f>
        <v>2.1621081435517167</v>
      </c>
      <c r="M90" s="145">
        <f>'Tariff Changes'!C120</f>
        <v>135.26</v>
      </c>
      <c r="N90" s="71">
        <f t="shared" ref="N90" si="103">L90+M90</f>
        <v>137.4221081435517</v>
      </c>
      <c r="O90" s="270">
        <f>'Tariff Changes'!E120</f>
        <v>139.01141166791544</v>
      </c>
      <c r="P90" s="71"/>
      <c r="Q90" s="71"/>
      <c r="R90" s="71"/>
      <c r="S90" s="71"/>
      <c r="T90" s="71"/>
      <c r="U90" s="71"/>
      <c r="V90" s="71"/>
      <c r="W90" s="71"/>
      <c r="X90" s="63"/>
      <c r="Y90" s="63"/>
    </row>
    <row r="91" spans="1:25">
      <c r="A91" s="265"/>
      <c r="B91" s="46" t="str">
        <f>'Tariff Changes'!$A$124</f>
        <v>Item 245, pg 46</v>
      </c>
      <c r="C91" s="61" t="str">
        <f>'Tariff Changes'!A126</f>
        <v>64 Gallon First Pickup</v>
      </c>
      <c r="D91" s="142">
        <v>1</v>
      </c>
      <c r="E91" s="73">
        <v>1</v>
      </c>
      <c r="F91" s="143">
        <f t="shared" si="88"/>
        <v>12</v>
      </c>
      <c r="G91" s="144">
        <f>References!B21</f>
        <v>47</v>
      </c>
      <c r="H91" s="72">
        <f t="shared" si="89"/>
        <v>564</v>
      </c>
      <c r="I91" s="50">
        <f t="shared" si="84"/>
        <v>389.03328078318611</v>
      </c>
      <c r="J91" s="71">
        <f>(References!$C$49*I91)</f>
        <v>1.2118386696396219</v>
      </c>
      <c r="K91" s="71">
        <f>J91/References!$G$52</f>
        <v>1.2443152989420083</v>
      </c>
      <c r="L91" s="71">
        <f t="shared" si="90"/>
        <v>0.10369294157850069</v>
      </c>
      <c r="M91" s="145">
        <f>'Tariff Changes'!C126</f>
        <v>6.69</v>
      </c>
      <c r="N91" s="71">
        <f t="shared" si="86"/>
        <v>6.7936929415785015</v>
      </c>
      <c r="O91" s="270">
        <f>'Tariff Changes'!E126</f>
        <v>6.8381807608826604</v>
      </c>
      <c r="P91" s="71"/>
      <c r="Q91" s="71"/>
      <c r="R91" s="71"/>
      <c r="S91" s="71"/>
      <c r="T91" s="71"/>
      <c r="U91" s="71"/>
      <c r="V91" s="71"/>
      <c r="W91" s="71"/>
      <c r="X91" s="63"/>
      <c r="Y91" s="63"/>
    </row>
    <row r="92" spans="1:25">
      <c r="A92" s="265"/>
      <c r="B92" s="46" t="str">
        <f>'Tariff Changes'!$A$124</f>
        <v>Item 245, pg 46</v>
      </c>
      <c r="C92" s="61" t="str">
        <f>'Tariff Changes'!A127</f>
        <v>96 Gallon First Pickup</v>
      </c>
      <c r="D92" s="142">
        <v>1</v>
      </c>
      <c r="E92" s="73">
        <v>1</v>
      </c>
      <c r="F92" s="143">
        <f t="shared" si="88"/>
        <v>12</v>
      </c>
      <c r="G92" s="144">
        <f>References!B22</f>
        <v>68</v>
      </c>
      <c r="H92" s="72">
        <f t="shared" si="89"/>
        <v>816</v>
      </c>
      <c r="I92" s="50">
        <f t="shared" si="84"/>
        <v>562.85666155865226</v>
      </c>
      <c r="J92" s="71">
        <f>(References!$C$49*I92)</f>
        <v>1.7532985007551978</v>
      </c>
      <c r="K92" s="71">
        <f>J92/References!$G$52</f>
        <v>1.8002859644267355</v>
      </c>
      <c r="L92" s="71">
        <f t="shared" si="90"/>
        <v>0.15002383036889463</v>
      </c>
      <c r="M92" s="145">
        <f>'Tariff Changes'!C127</f>
        <v>9.18</v>
      </c>
      <c r="N92" s="71">
        <f t="shared" si="86"/>
        <v>9.3300238303688943</v>
      </c>
      <c r="O92" s="270">
        <f>'Tariff Changes'!E127</f>
        <v>9.4022711413239897</v>
      </c>
      <c r="P92" s="71"/>
      <c r="Q92" s="71"/>
      <c r="R92" s="71"/>
      <c r="S92" s="71"/>
      <c r="T92" s="71"/>
      <c r="U92" s="71"/>
      <c r="V92" s="71"/>
      <c r="W92" s="71"/>
      <c r="X92" s="63"/>
      <c r="Y92" s="63"/>
    </row>
    <row r="93" spans="1:25">
      <c r="A93" s="265"/>
      <c r="B93" s="46" t="str">
        <f>'Tariff Changes'!$A$124</f>
        <v>Item 245, pg 46</v>
      </c>
      <c r="C93" s="61" t="str">
        <f>'Tariff Changes'!A129</f>
        <v>32 Gallon Special</v>
      </c>
      <c r="D93" s="142">
        <v>1</v>
      </c>
      <c r="E93" s="73">
        <v>1</v>
      </c>
      <c r="F93" s="143">
        <f t="shared" si="88"/>
        <v>12</v>
      </c>
      <c r="G93" s="144">
        <f>References!B26</f>
        <v>29</v>
      </c>
      <c r="H93" s="72">
        <f t="shared" si="89"/>
        <v>348</v>
      </c>
      <c r="I93" s="50">
        <f t="shared" si="84"/>
        <v>240.04181154707229</v>
      </c>
      <c r="J93" s="71">
        <f>(References!$C$49*I93)</f>
        <v>0.74773024296912849</v>
      </c>
      <c r="K93" s="71">
        <f>J93/References!$G$52</f>
        <v>0.76776901424081379</v>
      </c>
      <c r="L93" s="71">
        <f t="shared" si="90"/>
        <v>6.3980751186734477E-2</v>
      </c>
      <c r="M93" s="145">
        <f>'Tariff Changes'!C129</f>
        <v>5.09</v>
      </c>
      <c r="N93" s="71">
        <f t="shared" si="86"/>
        <v>5.1539807511867339</v>
      </c>
      <c r="O93" s="270">
        <f>'Tariff Changes'!E129</f>
        <v>5.1640903804413298</v>
      </c>
      <c r="P93" s="71"/>
      <c r="Q93" s="71"/>
      <c r="R93" s="71"/>
      <c r="S93" s="71"/>
      <c r="T93" s="71"/>
      <c r="U93" s="71"/>
      <c r="V93" s="71"/>
      <c r="W93" s="71"/>
      <c r="X93" s="63"/>
      <c r="Y93" s="63"/>
    </row>
    <row r="94" spans="1:25">
      <c r="A94" s="265"/>
      <c r="B94" s="46" t="str">
        <f>'Tariff Changes'!$A$124</f>
        <v>Item 245, pg 46</v>
      </c>
      <c r="C94" s="61" t="str">
        <f>'Tariff Changes'!A130</f>
        <v>64 Gallon Special</v>
      </c>
      <c r="D94" s="142">
        <v>1</v>
      </c>
      <c r="E94" s="73">
        <v>1</v>
      </c>
      <c r="F94" s="143">
        <f t="shared" si="88"/>
        <v>12</v>
      </c>
      <c r="G94" s="144">
        <f>References!B21</f>
        <v>47</v>
      </c>
      <c r="H94" s="72">
        <f t="shared" si="89"/>
        <v>564</v>
      </c>
      <c r="I94" s="50">
        <f t="shared" si="84"/>
        <v>389.03328078318611</v>
      </c>
      <c r="J94" s="71">
        <f>(References!$C$49*I94)</f>
        <v>1.2118386696396219</v>
      </c>
      <c r="K94" s="71">
        <f>J94/References!$G$52</f>
        <v>1.2443152989420083</v>
      </c>
      <c r="L94" s="71">
        <f t="shared" si="90"/>
        <v>0.10369294157850069</v>
      </c>
      <c r="M94" s="145">
        <f>'Tariff Changes'!C130</f>
        <v>7.24</v>
      </c>
      <c r="N94" s="71">
        <f t="shared" si="86"/>
        <v>7.3436929415785013</v>
      </c>
      <c r="O94" s="270">
        <f>'Tariff Changes'!E130</f>
        <v>7.3881807608826602</v>
      </c>
      <c r="P94" s="71"/>
      <c r="Q94" s="71"/>
      <c r="R94" s="71"/>
      <c r="S94" s="71"/>
      <c r="T94" s="71"/>
      <c r="U94" s="71"/>
      <c r="V94" s="71"/>
      <c r="W94" s="71"/>
      <c r="X94" s="63"/>
      <c r="Y94" s="63"/>
    </row>
    <row r="95" spans="1:25">
      <c r="A95" s="267"/>
      <c r="B95" s="46" t="str">
        <f>'Tariff Changes'!$A$124</f>
        <v>Item 245, pg 46</v>
      </c>
      <c r="C95" s="61" t="str">
        <f>'Tariff Changes'!A131</f>
        <v>96 Gallon Special</v>
      </c>
      <c r="D95" s="142">
        <v>1</v>
      </c>
      <c r="E95" s="73">
        <v>1</v>
      </c>
      <c r="F95" s="143">
        <f t="shared" si="88"/>
        <v>12</v>
      </c>
      <c r="G95" s="144">
        <f>References!B22</f>
        <v>68</v>
      </c>
      <c r="H95" s="72">
        <f t="shared" si="89"/>
        <v>816</v>
      </c>
      <c r="I95" s="50">
        <f t="shared" si="84"/>
        <v>562.85666155865226</v>
      </c>
      <c r="J95" s="71">
        <f>(References!$C$49*I95)</f>
        <v>1.7532985007551978</v>
      </c>
      <c r="K95" s="71">
        <f>J95/References!$G$52</f>
        <v>1.8002859644267355</v>
      </c>
      <c r="L95" s="71">
        <f t="shared" si="90"/>
        <v>0.15002383036889463</v>
      </c>
      <c r="M95" s="145">
        <f>'Tariff Changes'!C131</f>
        <v>9.74</v>
      </c>
      <c r="N95" s="71">
        <f t="shared" si="86"/>
        <v>9.8900238303688948</v>
      </c>
      <c r="O95" s="270">
        <f>'Tariff Changes'!E131</f>
        <v>9.9622711413239902</v>
      </c>
      <c r="P95" s="71"/>
      <c r="Q95" s="71"/>
      <c r="R95" s="71"/>
      <c r="S95" s="71"/>
      <c r="T95" s="71"/>
      <c r="U95" s="71"/>
      <c r="V95" s="71"/>
      <c r="W95" s="71"/>
      <c r="X95" s="63"/>
      <c r="Y95" s="63"/>
    </row>
    <row r="96" spans="1:25">
      <c r="A96" s="267"/>
      <c r="B96" s="46" t="str">
        <f>'Tariff Changes'!$A$133</f>
        <v>Item 255, pg 47 Compacted</v>
      </c>
      <c r="C96" s="61" t="str">
        <f>'Tariff Changes'!A134</f>
        <v>3 Yard</v>
      </c>
      <c r="D96" s="142">
        <v>1</v>
      </c>
      <c r="E96" s="73">
        <v>1</v>
      </c>
      <c r="F96" s="143">
        <f t="shared" si="88"/>
        <v>12</v>
      </c>
      <c r="G96" s="144">
        <f>References!B37</f>
        <v>1301</v>
      </c>
      <c r="H96" s="72">
        <f t="shared" si="89"/>
        <v>15612</v>
      </c>
      <c r="I96" s="50">
        <f t="shared" si="84"/>
        <v>10768.772304232451</v>
      </c>
      <c r="J96" s="71">
        <f>(References!$C$49*I96)</f>
        <v>33.544725727684003</v>
      </c>
      <c r="K96" s="71">
        <f>J96/References!$G$52</f>
        <v>34.443706466458572</v>
      </c>
      <c r="L96" s="71">
        <f t="shared" si="90"/>
        <v>2.8703088722048808</v>
      </c>
      <c r="M96" s="145">
        <f>'Tariff Changes'!C134</f>
        <v>220.07</v>
      </c>
      <c r="N96" s="71">
        <f t="shared" si="86"/>
        <v>222.94030887220487</v>
      </c>
      <c r="O96" s="270">
        <f>'Tariff Changes'!E134</f>
        <v>224.99372781413899</v>
      </c>
      <c r="P96" s="71"/>
      <c r="Q96" s="71"/>
      <c r="R96" s="71"/>
      <c r="S96" s="71"/>
      <c r="T96" s="71"/>
      <c r="U96" s="71"/>
      <c r="V96" s="71"/>
      <c r="W96" s="71"/>
      <c r="X96" s="63"/>
      <c r="Y96" s="63"/>
    </row>
    <row r="97" spans="1:25">
      <c r="A97" s="267"/>
      <c r="B97" s="46" t="str">
        <f>'Tariff Changes'!$A$133</f>
        <v>Item 255, pg 47 Compacted</v>
      </c>
      <c r="C97" s="61" t="str">
        <f>'Tariff Changes'!A135</f>
        <v>4 Yard</v>
      </c>
      <c r="D97" s="142">
        <v>1</v>
      </c>
      <c r="E97" s="73">
        <v>1</v>
      </c>
      <c r="F97" s="143">
        <f t="shared" si="88"/>
        <v>12</v>
      </c>
      <c r="G97" s="144">
        <f>References!B38</f>
        <v>1686</v>
      </c>
      <c r="H97" s="72">
        <f t="shared" si="89"/>
        <v>20232</v>
      </c>
      <c r="I97" s="50">
        <f t="shared" si="84"/>
        <v>13955.534285115997</v>
      </c>
      <c r="J97" s="71">
        <f>(References!$C$49*I97)</f>
        <v>43.471489298136227</v>
      </c>
      <c r="K97" s="71">
        <f>J97/References!$G$52</f>
        <v>44.636502000345239</v>
      </c>
      <c r="L97" s="71">
        <f t="shared" si="90"/>
        <v>3.7197085000287697</v>
      </c>
      <c r="M97" s="145">
        <f>'Tariff Changes'!C135</f>
        <v>270.04000000000002</v>
      </c>
      <c r="N97" s="71">
        <f t="shared" si="86"/>
        <v>273.75970850002881</v>
      </c>
      <c r="O97" s="270">
        <f>'Tariff Changes'!E135</f>
        <v>276.60497041885202</v>
      </c>
      <c r="P97" s="71"/>
      <c r="Q97" s="71"/>
      <c r="R97" s="71"/>
      <c r="S97" s="71"/>
      <c r="T97" s="71"/>
      <c r="U97" s="71"/>
      <c r="V97" s="71"/>
      <c r="W97" s="71"/>
      <c r="X97" s="63"/>
      <c r="Y97" s="63"/>
    </row>
    <row r="98" spans="1:25">
      <c r="A98" s="267"/>
      <c r="B98" s="46" t="str">
        <f>'Tariff Changes'!$A$133</f>
        <v>Item 255, pg 47 Compacted</v>
      </c>
      <c r="C98" s="61" t="str">
        <f>'Tariff Changes'!A136</f>
        <v>5 Yard</v>
      </c>
      <c r="D98" s="142">
        <v>1</v>
      </c>
      <c r="E98" s="73">
        <v>1</v>
      </c>
      <c r="F98" s="143">
        <f t="shared" si="88"/>
        <v>12</v>
      </c>
      <c r="G98" s="144">
        <f>References!B39</f>
        <v>2046</v>
      </c>
      <c r="H98" s="72">
        <f t="shared" si="89"/>
        <v>24552</v>
      </c>
      <c r="I98" s="50">
        <f t="shared" si="84"/>
        <v>16935.363669838272</v>
      </c>
      <c r="J98" s="71">
        <f>(References!$C$49*I98)</f>
        <v>52.753657831546093</v>
      </c>
      <c r="K98" s="71">
        <f>J98/References!$G$52</f>
        <v>54.167427694369131</v>
      </c>
      <c r="L98" s="71">
        <f t="shared" si="90"/>
        <v>4.513952307864094</v>
      </c>
      <c r="M98" s="145">
        <f>'Tariff Changes'!C136</f>
        <v>305.36</v>
      </c>
      <c r="N98" s="71">
        <f t="shared" si="86"/>
        <v>309.8739523078641</v>
      </c>
      <c r="O98" s="270">
        <f>'Tariff Changes'!E136</f>
        <v>313.56621302356501</v>
      </c>
      <c r="P98" s="71"/>
      <c r="Q98" s="71"/>
      <c r="R98" s="71"/>
      <c r="S98" s="71"/>
      <c r="T98" s="71"/>
      <c r="U98" s="71"/>
      <c r="V98" s="71"/>
      <c r="W98" s="71"/>
      <c r="X98" s="63"/>
      <c r="Y98" s="63"/>
    </row>
    <row r="99" spans="1:25" s="63" customFormat="1">
      <c r="A99" s="265"/>
      <c r="B99" s="46" t="str">
        <f>'Tariff Changes'!$A$133</f>
        <v>Item 255, pg 47 Compacted</v>
      </c>
      <c r="C99" s="61" t="str">
        <f>'Tariff Changes'!A137</f>
        <v>6 Yard</v>
      </c>
      <c r="D99" s="142">
        <v>1</v>
      </c>
      <c r="E99" s="73">
        <v>1</v>
      </c>
      <c r="F99" s="143">
        <f t="shared" ref="F99:F105" si="104">D99*E99*12</f>
        <v>12</v>
      </c>
      <c r="G99" s="144">
        <f>References!B40</f>
        <v>2310</v>
      </c>
      <c r="H99" s="72">
        <f t="shared" ref="H99:H105" si="105">G99*F99</f>
        <v>27720</v>
      </c>
      <c r="I99" s="50">
        <f t="shared" si="84"/>
        <v>19120.571885301277</v>
      </c>
      <c r="J99" s="71">
        <f>(References!$C$49*I99)</f>
        <v>59.560581422713341</v>
      </c>
      <c r="K99" s="71">
        <f>J99/References!$G$52</f>
        <v>61.156773203319993</v>
      </c>
      <c r="L99" s="71">
        <f t="shared" ref="L99:L105" si="106">K99/F99*E99</f>
        <v>5.0963977669433325</v>
      </c>
      <c r="M99" s="145">
        <f>'Tariff Changes'!C137</f>
        <v>361.32</v>
      </c>
      <c r="N99" s="71">
        <f t="shared" si="86"/>
        <v>366.41639776694331</v>
      </c>
      <c r="O99" s="270">
        <f>'Tariff Changes'!E137</f>
        <v>371.16745562827799</v>
      </c>
      <c r="P99" s="71"/>
      <c r="Q99" s="71"/>
      <c r="R99" s="71"/>
      <c r="S99" s="71"/>
      <c r="T99" s="71"/>
      <c r="U99" s="71"/>
      <c r="V99" s="71"/>
      <c r="W99" s="71"/>
    </row>
    <row r="100" spans="1:25">
      <c r="A100" s="265"/>
      <c r="B100" s="46" t="str">
        <f>'Tariff Changes'!$A$144</f>
        <v>Item 255, pg 48 Compacted</v>
      </c>
      <c r="C100" s="61" t="str">
        <f>'Tariff Changes'!A145</f>
        <v>1 Yard</v>
      </c>
      <c r="D100" s="142">
        <v>1</v>
      </c>
      <c r="E100" s="73">
        <v>1</v>
      </c>
      <c r="F100" s="143">
        <f t="shared" si="104"/>
        <v>12</v>
      </c>
      <c r="G100" s="144">
        <f>References!B34</f>
        <v>482</v>
      </c>
      <c r="H100" s="72">
        <f t="shared" si="105"/>
        <v>5784</v>
      </c>
      <c r="I100" s="50">
        <f t="shared" si="84"/>
        <v>3989.6604539892705</v>
      </c>
      <c r="J100" s="71">
        <f>(References!$C$49*I100)</f>
        <v>12.427792314176548</v>
      </c>
      <c r="K100" s="71">
        <f>J100/References!$G$52</f>
        <v>12.760850512554214</v>
      </c>
      <c r="L100" s="71">
        <f t="shared" si="106"/>
        <v>1.0634042093795177</v>
      </c>
      <c r="M100" s="145">
        <f>'Tariff Changes'!C145</f>
        <v>129.72999999999999</v>
      </c>
      <c r="N100" s="71">
        <f t="shared" si="86"/>
        <v>130.7934042093795</v>
      </c>
      <c r="O100" s="270">
        <f>'Tariff Changes'!E145</f>
        <v>132.07463229244715</v>
      </c>
      <c r="P100" s="71"/>
      <c r="Q100" s="71"/>
      <c r="R100" s="71"/>
      <c r="S100" s="71"/>
      <c r="T100" s="71"/>
      <c r="U100" s="71"/>
      <c r="V100" s="71"/>
      <c r="W100" s="71"/>
      <c r="X100" s="63"/>
      <c r="Y100" s="63"/>
    </row>
    <row r="101" spans="1:25">
      <c r="A101" s="265"/>
      <c r="B101" s="46" t="str">
        <f>'Tariff Changes'!$A$144</f>
        <v>Item 255, pg 48 Compacted</v>
      </c>
      <c r="C101" s="61" t="str">
        <f>'Tariff Changes'!A146</f>
        <v>2 Yard</v>
      </c>
      <c r="D101" s="142">
        <v>1</v>
      </c>
      <c r="E101" s="73">
        <v>1</v>
      </c>
      <c r="F101" s="143">
        <f t="shared" si="104"/>
        <v>12</v>
      </c>
      <c r="G101" s="144">
        <f>References!B36</f>
        <v>892</v>
      </c>
      <c r="H101" s="72">
        <f t="shared" si="105"/>
        <v>10704</v>
      </c>
      <c r="I101" s="50">
        <f t="shared" si="84"/>
        <v>7383.3550310340861</v>
      </c>
      <c r="J101" s="71">
        <f>(References!$C$49*I101)</f>
        <v>22.999150921671124</v>
      </c>
      <c r="K101" s="71">
        <f>J101/References!$G$52</f>
        <v>23.615515886303648</v>
      </c>
      <c r="L101" s="71">
        <f t="shared" si="106"/>
        <v>1.9679596571919706</v>
      </c>
      <c r="M101" s="145">
        <f>'Tariff Changes'!C146</f>
        <v>202.78</v>
      </c>
      <c r="N101" s="71">
        <f t="shared" si="86"/>
        <v>204.74795965719198</v>
      </c>
      <c r="O101" s="270">
        <f>'Tariff Changes'!E146</f>
        <v>207.46926458489429</v>
      </c>
      <c r="P101" s="71"/>
      <c r="Q101" s="71"/>
      <c r="R101" s="71"/>
      <c r="S101" s="71"/>
      <c r="T101" s="71"/>
      <c r="U101" s="71"/>
      <c r="V101" s="71"/>
      <c r="W101" s="71"/>
      <c r="X101" s="63"/>
      <c r="Y101" s="63"/>
    </row>
    <row r="102" spans="1:25">
      <c r="A102" s="265"/>
      <c r="B102" s="46" t="str">
        <f>'Tariff Changes'!$A$144</f>
        <v>Item 255, pg 48 Compacted</v>
      </c>
      <c r="C102" s="61" t="str">
        <f>'Tariff Changes'!A147</f>
        <v>3 Yard</v>
      </c>
      <c r="D102" s="142">
        <v>1</v>
      </c>
      <c r="E102" s="73">
        <v>1</v>
      </c>
      <c r="F102" s="143">
        <f t="shared" si="104"/>
        <v>12</v>
      </c>
      <c r="G102" s="144">
        <f>References!B37</f>
        <v>1301</v>
      </c>
      <c r="H102" s="72">
        <f t="shared" si="105"/>
        <v>15612</v>
      </c>
      <c r="I102" s="50">
        <f t="shared" si="84"/>
        <v>10768.772304232451</v>
      </c>
      <c r="J102" s="71">
        <f>(References!$C$49*I102)</f>
        <v>33.544725727684003</v>
      </c>
      <c r="K102" s="71">
        <f>J102/References!$G$52</f>
        <v>34.443706466458572</v>
      </c>
      <c r="L102" s="71">
        <f t="shared" si="106"/>
        <v>2.8703088722048808</v>
      </c>
      <c r="M102" s="145">
        <f>'Tariff Changes'!C147</f>
        <v>258.32</v>
      </c>
      <c r="N102" s="71">
        <f t="shared" si="86"/>
        <v>261.19030887220487</v>
      </c>
      <c r="O102" s="270">
        <f>'Tariff Changes'!E147</f>
        <v>265.35389687734141</v>
      </c>
      <c r="P102" s="71"/>
      <c r="Q102" s="71"/>
      <c r="R102" s="71"/>
      <c r="S102" s="71"/>
      <c r="T102" s="71"/>
      <c r="U102" s="71"/>
      <c r="V102" s="71"/>
      <c r="W102" s="71"/>
      <c r="X102" s="63"/>
      <c r="Y102" s="63"/>
    </row>
    <row r="103" spans="1:25">
      <c r="A103" s="265"/>
      <c r="B103" s="46" t="str">
        <f>'Tariff Changes'!$A$144</f>
        <v>Item 255, pg 48 Compacted</v>
      </c>
      <c r="C103" s="61" t="str">
        <f>'Tariff Changes'!A148</f>
        <v>4 Yard</v>
      </c>
      <c r="D103" s="142">
        <v>1</v>
      </c>
      <c r="E103" s="73">
        <v>1</v>
      </c>
      <c r="F103" s="143">
        <f t="shared" si="104"/>
        <v>12</v>
      </c>
      <c r="G103" s="144">
        <f>References!B38</f>
        <v>1686</v>
      </c>
      <c r="H103" s="72">
        <f t="shared" si="105"/>
        <v>20232</v>
      </c>
      <c r="I103" s="50">
        <f t="shared" si="84"/>
        <v>13955.534285115997</v>
      </c>
      <c r="J103" s="71">
        <f>(References!$C$49*I103)</f>
        <v>43.471489298136227</v>
      </c>
      <c r="K103" s="71">
        <f>J103/References!$G$52</f>
        <v>44.636502000345239</v>
      </c>
      <c r="L103" s="71">
        <f t="shared" si="106"/>
        <v>3.7197085000287697</v>
      </c>
      <c r="M103" s="145">
        <f>'Tariff Changes'!C148</f>
        <v>323.20999999999998</v>
      </c>
      <c r="N103" s="71">
        <f t="shared" si="86"/>
        <v>326.92970850002877</v>
      </c>
      <c r="O103" s="270">
        <f>'Tariff Changes'!E148</f>
        <v>332.58852916978856</v>
      </c>
      <c r="P103" s="71"/>
      <c r="Q103" s="71"/>
      <c r="R103" s="71"/>
      <c r="S103" s="71"/>
      <c r="T103" s="71"/>
      <c r="U103" s="71"/>
      <c r="V103" s="71"/>
      <c r="W103" s="71"/>
      <c r="X103" s="63"/>
      <c r="Y103" s="63"/>
    </row>
    <row r="104" spans="1:25">
      <c r="A104" s="265"/>
      <c r="B104" s="46" t="str">
        <f>'Tariff Changes'!$A$144</f>
        <v>Item 255, pg 48 Compacted</v>
      </c>
      <c r="C104" s="61" t="str">
        <f>'Tariff Changes'!A149</f>
        <v>5 Yard</v>
      </c>
      <c r="D104" s="142">
        <v>1</v>
      </c>
      <c r="E104" s="73">
        <v>1</v>
      </c>
      <c r="F104" s="143">
        <f t="shared" si="104"/>
        <v>12</v>
      </c>
      <c r="G104" s="144">
        <f>References!B39</f>
        <v>2046</v>
      </c>
      <c r="H104" s="72">
        <f t="shared" si="105"/>
        <v>24552</v>
      </c>
      <c r="I104" s="50">
        <f t="shared" si="84"/>
        <v>16935.363669838272</v>
      </c>
      <c r="J104" s="71">
        <f>(References!$C$49*I104)</f>
        <v>52.753657831546093</v>
      </c>
      <c r="K104" s="71">
        <f>J104/References!$G$52</f>
        <v>54.167427694369131</v>
      </c>
      <c r="L104" s="71">
        <f t="shared" si="106"/>
        <v>4.513952307864094</v>
      </c>
      <c r="M104" s="145">
        <f>'Tariff Changes'!C149</f>
        <v>364.42</v>
      </c>
      <c r="N104" s="71">
        <f t="shared" si="86"/>
        <v>368.9339523078641</v>
      </c>
      <c r="O104" s="270">
        <f>'Tariff Changes'!E149</f>
        <v>376.14316146223575</v>
      </c>
      <c r="P104" s="71"/>
      <c r="Q104" s="71"/>
      <c r="R104" s="71"/>
      <c r="S104" s="71"/>
      <c r="T104" s="71"/>
      <c r="U104" s="71"/>
      <c r="V104" s="71"/>
      <c r="W104" s="71"/>
      <c r="X104" s="63"/>
      <c r="Y104" s="63"/>
    </row>
    <row r="105" spans="1:25">
      <c r="A105" s="271"/>
      <c r="B105" s="272" t="str">
        <f>'Tariff Changes'!$A$144</f>
        <v>Item 255, pg 48 Compacted</v>
      </c>
      <c r="C105" s="273" t="str">
        <f>'Tariff Changes'!A150</f>
        <v>6 Yard</v>
      </c>
      <c r="D105" s="274">
        <v>1</v>
      </c>
      <c r="E105" s="275">
        <v>1</v>
      </c>
      <c r="F105" s="276">
        <f t="shared" si="104"/>
        <v>12</v>
      </c>
      <c r="G105" s="277">
        <f>References!B40</f>
        <v>2310</v>
      </c>
      <c r="H105" s="278">
        <f t="shared" si="105"/>
        <v>27720</v>
      </c>
      <c r="I105" s="279">
        <f t="shared" si="84"/>
        <v>19120.571885301277</v>
      </c>
      <c r="J105" s="280">
        <f>(References!$C$49*I105)</f>
        <v>59.560581422713341</v>
      </c>
      <c r="K105" s="71">
        <f>J105/References!$G$52</f>
        <v>61.156773203319993</v>
      </c>
      <c r="L105" s="280">
        <f t="shared" si="106"/>
        <v>5.0963977669433325</v>
      </c>
      <c r="M105" s="281">
        <f>'Tariff Changes'!C150</f>
        <v>416.75</v>
      </c>
      <c r="N105" s="280">
        <f t="shared" si="86"/>
        <v>421.84639776694331</v>
      </c>
      <c r="O105" s="282">
        <f>'Tariff Changes'!E150</f>
        <v>426.597455628278</v>
      </c>
      <c r="P105" s="71"/>
      <c r="Q105" s="71"/>
      <c r="R105" s="71"/>
      <c r="S105" s="71"/>
      <c r="T105" s="71"/>
      <c r="U105" s="71"/>
      <c r="V105" s="71"/>
      <c r="W105" s="71"/>
      <c r="X105" s="63"/>
      <c r="Y105" s="63"/>
    </row>
    <row r="106" spans="1:25">
      <c r="A106" s="66"/>
      <c r="C106" s="84"/>
      <c r="D106" s="42"/>
      <c r="E106" s="34"/>
      <c r="F106" s="60"/>
      <c r="G106" s="126"/>
      <c r="H106" s="60"/>
      <c r="J106" s="71"/>
      <c r="K106" s="88"/>
      <c r="L106" s="88"/>
      <c r="M106" s="145"/>
      <c r="N106" s="88"/>
      <c r="O106" s="71"/>
      <c r="P106" s="63"/>
      <c r="Q106" s="63"/>
      <c r="R106" s="63"/>
      <c r="S106" s="99"/>
      <c r="T106" s="63"/>
      <c r="U106" s="63"/>
      <c r="V106" s="63"/>
      <c r="W106" s="139">
        <f>References!B55</f>
        <v>37748.464934798176</v>
      </c>
    </row>
    <row r="107" spans="1:25">
      <c r="A107" s="66"/>
      <c r="C107" s="69"/>
      <c r="S107" s="64"/>
      <c r="W107" s="47">
        <f>W106-W45</f>
        <v>5.8207660913467407E-11</v>
      </c>
    </row>
    <row r="108" spans="1:25">
      <c r="A108" s="66"/>
      <c r="C108" s="69"/>
      <c r="S108" s="64"/>
    </row>
    <row r="109" spans="1:25">
      <c r="A109" s="66"/>
      <c r="C109" s="354" t="s">
        <v>96</v>
      </c>
      <c r="D109" s="354"/>
      <c r="E109" s="83"/>
      <c r="F109" s="83"/>
      <c r="H109" s="87" t="s">
        <v>101</v>
      </c>
    </row>
    <row r="110" spans="1:25">
      <c r="A110" s="66"/>
      <c r="D110" s="58" t="s">
        <v>17</v>
      </c>
      <c r="E110" s="41"/>
      <c r="F110" s="41"/>
      <c r="H110" s="85" t="s">
        <v>102</v>
      </c>
      <c r="J110" s="45"/>
      <c r="P110" s="62"/>
      <c r="Q110" s="45"/>
    </row>
    <row r="111" spans="1:25">
      <c r="A111" s="66"/>
      <c r="C111" s="61" t="s">
        <v>33</v>
      </c>
      <c r="D111" s="70">
        <v>5901</v>
      </c>
      <c r="E111" s="60"/>
      <c r="F111" s="60"/>
      <c r="G111" s="127"/>
      <c r="H111" s="86" t="s">
        <v>103</v>
      </c>
      <c r="J111" s="45"/>
      <c r="P111" s="62"/>
      <c r="Q111" s="88"/>
    </row>
    <row r="112" spans="1:25">
      <c r="A112" s="66"/>
      <c r="C112" s="61" t="s">
        <v>34</v>
      </c>
      <c r="D112" s="39">
        <f>D111*2000</f>
        <v>11802000</v>
      </c>
      <c r="E112" s="39"/>
      <c r="F112" s="39"/>
      <c r="H112" s="101" t="s">
        <v>105</v>
      </c>
      <c r="J112" s="45"/>
      <c r="Q112" s="88"/>
    </row>
    <row r="113" spans="1:17">
      <c r="A113" s="66"/>
      <c r="C113" s="61" t="s">
        <v>5</v>
      </c>
      <c r="D113" s="39">
        <f>F45</f>
        <v>349716.20973333326</v>
      </c>
      <c r="E113" s="60"/>
      <c r="F113" s="60"/>
      <c r="H113" s="102" t="s">
        <v>106</v>
      </c>
      <c r="J113" s="45"/>
      <c r="P113" s="62"/>
      <c r="Q113" s="88"/>
    </row>
    <row r="114" spans="1:17">
      <c r="C114" s="46" t="s">
        <v>12</v>
      </c>
      <c r="D114" s="38">
        <f>D112/$H$45</f>
        <v>0.68977532053756407</v>
      </c>
      <c r="E114" s="38"/>
      <c r="F114" s="38"/>
      <c r="H114" s="33"/>
      <c r="J114" s="45"/>
      <c r="M114" s="44"/>
      <c r="N114" s="44"/>
      <c r="O114" s="44"/>
      <c r="P114" s="43"/>
      <c r="Q114" s="43"/>
    </row>
    <row r="115" spans="1:17">
      <c r="G115" s="127"/>
      <c r="H115" s="35"/>
      <c r="J115" s="45"/>
      <c r="M115" s="47"/>
      <c r="N115" s="32"/>
      <c r="O115" s="32"/>
      <c r="P115" s="64"/>
      <c r="Q115" s="33"/>
    </row>
    <row r="116" spans="1:17">
      <c r="D116" s="37"/>
      <c r="E116" s="36"/>
      <c r="G116" s="127"/>
      <c r="H116" s="35"/>
      <c r="J116" s="45"/>
      <c r="M116" s="47"/>
      <c r="N116" s="32"/>
      <c r="O116" s="32"/>
      <c r="P116" s="64"/>
      <c r="Q116" s="33"/>
    </row>
    <row r="117" spans="1:17">
      <c r="D117" s="37"/>
      <c r="E117" s="36"/>
      <c r="G117" s="127"/>
      <c r="H117" s="35"/>
      <c r="J117" s="45"/>
      <c r="M117" s="47"/>
      <c r="N117" s="32"/>
      <c r="O117" s="32"/>
      <c r="P117" s="64"/>
      <c r="Q117" s="33"/>
    </row>
    <row r="118" spans="1:17">
      <c r="D118" s="61"/>
      <c r="I118" s="61"/>
    </row>
    <row r="119" spans="1:17">
      <c r="D119" s="61"/>
      <c r="E119" s="45"/>
      <c r="I119" s="61"/>
    </row>
    <row r="120" spans="1:17">
      <c r="D120" s="61"/>
      <c r="I120" s="61"/>
    </row>
    <row r="121" spans="1:17">
      <c r="D121" s="61"/>
      <c r="I121" s="61"/>
    </row>
    <row r="122" spans="1:17">
      <c r="D122" s="61"/>
    </row>
  </sheetData>
  <mergeCells count="4">
    <mergeCell ref="A2:A19"/>
    <mergeCell ref="C109:D109"/>
    <mergeCell ref="A36:A42"/>
    <mergeCell ref="A22:A33"/>
  </mergeCells>
  <pageMargins left="0.2" right="0.22" top="0.63" bottom="0.34" header="0.19" footer="0.17"/>
  <pageSetup paperSize="5" scale="34" fitToHeight="0" orientation="landscape" r:id="rId1"/>
  <headerFooter>
    <oddHeader>&amp;C&amp;12
Disposal Fee Staff Calculations</oddHeader>
    <oddFooter>&amp;L&amp;F - &amp;A&amp;C&amp;D&amp;R&amp;P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2"/>
  <sheetViews>
    <sheetView topLeftCell="A93" zoomScaleNormal="100" workbookViewId="0">
      <selection activeCell="D158" sqref="D158"/>
    </sheetView>
  </sheetViews>
  <sheetFormatPr defaultRowHeight="15"/>
  <cols>
    <col min="1" max="1" width="27.7109375" bestFit="1" customWidth="1"/>
    <col min="2" max="2" width="16.28515625" bestFit="1" customWidth="1"/>
    <col min="3" max="3" width="8.85546875" style="107" bestFit="1" customWidth="1"/>
    <col min="4" max="4" width="19.28515625" style="107" bestFit="1" customWidth="1"/>
    <col min="5" max="5" width="10.7109375" style="107" bestFit="1" customWidth="1"/>
    <col min="6" max="6" width="8.85546875" style="107" bestFit="1" customWidth="1"/>
    <col min="245" max="245" width="68.5703125" bestFit="1" customWidth="1"/>
    <col min="246" max="246" width="12.5703125" bestFit="1" customWidth="1"/>
    <col min="247" max="247" width="8.85546875" bestFit="1" customWidth="1"/>
    <col min="248" max="248" width="19.28515625" bestFit="1" customWidth="1"/>
    <col min="249" max="249" width="10.7109375" bestFit="1" customWidth="1"/>
    <col min="250" max="250" width="18.85546875" customWidth="1"/>
    <col min="251" max="251" width="11.140625" bestFit="1" customWidth="1"/>
    <col min="252" max="252" width="26.85546875" customWidth="1"/>
    <col min="501" max="501" width="68.5703125" bestFit="1" customWidth="1"/>
    <col min="502" max="502" width="12.5703125" bestFit="1" customWidth="1"/>
    <col min="503" max="503" width="8.85546875" bestFit="1" customWidth="1"/>
    <col min="504" max="504" width="19.28515625" bestFit="1" customWidth="1"/>
    <col min="505" max="505" width="10.7109375" bestFit="1" customWidth="1"/>
    <col min="506" max="506" width="18.85546875" customWidth="1"/>
    <col min="507" max="507" width="11.140625" bestFit="1" customWidth="1"/>
    <col min="508" max="508" width="26.85546875" customWidth="1"/>
    <col min="757" max="757" width="68.5703125" bestFit="1" customWidth="1"/>
    <col min="758" max="758" width="12.5703125" bestFit="1" customWidth="1"/>
    <col min="759" max="759" width="8.85546875" bestFit="1" customWidth="1"/>
    <col min="760" max="760" width="19.28515625" bestFit="1" customWidth="1"/>
    <col min="761" max="761" width="10.7109375" bestFit="1" customWidth="1"/>
    <col min="762" max="762" width="18.85546875" customWidth="1"/>
    <col min="763" max="763" width="11.140625" bestFit="1" customWidth="1"/>
    <col min="764" max="764" width="26.85546875" customWidth="1"/>
    <col min="1013" max="1013" width="68.5703125" bestFit="1" customWidth="1"/>
    <col min="1014" max="1014" width="12.5703125" bestFit="1" customWidth="1"/>
    <col min="1015" max="1015" width="8.85546875" bestFit="1" customWidth="1"/>
    <col min="1016" max="1016" width="19.28515625" bestFit="1" customWidth="1"/>
    <col min="1017" max="1017" width="10.7109375" bestFit="1" customWidth="1"/>
    <col min="1018" max="1018" width="18.85546875" customWidth="1"/>
    <col min="1019" max="1019" width="11.140625" bestFit="1" customWidth="1"/>
    <col min="1020" max="1020" width="26.85546875" customWidth="1"/>
    <col min="1269" max="1269" width="68.5703125" bestFit="1" customWidth="1"/>
    <col min="1270" max="1270" width="12.5703125" bestFit="1" customWidth="1"/>
    <col min="1271" max="1271" width="8.85546875" bestFit="1" customWidth="1"/>
    <col min="1272" max="1272" width="19.28515625" bestFit="1" customWidth="1"/>
    <col min="1273" max="1273" width="10.7109375" bestFit="1" customWidth="1"/>
    <col min="1274" max="1274" width="18.85546875" customWidth="1"/>
    <col min="1275" max="1275" width="11.140625" bestFit="1" customWidth="1"/>
    <col min="1276" max="1276" width="26.85546875" customWidth="1"/>
    <col min="1525" max="1525" width="68.5703125" bestFit="1" customWidth="1"/>
    <col min="1526" max="1526" width="12.5703125" bestFit="1" customWidth="1"/>
    <col min="1527" max="1527" width="8.85546875" bestFit="1" customWidth="1"/>
    <col min="1528" max="1528" width="19.28515625" bestFit="1" customWidth="1"/>
    <col min="1529" max="1529" width="10.7109375" bestFit="1" customWidth="1"/>
    <col min="1530" max="1530" width="18.85546875" customWidth="1"/>
    <col min="1531" max="1531" width="11.140625" bestFit="1" customWidth="1"/>
    <col min="1532" max="1532" width="26.85546875" customWidth="1"/>
    <col min="1781" max="1781" width="68.5703125" bestFit="1" customWidth="1"/>
    <col min="1782" max="1782" width="12.5703125" bestFit="1" customWidth="1"/>
    <col min="1783" max="1783" width="8.85546875" bestFit="1" customWidth="1"/>
    <col min="1784" max="1784" width="19.28515625" bestFit="1" customWidth="1"/>
    <col min="1785" max="1785" width="10.7109375" bestFit="1" customWidth="1"/>
    <col min="1786" max="1786" width="18.85546875" customWidth="1"/>
    <col min="1787" max="1787" width="11.140625" bestFit="1" customWidth="1"/>
    <col min="1788" max="1788" width="26.85546875" customWidth="1"/>
    <col min="2037" max="2037" width="68.5703125" bestFit="1" customWidth="1"/>
    <col min="2038" max="2038" width="12.5703125" bestFit="1" customWidth="1"/>
    <col min="2039" max="2039" width="8.85546875" bestFit="1" customWidth="1"/>
    <col min="2040" max="2040" width="19.28515625" bestFit="1" customWidth="1"/>
    <col min="2041" max="2041" width="10.7109375" bestFit="1" customWidth="1"/>
    <col min="2042" max="2042" width="18.85546875" customWidth="1"/>
    <col min="2043" max="2043" width="11.140625" bestFit="1" customWidth="1"/>
    <col min="2044" max="2044" width="26.85546875" customWidth="1"/>
    <col min="2293" max="2293" width="68.5703125" bestFit="1" customWidth="1"/>
    <col min="2294" max="2294" width="12.5703125" bestFit="1" customWidth="1"/>
    <col min="2295" max="2295" width="8.85546875" bestFit="1" customWidth="1"/>
    <col min="2296" max="2296" width="19.28515625" bestFit="1" customWidth="1"/>
    <col min="2297" max="2297" width="10.7109375" bestFit="1" customWidth="1"/>
    <col min="2298" max="2298" width="18.85546875" customWidth="1"/>
    <col min="2299" max="2299" width="11.140625" bestFit="1" customWidth="1"/>
    <col min="2300" max="2300" width="26.85546875" customWidth="1"/>
    <col min="2549" max="2549" width="68.5703125" bestFit="1" customWidth="1"/>
    <col min="2550" max="2550" width="12.5703125" bestFit="1" customWidth="1"/>
    <col min="2551" max="2551" width="8.85546875" bestFit="1" customWidth="1"/>
    <col min="2552" max="2552" width="19.28515625" bestFit="1" customWidth="1"/>
    <col min="2553" max="2553" width="10.7109375" bestFit="1" customWidth="1"/>
    <col min="2554" max="2554" width="18.85546875" customWidth="1"/>
    <col min="2555" max="2555" width="11.140625" bestFit="1" customWidth="1"/>
    <col min="2556" max="2556" width="26.85546875" customWidth="1"/>
    <col min="2805" max="2805" width="68.5703125" bestFit="1" customWidth="1"/>
    <col min="2806" max="2806" width="12.5703125" bestFit="1" customWidth="1"/>
    <col min="2807" max="2807" width="8.85546875" bestFit="1" customWidth="1"/>
    <col min="2808" max="2808" width="19.28515625" bestFit="1" customWidth="1"/>
    <col min="2809" max="2809" width="10.7109375" bestFit="1" customWidth="1"/>
    <col min="2810" max="2810" width="18.85546875" customWidth="1"/>
    <col min="2811" max="2811" width="11.140625" bestFit="1" customWidth="1"/>
    <col min="2812" max="2812" width="26.85546875" customWidth="1"/>
    <col min="3061" max="3061" width="68.5703125" bestFit="1" customWidth="1"/>
    <col min="3062" max="3062" width="12.5703125" bestFit="1" customWidth="1"/>
    <col min="3063" max="3063" width="8.85546875" bestFit="1" customWidth="1"/>
    <col min="3064" max="3064" width="19.28515625" bestFit="1" customWidth="1"/>
    <col min="3065" max="3065" width="10.7109375" bestFit="1" customWidth="1"/>
    <col min="3066" max="3066" width="18.85546875" customWidth="1"/>
    <col min="3067" max="3067" width="11.140625" bestFit="1" customWidth="1"/>
    <col min="3068" max="3068" width="26.85546875" customWidth="1"/>
    <col min="3317" max="3317" width="68.5703125" bestFit="1" customWidth="1"/>
    <col min="3318" max="3318" width="12.5703125" bestFit="1" customWidth="1"/>
    <col min="3319" max="3319" width="8.85546875" bestFit="1" customWidth="1"/>
    <col min="3320" max="3320" width="19.28515625" bestFit="1" customWidth="1"/>
    <col min="3321" max="3321" width="10.7109375" bestFit="1" customWidth="1"/>
    <col min="3322" max="3322" width="18.85546875" customWidth="1"/>
    <col min="3323" max="3323" width="11.140625" bestFit="1" customWidth="1"/>
    <col min="3324" max="3324" width="26.85546875" customWidth="1"/>
    <col min="3573" max="3573" width="68.5703125" bestFit="1" customWidth="1"/>
    <col min="3574" max="3574" width="12.5703125" bestFit="1" customWidth="1"/>
    <col min="3575" max="3575" width="8.85546875" bestFit="1" customWidth="1"/>
    <col min="3576" max="3576" width="19.28515625" bestFit="1" customWidth="1"/>
    <col min="3577" max="3577" width="10.7109375" bestFit="1" customWidth="1"/>
    <col min="3578" max="3578" width="18.85546875" customWidth="1"/>
    <col min="3579" max="3579" width="11.140625" bestFit="1" customWidth="1"/>
    <col min="3580" max="3580" width="26.85546875" customWidth="1"/>
    <col min="3829" max="3829" width="68.5703125" bestFit="1" customWidth="1"/>
    <col min="3830" max="3830" width="12.5703125" bestFit="1" customWidth="1"/>
    <col min="3831" max="3831" width="8.85546875" bestFit="1" customWidth="1"/>
    <col min="3832" max="3832" width="19.28515625" bestFit="1" customWidth="1"/>
    <col min="3833" max="3833" width="10.7109375" bestFit="1" customWidth="1"/>
    <col min="3834" max="3834" width="18.85546875" customWidth="1"/>
    <col min="3835" max="3835" width="11.140625" bestFit="1" customWidth="1"/>
    <col min="3836" max="3836" width="26.85546875" customWidth="1"/>
    <col min="4085" max="4085" width="68.5703125" bestFit="1" customWidth="1"/>
    <col min="4086" max="4086" width="12.5703125" bestFit="1" customWidth="1"/>
    <col min="4087" max="4087" width="8.85546875" bestFit="1" customWidth="1"/>
    <col min="4088" max="4088" width="19.28515625" bestFit="1" customWidth="1"/>
    <col min="4089" max="4089" width="10.7109375" bestFit="1" customWidth="1"/>
    <col min="4090" max="4090" width="18.85546875" customWidth="1"/>
    <col min="4091" max="4091" width="11.140625" bestFit="1" customWidth="1"/>
    <col min="4092" max="4092" width="26.85546875" customWidth="1"/>
    <col min="4341" max="4341" width="68.5703125" bestFit="1" customWidth="1"/>
    <col min="4342" max="4342" width="12.5703125" bestFit="1" customWidth="1"/>
    <col min="4343" max="4343" width="8.85546875" bestFit="1" customWidth="1"/>
    <col min="4344" max="4344" width="19.28515625" bestFit="1" customWidth="1"/>
    <col min="4345" max="4345" width="10.7109375" bestFit="1" customWidth="1"/>
    <col min="4346" max="4346" width="18.85546875" customWidth="1"/>
    <col min="4347" max="4347" width="11.140625" bestFit="1" customWidth="1"/>
    <col min="4348" max="4348" width="26.85546875" customWidth="1"/>
    <col min="4597" max="4597" width="68.5703125" bestFit="1" customWidth="1"/>
    <col min="4598" max="4598" width="12.5703125" bestFit="1" customWidth="1"/>
    <col min="4599" max="4599" width="8.85546875" bestFit="1" customWidth="1"/>
    <col min="4600" max="4600" width="19.28515625" bestFit="1" customWidth="1"/>
    <col min="4601" max="4601" width="10.7109375" bestFit="1" customWidth="1"/>
    <col min="4602" max="4602" width="18.85546875" customWidth="1"/>
    <col min="4603" max="4603" width="11.140625" bestFit="1" customWidth="1"/>
    <col min="4604" max="4604" width="26.85546875" customWidth="1"/>
    <col min="4853" max="4853" width="68.5703125" bestFit="1" customWidth="1"/>
    <col min="4854" max="4854" width="12.5703125" bestFit="1" customWidth="1"/>
    <col min="4855" max="4855" width="8.85546875" bestFit="1" customWidth="1"/>
    <col min="4856" max="4856" width="19.28515625" bestFit="1" customWidth="1"/>
    <col min="4857" max="4857" width="10.7109375" bestFit="1" customWidth="1"/>
    <col min="4858" max="4858" width="18.85546875" customWidth="1"/>
    <col min="4859" max="4859" width="11.140625" bestFit="1" customWidth="1"/>
    <col min="4860" max="4860" width="26.85546875" customWidth="1"/>
    <col min="5109" max="5109" width="68.5703125" bestFit="1" customWidth="1"/>
    <col min="5110" max="5110" width="12.5703125" bestFit="1" customWidth="1"/>
    <col min="5111" max="5111" width="8.85546875" bestFit="1" customWidth="1"/>
    <col min="5112" max="5112" width="19.28515625" bestFit="1" customWidth="1"/>
    <col min="5113" max="5113" width="10.7109375" bestFit="1" customWidth="1"/>
    <col min="5114" max="5114" width="18.85546875" customWidth="1"/>
    <col min="5115" max="5115" width="11.140625" bestFit="1" customWidth="1"/>
    <col min="5116" max="5116" width="26.85546875" customWidth="1"/>
    <col min="5365" max="5365" width="68.5703125" bestFit="1" customWidth="1"/>
    <col min="5366" max="5366" width="12.5703125" bestFit="1" customWidth="1"/>
    <col min="5367" max="5367" width="8.85546875" bestFit="1" customWidth="1"/>
    <col min="5368" max="5368" width="19.28515625" bestFit="1" customWidth="1"/>
    <col min="5369" max="5369" width="10.7109375" bestFit="1" customWidth="1"/>
    <col min="5370" max="5370" width="18.85546875" customWidth="1"/>
    <col min="5371" max="5371" width="11.140625" bestFit="1" customWidth="1"/>
    <col min="5372" max="5372" width="26.85546875" customWidth="1"/>
    <col min="5621" max="5621" width="68.5703125" bestFit="1" customWidth="1"/>
    <col min="5622" max="5622" width="12.5703125" bestFit="1" customWidth="1"/>
    <col min="5623" max="5623" width="8.85546875" bestFit="1" customWidth="1"/>
    <col min="5624" max="5624" width="19.28515625" bestFit="1" customWidth="1"/>
    <col min="5625" max="5625" width="10.7109375" bestFit="1" customWidth="1"/>
    <col min="5626" max="5626" width="18.85546875" customWidth="1"/>
    <col min="5627" max="5627" width="11.140625" bestFit="1" customWidth="1"/>
    <col min="5628" max="5628" width="26.85546875" customWidth="1"/>
    <col min="5877" max="5877" width="68.5703125" bestFit="1" customWidth="1"/>
    <col min="5878" max="5878" width="12.5703125" bestFit="1" customWidth="1"/>
    <col min="5879" max="5879" width="8.85546875" bestFit="1" customWidth="1"/>
    <col min="5880" max="5880" width="19.28515625" bestFit="1" customWidth="1"/>
    <col min="5881" max="5881" width="10.7109375" bestFit="1" customWidth="1"/>
    <col min="5882" max="5882" width="18.85546875" customWidth="1"/>
    <col min="5883" max="5883" width="11.140625" bestFit="1" customWidth="1"/>
    <col min="5884" max="5884" width="26.85546875" customWidth="1"/>
    <col min="6133" max="6133" width="68.5703125" bestFit="1" customWidth="1"/>
    <col min="6134" max="6134" width="12.5703125" bestFit="1" customWidth="1"/>
    <col min="6135" max="6135" width="8.85546875" bestFit="1" customWidth="1"/>
    <col min="6136" max="6136" width="19.28515625" bestFit="1" customWidth="1"/>
    <col min="6137" max="6137" width="10.7109375" bestFit="1" customWidth="1"/>
    <col min="6138" max="6138" width="18.85546875" customWidth="1"/>
    <col min="6139" max="6139" width="11.140625" bestFit="1" customWidth="1"/>
    <col min="6140" max="6140" width="26.85546875" customWidth="1"/>
    <col min="6389" max="6389" width="68.5703125" bestFit="1" customWidth="1"/>
    <col min="6390" max="6390" width="12.5703125" bestFit="1" customWidth="1"/>
    <col min="6391" max="6391" width="8.85546875" bestFit="1" customWidth="1"/>
    <col min="6392" max="6392" width="19.28515625" bestFit="1" customWidth="1"/>
    <col min="6393" max="6393" width="10.7109375" bestFit="1" customWidth="1"/>
    <col min="6394" max="6394" width="18.85546875" customWidth="1"/>
    <col min="6395" max="6395" width="11.140625" bestFit="1" customWidth="1"/>
    <col min="6396" max="6396" width="26.85546875" customWidth="1"/>
    <col min="6645" max="6645" width="68.5703125" bestFit="1" customWidth="1"/>
    <col min="6646" max="6646" width="12.5703125" bestFit="1" customWidth="1"/>
    <col min="6647" max="6647" width="8.85546875" bestFit="1" customWidth="1"/>
    <col min="6648" max="6648" width="19.28515625" bestFit="1" customWidth="1"/>
    <col min="6649" max="6649" width="10.7109375" bestFit="1" customWidth="1"/>
    <col min="6650" max="6650" width="18.85546875" customWidth="1"/>
    <col min="6651" max="6651" width="11.140625" bestFit="1" customWidth="1"/>
    <col min="6652" max="6652" width="26.85546875" customWidth="1"/>
    <col min="6901" max="6901" width="68.5703125" bestFit="1" customWidth="1"/>
    <col min="6902" max="6902" width="12.5703125" bestFit="1" customWidth="1"/>
    <col min="6903" max="6903" width="8.85546875" bestFit="1" customWidth="1"/>
    <col min="6904" max="6904" width="19.28515625" bestFit="1" customWidth="1"/>
    <col min="6905" max="6905" width="10.7109375" bestFit="1" customWidth="1"/>
    <col min="6906" max="6906" width="18.85546875" customWidth="1"/>
    <col min="6907" max="6907" width="11.140625" bestFit="1" customWidth="1"/>
    <col min="6908" max="6908" width="26.85546875" customWidth="1"/>
    <col min="7157" max="7157" width="68.5703125" bestFit="1" customWidth="1"/>
    <col min="7158" max="7158" width="12.5703125" bestFit="1" customWidth="1"/>
    <col min="7159" max="7159" width="8.85546875" bestFit="1" customWidth="1"/>
    <col min="7160" max="7160" width="19.28515625" bestFit="1" customWidth="1"/>
    <col min="7161" max="7161" width="10.7109375" bestFit="1" customWidth="1"/>
    <col min="7162" max="7162" width="18.85546875" customWidth="1"/>
    <col min="7163" max="7163" width="11.140625" bestFit="1" customWidth="1"/>
    <col min="7164" max="7164" width="26.85546875" customWidth="1"/>
    <col min="7413" max="7413" width="68.5703125" bestFit="1" customWidth="1"/>
    <col min="7414" max="7414" width="12.5703125" bestFit="1" customWidth="1"/>
    <col min="7415" max="7415" width="8.85546875" bestFit="1" customWidth="1"/>
    <col min="7416" max="7416" width="19.28515625" bestFit="1" customWidth="1"/>
    <col min="7417" max="7417" width="10.7109375" bestFit="1" customWidth="1"/>
    <col min="7418" max="7418" width="18.85546875" customWidth="1"/>
    <col min="7419" max="7419" width="11.140625" bestFit="1" customWidth="1"/>
    <col min="7420" max="7420" width="26.85546875" customWidth="1"/>
    <col min="7669" max="7669" width="68.5703125" bestFit="1" customWidth="1"/>
    <col min="7670" max="7670" width="12.5703125" bestFit="1" customWidth="1"/>
    <col min="7671" max="7671" width="8.85546875" bestFit="1" customWidth="1"/>
    <col min="7672" max="7672" width="19.28515625" bestFit="1" customWidth="1"/>
    <col min="7673" max="7673" width="10.7109375" bestFit="1" customWidth="1"/>
    <col min="7674" max="7674" width="18.85546875" customWidth="1"/>
    <col min="7675" max="7675" width="11.140625" bestFit="1" customWidth="1"/>
    <col min="7676" max="7676" width="26.85546875" customWidth="1"/>
    <col min="7925" max="7925" width="68.5703125" bestFit="1" customWidth="1"/>
    <col min="7926" max="7926" width="12.5703125" bestFit="1" customWidth="1"/>
    <col min="7927" max="7927" width="8.85546875" bestFit="1" customWidth="1"/>
    <col min="7928" max="7928" width="19.28515625" bestFit="1" customWidth="1"/>
    <col min="7929" max="7929" width="10.7109375" bestFit="1" customWidth="1"/>
    <col min="7930" max="7930" width="18.85546875" customWidth="1"/>
    <col min="7931" max="7931" width="11.140625" bestFit="1" customWidth="1"/>
    <col min="7932" max="7932" width="26.85546875" customWidth="1"/>
    <col min="8181" max="8181" width="68.5703125" bestFit="1" customWidth="1"/>
    <col min="8182" max="8182" width="12.5703125" bestFit="1" customWidth="1"/>
    <col min="8183" max="8183" width="8.85546875" bestFit="1" customWidth="1"/>
    <col min="8184" max="8184" width="19.28515625" bestFit="1" customWidth="1"/>
    <col min="8185" max="8185" width="10.7109375" bestFit="1" customWidth="1"/>
    <col min="8186" max="8186" width="18.85546875" customWidth="1"/>
    <col min="8187" max="8187" width="11.140625" bestFit="1" customWidth="1"/>
    <col min="8188" max="8188" width="26.85546875" customWidth="1"/>
    <col min="8437" max="8437" width="68.5703125" bestFit="1" customWidth="1"/>
    <col min="8438" max="8438" width="12.5703125" bestFit="1" customWidth="1"/>
    <col min="8439" max="8439" width="8.85546875" bestFit="1" customWidth="1"/>
    <col min="8440" max="8440" width="19.28515625" bestFit="1" customWidth="1"/>
    <col min="8441" max="8441" width="10.7109375" bestFit="1" customWidth="1"/>
    <col min="8442" max="8442" width="18.85546875" customWidth="1"/>
    <col min="8443" max="8443" width="11.140625" bestFit="1" customWidth="1"/>
    <col min="8444" max="8444" width="26.85546875" customWidth="1"/>
    <col min="8693" max="8693" width="68.5703125" bestFit="1" customWidth="1"/>
    <col min="8694" max="8694" width="12.5703125" bestFit="1" customWidth="1"/>
    <col min="8695" max="8695" width="8.85546875" bestFit="1" customWidth="1"/>
    <col min="8696" max="8696" width="19.28515625" bestFit="1" customWidth="1"/>
    <col min="8697" max="8697" width="10.7109375" bestFit="1" customWidth="1"/>
    <col min="8698" max="8698" width="18.85546875" customWidth="1"/>
    <col min="8699" max="8699" width="11.140625" bestFit="1" customWidth="1"/>
    <col min="8700" max="8700" width="26.85546875" customWidth="1"/>
    <col min="8949" max="8949" width="68.5703125" bestFit="1" customWidth="1"/>
    <col min="8950" max="8950" width="12.5703125" bestFit="1" customWidth="1"/>
    <col min="8951" max="8951" width="8.85546875" bestFit="1" customWidth="1"/>
    <col min="8952" max="8952" width="19.28515625" bestFit="1" customWidth="1"/>
    <col min="8953" max="8953" width="10.7109375" bestFit="1" customWidth="1"/>
    <col min="8954" max="8954" width="18.85546875" customWidth="1"/>
    <col min="8955" max="8955" width="11.140625" bestFit="1" customWidth="1"/>
    <col min="8956" max="8956" width="26.85546875" customWidth="1"/>
    <col min="9205" max="9205" width="68.5703125" bestFit="1" customWidth="1"/>
    <col min="9206" max="9206" width="12.5703125" bestFit="1" customWidth="1"/>
    <col min="9207" max="9207" width="8.85546875" bestFit="1" customWidth="1"/>
    <col min="9208" max="9208" width="19.28515625" bestFit="1" customWidth="1"/>
    <col min="9209" max="9209" width="10.7109375" bestFit="1" customWidth="1"/>
    <col min="9210" max="9210" width="18.85546875" customWidth="1"/>
    <col min="9211" max="9211" width="11.140625" bestFit="1" customWidth="1"/>
    <col min="9212" max="9212" width="26.85546875" customWidth="1"/>
    <col min="9461" max="9461" width="68.5703125" bestFit="1" customWidth="1"/>
    <col min="9462" max="9462" width="12.5703125" bestFit="1" customWidth="1"/>
    <col min="9463" max="9463" width="8.85546875" bestFit="1" customWidth="1"/>
    <col min="9464" max="9464" width="19.28515625" bestFit="1" customWidth="1"/>
    <col min="9465" max="9465" width="10.7109375" bestFit="1" customWidth="1"/>
    <col min="9466" max="9466" width="18.85546875" customWidth="1"/>
    <col min="9467" max="9467" width="11.140625" bestFit="1" customWidth="1"/>
    <col min="9468" max="9468" width="26.85546875" customWidth="1"/>
    <col min="9717" max="9717" width="68.5703125" bestFit="1" customWidth="1"/>
    <col min="9718" max="9718" width="12.5703125" bestFit="1" customWidth="1"/>
    <col min="9719" max="9719" width="8.85546875" bestFit="1" customWidth="1"/>
    <col min="9720" max="9720" width="19.28515625" bestFit="1" customWidth="1"/>
    <col min="9721" max="9721" width="10.7109375" bestFit="1" customWidth="1"/>
    <col min="9722" max="9722" width="18.85546875" customWidth="1"/>
    <col min="9723" max="9723" width="11.140625" bestFit="1" customWidth="1"/>
    <col min="9724" max="9724" width="26.85546875" customWidth="1"/>
    <col min="9973" max="9973" width="68.5703125" bestFit="1" customWidth="1"/>
    <col min="9974" max="9974" width="12.5703125" bestFit="1" customWidth="1"/>
    <col min="9975" max="9975" width="8.85546875" bestFit="1" customWidth="1"/>
    <col min="9976" max="9976" width="19.28515625" bestFit="1" customWidth="1"/>
    <col min="9977" max="9977" width="10.7109375" bestFit="1" customWidth="1"/>
    <col min="9978" max="9978" width="18.85546875" customWidth="1"/>
    <col min="9979" max="9979" width="11.140625" bestFit="1" customWidth="1"/>
    <col min="9980" max="9980" width="26.85546875" customWidth="1"/>
    <col min="10229" max="10229" width="68.5703125" bestFit="1" customWidth="1"/>
    <col min="10230" max="10230" width="12.5703125" bestFit="1" customWidth="1"/>
    <col min="10231" max="10231" width="8.85546875" bestFit="1" customWidth="1"/>
    <col min="10232" max="10232" width="19.28515625" bestFit="1" customWidth="1"/>
    <col min="10233" max="10233" width="10.7109375" bestFit="1" customWidth="1"/>
    <col min="10234" max="10234" width="18.85546875" customWidth="1"/>
    <col min="10235" max="10235" width="11.140625" bestFit="1" customWidth="1"/>
    <col min="10236" max="10236" width="26.85546875" customWidth="1"/>
    <col min="10485" max="10485" width="68.5703125" bestFit="1" customWidth="1"/>
    <col min="10486" max="10486" width="12.5703125" bestFit="1" customWidth="1"/>
    <col min="10487" max="10487" width="8.85546875" bestFit="1" customWidth="1"/>
    <col min="10488" max="10488" width="19.28515625" bestFit="1" customWidth="1"/>
    <col min="10489" max="10489" width="10.7109375" bestFit="1" customWidth="1"/>
    <col min="10490" max="10490" width="18.85546875" customWidth="1"/>
    <col min="10491" max="10491" width="11.140625" bestFit="1" customWidth="1"/>
    <col min="10492" max="10492" width="26.85546875" customWidth="1"/>
    <col min="10741" max="10741" width="68.5703125" bestFit="1" customWidth="1"/>
    <col min="10742" max="10742" width="12.5703125" bestFit="1" customWidth="1"/>
    <col min="10743" max="10743" width="8.85546875" bestFit="1" customWidth="1"/>
    <col min="10744" max="10744" width="19.28515625" bestFit="1" customWidth="1"/>
    <col min="10745" max="10745" width="10.7109375" bestFit="1" customWidth="1"/>
    <col min="10746" max="10746" width="18.85546875" customWidth="1"/>
    <col min="10747" max="10747" width="11.140625" bestFit="1" customWidth="1"/>
    <col min="10748" max="10748" width="26.85546875" customWidth="1"/>
    <col min="10997" max="10997" width="68.5703125" bestFit="1" customWidth="1"/>
    <col min="10998" max="10998" width="12.5703125" bestFit="1" customWidth="1"/>
    <col min="10999" max="10999" width="8.85546875" bestFit="1" customWidth="1"/>
    <col min="11000" max="11000" width="19.28515625" bestFit="1" customWidth="1"/>
    <col min="11001" max="11001" width="10.7109375" bestFit="1" customWidth="1"/>
    <col min="11002" max="11002" width="18.85546875" customWidth="1"/>
    <col min="11003" max="11003" width="11.140625" bestFit="1" customWidth="1"/>
    <col min="11004" max="11004" width="26.85546875" customWidth="1"/>
    <col min="11253" max="11253" width="68.5703125" bestFit="1" customWidth="1"/>
    <col min="11254" max="11254" width="12.5703125" bestFit="1" customWidth="1"/>
    <col min="11255" max="11255" width="8.85546875" bestFit="1" customWidth="1"/>
    <col min="11256" max="11256" width="19.28515625" bestFit="1" customWidth="1"/>
    <col min="11257" max="11257" width="10.7109375" bestFit="1" customWidth="1"/>
    <col min="11258" max="11258" width="18.85546875" customWidth="1"/>
    <col min="11259" max="11259" width="11.140625" bestFit="1" customWidth="1"/>
    <col min="11260" max="11260" width="26.85546875" customWidth="1"/>
    <col min="11509" max="11509" width="68.5703125" bestFit="1" customWidth="1"/>
    <col min="11510" max="11510" width="12.5703125" bestFit="1" customWidth="1"/>
    <col min="11511" max="11511" width="8.85546875" bestFit="1" customWidth="1"/>
    <col min="11512" max="11512" width="19.28515625" bestFit="1" customWidth="1"/>
    <col min="11513" max="11513" width="10.7109375" bestFit="1" customWidth="1"/>
    <col min="11514" max="11514" width="18.85546875" customWidth="1"/>
    <col min="11515" max="11515" width="11.140625" bestFit="1" customWidth="1"/>
    <col min="11516" max="11516" width="26.85546875" customWidth="1"/>
    <col min="11765" max="11765" width="68.5703125" bestFit="1" customWidth="1"/>
    <col min="11766" max="11766" width="12.5703125" bestFit="1" customWidth="1"/>
    <col min="11767" max="11767" width="8.85546875" bestFit="1" customWidth="1"/>
    <col min="11768" max="11768" width="19.28515625" bestFit="1" customWidth="1"/>
    <col min="11769" max="11769" width="10.7109375" bestFit="1" customWidth="1"/>
    <col min="11770" max="11770" width="18.85546875" customWidth="1"/>
    <col min="11771" max="11771" width="11.140625" bestFit="1" customWidth="1"/>
    <col min="11772" max="11772" width="26.85546875" customWidth="1"/>
    <col min="12021" max="12021" width="68.5703125" bestFit="1" customWidth="1"/>
    <col min="12022" max="12022" width="12.5703125" bestFit="1" customWidth="1"/>
    <col min="12023" max="12023" width="8.85546875" bestFit="1" customWidth="1"/>
    <col min="12024" max="12024" width="19.28515625" bestFit="1" customWidth="1"/>
    <col min="12025" max="12025" width="10.7109375" bestFit="1" customWidth="1"/>
    <col min="12026" max="12026" width="18.85546875" customWidth="1"/>
    <col min="12027" max="12027" width="11.140625" bestFit="1" customWidth="1"/>
    <col min="12028" max="12028" width="26.85546875" customWidth="1"/>
    <col min="12277" max="12277" width="68.5703125" bestFit="1" customWidth="1"/>
    <col min="12278" max="12278" width="12.5703125" bestFit="1" customWidth="1"/>
    <col min="12279" max="12279" width="8.85546875" bestFit="1" customWidth="1"/>
    <col min="12280" max="12280" width="19.28515625" bestFit="1" customWidth="1"/>
    <col min="12281" max="12281" width="10.7109375" bestFit="1" customWidth="1"/>
    <col min="12282" max="12282" width="18.85546875" customWidth="1"/>
    <col min="12283" max="12283" width="11.140625" bestFit="1" customWidth="1"/>
    <col min="12284" max="12284" width="26.85546875" customWidth="1"/>
    <col min="12533" max="12533" width="68.5703125" bestFit="1" customWidth="1"/>
    <col min="12534" max="12534" width="12.5703125" bestFit="1" customWidth="1"/>
    <col min="12535" max="12535" width="8.85546875" bestFit="1" customWidth="1"/>
    <col min="12536" max="12536" width="19.28515625" bestFit="1" customWidth="1"/>
    <col min="12537" max="12537" width="10.7109375" bestFit="1" customWidth="1"/>
    <col min="12538" max="12538" width="18.85546875" customWidth="1"/>
    <col min="12539" max="12539" width="11.140625" bestFit="1" customWidth="1"/>
    <col min="12540" max="12540" width="26.85546875" customWidth="1"/>
    <col min="12789" max="12789" width="68.5703125" bestFit="1" customWidth="1"/>
    <col min="12790" max="12790" width="12.5703125" bestFit="1" customWidth="1"/>
    <col min="12791" max="12791" width="8.85546875" bestFit="1" customWidth="1"/>
    <col min="12792" max="12792" width="19.28515625" bestFit="1" customWidth="1"/>
    <col min="12793" max="12793" width="10.7109375" bestFit="1" customWidth="1"/>
    <col min="12794" max="12794" width="18.85546875" customWidth="1"/>
    <col min="12795" max="12795" width="11.140625" bestFit="1" customWidth="1"/>
    <col min="12796" max="12796" width="26.85546875" customWidth="1"/>
    <col min="13045" max="13045" width="68.5703125" bestFit="1" customWidth="1"/>
    <col min="13046" max="13046" width="12.5703125" bestFit="1" customWidth="1"/>
    <col min="13047" max="13047" width="8.85546875" bestFit="1" customWidth="1"/>
    <col min="13048" max="13048" width="19.28515625" bestFit="1" customWidth="1"/>
    <col min="13049" max="13049" width="10.7109375" bestFit="1" customWidth="1"/>
    <col min="13050" max="13050" width="18.85546875" customWidth="1"/>
    <col min="13051" max="13051" width="11.140625" bestFit="1" customWidth="1"/>
    <col min="13052" max="13052" width="26.85546875" customWidth="1"/>
    <col min="13301" max="13301" width="68.5703125" bestFit="1" customWidth="1"/>
    <col min="13302" max="13302" width="12.5703125" bestFit="1" customWidth="1"/>
    <col min="13303" max="13303" width="8.85546875" bestFit="1" customWidth="1"/>
    <col min="13304" max="13304" width="19.28515625" bestFit="1" customWidth="1"/>
    <col min="13305" max="13305" width="10.7109375" bestFit="1" customWidth="1"/>
    <col min="13306" max="13306" width="18.85546875" customWidth="1"/>
    <col min="13307" max="13307" width="11.140625" bestFit="1" customWidth="1"/>
    <col min="13308" max="13308" width="26.85546875" customWidth="1"/>
    <col min="13557" max="13557" width="68.5703125" bestFit="1" customWidth="1"/>
    <col min="13558" max="13558" width="12.5703125" bestFit="1" customWidth="1"/>
    <col min="13559" max="13559" width="8.85546875" bestFit="1" customWidth="1"/>
    <col min="13560" max="13560" width="19.28515625" bestFit="1" customWidth="1"/>
    <col min="13561" max="13561" width="10.7109375" bestFit="1" customWidth="1"/>
    <col min="13562" max="13562" width="18.85546875" customWidth="1"/>
    <col min="13563" max="13563" width="11.140625" bestFit="1" customWidth="1"/>
    <col min="13564" max="13564" width="26.85546875" customWidth="1"/>
    <col min="13813" max="13813" width="68.5703125" bestFit="1" customWidth="1"/>
    <col min="13814" max="13814" width="12.5703125" bestFit="1" customWidth="1"/>
    <col min="13815" max="13815" width="8.85546875" bestFit="1" customWidth="1"/>
    <col min="13816" max="13816" width="19.28515625" bestFit="1" customWidth="1"/>
    <col min="13817" max="13817" width="10.7109375" bestFit="1" customWidth="1"/>
    <col min="13818" max="13818" width="18.85546875" customWidth="1"/>
    <col min="13819" max="13819" width="11.140625" bestFit="1" customWidth="1"/>
    <col min="13820" max="13820" width="26.85546875" customWidth="1"/>
    <col min="14069" max="14069" width="68.5703125" bestFit="1" customWidth="1"/>
    <col min="14070" max="14070" width="12.5703125" bestFit="1" customWidth="1"/>
    <col min="14071" max="14071" width="8.85546875" bestFit="1" customWidth="1"/>
    <col min="14072" max="14072" width="19.28515625" bestFit="1" customWidth="1"/>
    <col min="14073" max="14073" width="10.7109375" bestFit="1" customWidth="1"/>
    <col min="14074" max="14074" width="18.85546875" customWidth="1"/>
    <col min="14075" max="14075" width="11.140625" bestFit="1" customWidth="1"/>
    <col min="14076" max="14076" width="26.85546875" customWidth="1"/>
    <col min="14325" max="14325" width="68.5703125" bestFit="1" customWidth="1"/>
    <col min="14326" max="14326" width="12.5703125" bestFit="1" customWidth="1"/>
    <col min="14327" max="14327" width="8.85546875" bestFit="1" customWidth="1"/>
    <col min="14328" max="14328" width="19.28515625" bestFit="1" customWidth="1"/>
    <col min="14329" max="14329" width="10.7109375" bestFit="1" customWidth="1"/>
    <col min="14330" max="14330" width="18.85546875" customWidth="1"/>
    <col min="14331" max="14331" width="11.140625" bestFit="1" customWidth="1"/>
    <col min="14332" max="14332" width="26.85546875" customWidth="1"/>
    <col min="14581" max="14581" width="68.5703125" bestFit="1" customWidth="1"/>
    <col min="14582" max="14582" width="12.5703125" bestFit="1" customWidth="1"/>
    <col min="14583" max="14583" width="8.85546875" bestFit="1" customWidth="1"/>
    <col min="14584" max="14584" width="19.28515625" bestFit="1" customWidth="1"/>
    <col min="14585" max="14585" width="10.7109375" bestFit="1" customWidth="1"/>
    <col min="14586" max="14586" width="18.85546875" customWidth="1"/>
    <col min="14587" max="14587" width="11.140625" bestFit="1" customWidth="1"/>
    <col min="14588" max="14588" width="26.85546875" customWidth="1"/>
    <col min="14837" max="14837" width="68.5703125" bestFit="1" customWidth="1"/>
    <col min="14838" max="14838" width="12.5703125" bestFit="1" customWidth="1"/>
    <col min="14839" max="14839" width="8.85546875" bestFit="1" customWidth="1"/>
    <col min="14840" max="14840" width="19.28515625" bestFit="1" customWidth="1"/>
    <col min="14841" max="14841" width="10.7109375" bestFit="1" customWidth="1"/>
    <col min="14842" max="14842" width="18.85546875" customWidth="1"/>
    <col min="14843" max="14843" width="11.140625" bestFit="1" customWidth="1"/>
    <col min="14844" max="14844" width="26.85546875" customWidth="1"/>
    <col min="15093" max="15093" width="68.5703125" bestFit="1" customWidth="1"/>
    <col min="15094" max="15094" width="12.5703125" bestFit="1" customWidth="1"/>
    <col min="15095" max="15095" width="8.85546875" bestFit="1" customWidth="1"/>
    <col min="15096" max="15096" width="19.28515625" bestFit="1" customWidth="1"/>
    <col min="15097" max="15097" width="10.7109375" bestFit="1" customWidth="1"/>
    <col min="15098" max="15098" width="18.85546875" customWidth="1"/>
    <col min="15099" max="15099" width="11.140625" bestFit="1" customWidth="1"/>
    <col min="15100" max="15100" width="26.85546875" customWidth="1"/>
    <col min="15349" max="15349" width="68.5703125" bestFit="1" customWidth="1"/>
    <col min="15350" max="15350" width="12.5703125" bestFit="1" customWidth="1"/>
    <col min="15351" max="15351" width="8.85546875" bestFit="1" customWidth="1"/>
    <col min="15352" max="15352" width="19.28515625" bestFit="1" customWidth="1"/>
    <col min="15353" max="15353" width="10.7109375" bestFit="1" customWidth="1"/>
    <col min="15354" max="15354" width="18.85546875" customWidth="1"/>
    <col min="15355" max="15355" width="11.140625" bestFit="1" customWidth="1"/>
    <col min="15356" max="15356" width="26.85546875" customWidth="1"/>
    <col min="15605" max="15605" width="68.5703125" bestFit="1" customWidth="1"/>
    <col min="15606" max="15606" width="12.5703125" bestFit="1" customWidth="1"/>
    <col min="15607" max="15607" width="8.85546875" bestFit="1" customWidth="1"/>
    <col min="15608" max="15608" width="19.28515625" bestFit="1" customWidth="1"/>
    <col min="15609" max="15609" width="10.7109375" bestFit="1" customWidth="1"/>
    <col min="15610" max="15610" width="18.85546875" customWidth="1"/>
    <col min="15611" max="15611" width="11.140625" bestFit="1" customWidth="1"/>
    <col min="15612" max="15612" width="26.85546875" customWidth="1"/>
    <col min="15861" max="15861" width="68.5703125" bestFit="1" customWidth="1"/>
    <col min="15862" max="15862" width="12.5703125" bestFit="1" customWidth="1"/>
    <col min="15863" max="15863" width="8.85546875" bestFit="1" customWidth="1"/>
    <col min="15864" max="15864" width="19.28515625" bestFit="1" customWidth="1"/>
    <col min="15865" max="15865" width="10.7109375" bestFit="1" customWidth="1"/>
    <col min="15866" max="15866" width="18.85546875" customWidth="1"/>
    <col min="15867" max="15867" width="11.140625" bestFit="1" customWidth="1"/>
    <col min="15868" max="15868" width="26.85546875" customWidth="1"/>
    <col min="16117" max="16117" width="68.5703125" bestFit="1" customWidth="1"/>
    <col min="16118" max="16118" width="12.5703125" bestFit="1" customWidth="1"/>
    <col min="16119" max="16119" width="8.85546875" bestFit="1" customWidth="1"/>
    <col min="16120" max="16120" width="19.28515625" bestFit="1" customWidth="1"/>
    <col min="16121" max="16121" width="10.7109375" bestFit="1" customWidth="1"/>
    <col min="16122" max="16122" width="18.85546875" customWidth="1"/>
    <col min="16123" max="16123" width="11.140625" bestFit="1" customWidth="1"/>
    <col min="16124" max="16124" width="26.85546875" customWidth="1"/>
  </cols>
  <sheetData>
    <row r="1" spans="1:19">
      <c r="A1" s="106" t="s">
        <v>166</v>
      </c>
    </row>
    <row r="2" spans="1:19">
      <c r="A2" s="108" t="s">
        <v>308</v>
      </c>
      <c r="B2" s="109"/>
      <c r="C2" s="110"/>
      <c r="D2" s="111"/>
      <c r="E2" s="111"/>
      <c r="F2" s="110"/>
    </row>
    <row r="3" spans="1:19">
      <c r="A3" s="248" t="s">
        <v>274</v>
      </c>
      <c r="B3" s="112"/>
      <c r="C3" s="113"/>
      <c r="D3" s="114"/>
      <c r="E3" s="114" t="s">
        <v>110</v>
      </c>
      <c r="F3" s="294"/>
    </row>
    <row r="4" spans="1:19">
      <c r="A4" s="112"/>
      <c r="B4" s="112"/>
      <c r="C4" s="294" t="s">
        <v>107</v>
      </c>
      <c r="D4" s="114" t="s">
        <v>111</v>
      </c>
      <c r="E4" s="114" t="s">
        <v>108</v>
      </c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45"/>
    </row>
    <row r="5" spans="1:19">
      <c r="A5" s="112"/>
      <c r="B5" s="112"/>
      <c r="C5" s="294" t="s">
        <v>109</v>
      </c>
      <c r="D5" s="114" t="s">
        <v>10</v>
      </c>
      <c r="E5" s="115">
        <v>43466</v>
      </c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45"/>
    </row>
    <row r="6" spans="1:19">
      <c r="A6" s="108"/>
      <c r="B6" s="108"/>
      <c r="C6" s="295"/>
      <c r="D6" s="111"/>
      <c r="E6" s="11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45"/>
    </row>
    <row r="7" spans="1:19">
      <c r="A7" s="253" t="s">
        <v>341</v>
      </c>
      <c r="B7" s="108"/>
      <c r="C7" s="295"/>
      <c r="D7" s="111"/>
      <c r="E7" s="11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45"/>
    </row>
    <row r="8" spans="1:19">
      <c r="A8" s="141" t="s">
        <v>148</v>
      </c>
      <c r="B8" s="118"/>
      <c r="C8" s="295">
        <f>'Company Price Out Rates Compare'!I20</f>
        <v>10.78</v>
      </c>
      <c r="D8" s="111">
        <f>'Company Price Out Rates Compare'!T20</f>
        <v>0.1746188346122938</v>
      </c>
      <c r="E8" s="111">
        <f>C8+D8</f>
        <v>10.954618834612294</v>
      </c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45"/>
    </row>
    <row r="9" spans="1:19">
      <c r="A9" s="129" t="s">
        <v>149</v>
      </c>
      <c r="B9" s="118"/>
      <c r="C9" s="295">
        <f>'Company Price Out Rates Compare'!I21</f>
        <v>15.54</v>
      </c>
      <c r="D9" s="111">
        <f>'Company Price Out Rates Compare'!T21</f>
        <v>0.2940653991065092</v>
      </c>
      <c r="E9" s="111">
        <f t="shared" ref="E9:E10" si="0">C9+D9</f>
        <v>15.834065399106509</v>
      </c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45"/>
    </row>
    <row r="10" spans="1:19">
      <c r="A10" s="129" t="s">
        <v>150</v>
      </c>
      <c r="B10" s="118"/>
      <c r="C10" s="295">
        <f>'Company Price Out Rates Compare'!I22</f>
        <v>26.17</v>
      </c>
      <c r="D10" s="111">
        <f>'Company Price Out Rates Compare'!T22</f>
        <v>0.58813079821301839</v>
      </c>
      <c r="E10" s="111">
        <f t="shared" si="0"/>
        <v>26.758130798213021</v>
      </c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45"/>
    </row>
    <row r="11" spans="1:19">
      <c r="A11" s="129" t="s">
        <v>151</v>
      </c>
      <c r="B11" s="118"/>
      <c r="C11" s="295">
        <f>'Company Price Out Rates Compare'!I23</f>
        <v>37.770000000000003</v>
      </c>
      <c r="D11" s="111">
        <f>'Company Price Out Rates Compare'!T23</f>
        <v>0.88219619731952748</v>
      </c>
      <c r="E11" s="111">
        <f>C11+D11</f>
        <v>38.652196197319533</v>
      </c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45"/>
    </row>
    <row r="12" spans="1:19">
      <c r="A12" s="289" t="s">
        <v>155</v>
      </c>
      <c r="B12" s="290"/>
      <c r="C12" s="295">
        <f>'Company Price Out Rates Compare'!I24</f>
        <v>50.51</v>
      </c>
      <c r="D12" s="295">
        <f>'Company Price Out Rates Compare'!T24</f>
        <v>1.1762615964260368</v>
      </c>
      <c r="E12" s="295">
        <f t="shared" ref="E12:E13" si="1">C12+D12</f>
        <v>51.686261596426036</v>
      </c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45"/>
    </row>
    <row r="13" spans="1:19">
      <c r="A13" s="289" t="s">
        <v>275</v>
      </c>
      <c r="B13" s="290"/>
      <c r="C13" s="295">
        <f>'Company Price Out Rates Compare'!I25</f>
        <v>61.53</v>
      </c>
      <c r="D13" s="295">
        <f>'Company Price Out Rates Compare'!T25</f>
        <v>1.470326995532546</v>
      </c>
      <c r="E13" s="295">
        <f t="shared" si="1"/>
        <v>63.000326995532546</v>
      </c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45"/>
    </row>
    <row r="14" spans="1:19">
      <c r="A14" s="129" t="s">
        <v>152</v>
      </c>
      <c r="B14" s="118"/>
      <c r="C14" s="295">
        <f>'Company Price Out Rates Compare'!I28</f>
        <v>15.54</v>
      </c>
      <c r="D14" s="111">
        <f>'Company Price Out Rates Compare'!T28</f>
        <v>0.2940653991065092</v>
      </c>
      <c r="E14" s="111">
        <f t="shared" ref="E14:E16" si="2">C14+D14</f>
        <v>15.834065399106509</v>
      </c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45"/>
    </row>
    <row r="15" spans="1:19">
      <c r="A15" s="129" t="s">
        <v>153</v>
      </c>
      <c r="B15" s="118"/>
      <c r="C15" s="295">
        <f>'Company Price Out Rates Compare'!I29</f>
        <v>23.23</v>
      </c>
      <c r="D15" s="111">
        <f>'Company Price Out Rates Compare'!T29</f>
        <v>0.58813079821301839</v>
      </c>
      <c r="E15" s="111">
        <f t="shared" si="2"/>
        <v>23.818130798213019</v>
      </c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45"/>
    </row>
    <row r="16" spans="1:19">
      <c r="A16" s="129" t="s">
        <v>154</v>
      </c>
      <c r="B16" s="118"/>
      <c r="C16" s="295">
        <f>'Company Price Out Rates Compare'!I30</f>
        <v>32.74</v>
      </c>
      <c r="D16" s="111">
        <f>'Company Price Out Rates Compare'!T30</f>
        <v>0.88219619731952748</v>
      </c>
      <c r="E16" s="111">
        <f t="shared" si="2"/>
        <v>33.622196197319532</v>
      </c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45"/>
    </row>
    <row r="17" spans="1:19">
      <c r="A17" s="129" t="s">
        <v>113</v>
      </c>
      <c r="B17" s="118"/>
      <c r="C17" s="295">
        <f>'Company Price Out Rates Compare'!I27</f>
        <v>6.03</v>
      </c>
      <c r="D17" s="111">
        <f>'Company Price Out Rates Compare'!T27</f>
        <v>6.7913487091572564E-2</v>
      </c>
      <c r="E17" s="111">
        <f>C17+D17</f>
        <v>6.0979134870915725</v>
      </c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45"/>
    </row>
    <row r="18" spans="1:19">
      <c r="A18" s="129"/>
      <c r="B18" s="118"/>
      <c r="C18" s="295"/>
      <c r="D18" s="111"/>
      <c r="E18" s="293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45"/>
    </row>
    <row r="19" spans="1:19">
      <c r="A19" s="252" t="s">
        <v>342</v>
      </c>
      <c r="B19" s="118"/>
      <c r="C19" s="295"/>
      <c r="D19" s="111"/>
      <c r="E19" s="293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45"/>
    </row>
    <row r="20" spans="1:19">
      <c r="A20" s="249" t="s">
        <v>276</v>
      </c>
      <c r="B20" s="250" t="s">
        <v>112</v>
      </c>
      <c r="C20" s="298">
        <f>'Company Price Out Rates Compare'!I31</f>
        <v>3.83</v>
      </c>
      <c r="D20" s="298">
        <f>'Company Price Out Rates Compare'!T31</f>
        <v>6.7913487091572564E-2</v>
      </c>
      <c r="E20" s="298">
        <f t="shared" ref="E20" si="3">C20+D20</f>
        <v>3.8979134870915728</v>
      </c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45"/>
    </row>
    <row r="21" spans="1:19">
      <c r="A21" s="129"/>
      <c r="B21" s="118"/>
      <c r="C21" s="295"/>
      <c r="E21" s="11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45"/>
    </row>
    <row r="22" spans="1:19">
      <c r="A22" s="253" t="s">
        <v>343</v>
      </c>
      <c r="B22" s="108"/>
      <c r="C22" s="295"/>
      <c r="D22" s="111"/>
      <c r="E22" s="11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45"/>
    </row>
    <row r="23" spans="1:19">
      <c r="A23" s="141" t="s">
        <v>148</v>
      </c>
      <c r="B23" s="118"/>
      <c r="C23" s="295">
        <f>'Company Price Out Rates Compare'!I39</f>
        <v>10.76</v>
      </c>
      <c r="D23" s="111">
        <f>'Company Price Out Rates Compare'!T39</f>
        <v>0.1746188346122938</v>
      </c>
      <c r="E23" s="111">
        <f>C23+D23</f>
        <v>10.934618834612294</v>
      </c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45"/>
    </row>
    <row r="24" spans="1:19">
      <c r="A24" s="129" t="s">
        <v>149</v>
      </c>
      <c r="B24" s="118"/>
      <c r="C24" s="295">
        <f>'Company Price Out Rates Compare'!I21</f>
        <v>15.54</v>
      </c>
      <c r="D24" s="111">
        <f>'Company Price Out Rates Compare'!T40</f>
        <v>0.2940653991065092</v>
      </c>
      <c r="E24" s="319">
        <f t="shared" ref="E24:E86" si="4">C24+D24</f>
        <v>15.834065399106509</v>
      </c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45"/>
    </row>
    <row r="25" spans="1:19">
      <c r="A25" s="129" t="s">
        <v>150</v>
      </c>
      <c r="B25" s="118"/>
      <c r="C25" s="295">
        <f>'Company Price Out Rates Compare'!I22</f>
        <v>26.17</v>
      </c>
      <c r="D25" s="111">
        <f>'Company Price Out Rates Compare'!T41</f>
        <v>0.58813079821301839</v>
      </c>
      <c r="E25" s="319">
        <f t="shared" si="4"/>
        <v>26.758130798213021</v>
      </c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45"/>
    </row>
    <row r="26" spans="1:19">
      <c r="A26" s="129" t="s">
        <v>151</v>
      </c>
      <c r="B26" s="118"/>
      <c r="C26" s="295">
        <f>'Company Price Out Rates Compare'!I23</f>
        <v>37.770000000000003</v>
      </c>
      <c r="D26" s="111">
        <f>'Company Price Out Rates Compare'!T42</f>
        <v>0.88219619731952748</v>
      </c>
      <c r="E26" s="319">
        <f t="shared" si="4"/>
        <v>38.652196197319533</v>
      </c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45"/>
    </row>
    <row r="27" spans="1:19">
      <c r="A27" s="129" t="s">
        <v>155</v>
      </c>
      <c r="B27" s="118"/>
      <c r="C27" s="295">
        <f>'Company Price Out Rates Compare'!I24</f>
        <v>50.51</v>
      </c>
      <c r="D27" s="111">
        <f>'Company Price Out Rates Compare'!T43</f>
        <v>1.1762615964260368</v>
      </c>
      <c r="E27" s="319">
        <f t="shared" si="4"/>
        <v>51.686261596426036</v>
      </c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45"/>
    </row>
    <row r="28" spans="1:19">
      <c r="A28" s="249" t="s">
        <v>275</v>
      </c>
      <c r="B28" s="250"/>
      <c r="C28" s="298">
        <f>'Company Price Out Rates Compare'!I25</f>
        <v>61.53</v>
      </c>
      <c r="D28" s="251">
        <f>'Company Price Out Rates Compare'!T44</f>
        <v>1.470326995532546</v>
      </c>
      <c r="E28" s="343">
        <f t="shared" si="4"/>
        <v>63.000326995532546</v>
      </c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45"/>
    </row>
    <row r="29" spans="1:19">
      <c r="A29" s="129" t="s">
        <v>152</v>
      </c>
      <c r="B29" s="118"/>
      <c r="C29" s="295">
        <f>'Company Price Out Rates Compare'!I28</f>
        <v>15.54</v>
      </c>
      <c r="D29" s="111">
        <f>'Company Price Out Rates Compare'!T47</f>
        <v>0.2940653991065092</v>
      </c>
      <c r="E29" s="319">
        <f t="shared" si="4"/>
        <v>15.834065399106509</v>
      </c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45"/>
    </row>
    <row r="30" spans="1:19">
      <c r="A30" s="129" t="s">
        <v>153</v>
      </c>
      <c r="B30" s="118"/>
      <c r="C30" s="295">
        <f>'Company Price Out Rates Compare'!I29</f>
        <v>23.23</v>
      </c>
      <c r="D30" s="111">
        <f>'Company Price Out Rates Compare'!T48</f>
        <v>0.58813079821301839</v>
      </c>
      <c r="E30" s="319">
        <f t="shared" si="4"/>
        <v>23.818130798213019</v>
      </c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45"/>
    </row>
    <row r="31" spans="1:19">
      <c r="A31" s="129" t="s">
        <v>154</v>
      </c>
      <c r="B31" s="118"/>
      <c r="C31" s="295">
        <f>'Company Price Out Rates Compare'!I30</f>
        <v>32.74</v>
      </c>
      <c r="D31" s="111">
        <f>'Company Price Out Rates Compare'!T49</f>
        <v>0.88219619731952748</v>
      </c>
      <c r="E31" s="319">
        <f t="shared" si="4"/>
        <v>33.622196197319532</v>
      </c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45"/>
    </row>
    <row r="32" spans="1:19">
      <c r="A32" s="129" t="s">
        <v>113</v>
      </c>
      <c r="B32" s="118"/>
      <c r="C32" s="295">
        <f>'Company Price Out Rates Compare'!I27</f>
        <v>6.03</v>
      </c>
      <c r="D32" s="111">
        <f>'Company Price Out Rates Compare'!T46</f>
        <v>6.7913487091572564E-2</v>
      </c>
      <c r="E32" s="319">
        <f t="shared" si="4"/>
        <v>6.0979134870915725</v>
      </c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45"/>
    </row>
    <row r="33" spans="1:19">
      <c r="A33" s="112"/>
      <c r="B33" s="112"/>
      <c r="C33" s="291"/>
      <c r="E33" s="319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5"/>
    </row>
    <row r="34" spans="1:19">
      <c r="A34" s="252" t="s">
        <v>344</v>
      </c>
      <c r="B34" s="118"/>
      <c r="C34" s="295"/>
      <c r="D34" s="111"/>
      <c r="E34" s="319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45"/>
    </row>
    <row r="35" spans="1:19">
      <c r="A35" s="249" t="s">
        <v>276</v>
      </c>
      <c r="B35" s="250" t="s">
        <v>112</v>
      </c>
      <c r="C35" s="298">
        <f>'Company Price Out Rates Compare'!I50</f>
        <v>3.12</v>
      </c>
      <c r="D35" s="251">
        <f>'Company Price Out Rates Compare'!T50</f>
        <v>6.7913487091572564E-2</v>
      </c>
      <c r="E35" s="343">
        <f t="shared" si="4"/>
        <v>3.1879134870915729</v>
      </c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45"/>
    </row>
    <row r="36" spans="1:19">
      <c r="A36" s="112"/>
      <c r="B36" s="112"/>
      <c r="C36" s="295"/>
      <c r="D36" s="111"/>
      <c r="E36" s="319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45"/>
    </row>
    <row r="37" spans="1:19">
      <c r="A37" s="108" t="s">
        <v>345</v>
      </c>
      <c r="B37" s="112"/>
      <c r="C37" s="295"/>
      <c r="D37" s="111"/>
      <c r="E37" s="319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45"/>
    </row>
    <row r="38" spans="1:19" s="248" customFormat="1">
      <c r="A38" s="250" t="s">
        <v>277</v>
      </c>
      <c r="B38" s="299" t="s">
        <v>112</v>
      </c>
      <c r="C38" s="298">
        <f>'Company Price Out Rates Compare'!I158</f>
        <v>3.25</v>
      </c>
      <c r="D38" s="298">
        <f>'Company Price Out Rates Compare'!T158</f>
        <v>4.6892645848942961E-2</v>
      </c>
      <c r="E38" s="343">
        <f t="shared" si="4"/>
        <v>3.2968926458489429</v>
      </c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45"/>
    </row>
    <row r="39" spans="1:19" s="248" customFormat="1">
      <c r="A39" s="250" t="s">
        <v>278</v>
      </c>
      <c r="B39" s="299" t="s">
        <v>112</v>
      </c>
      <c r="C39" s="298">
        <f>'Company Price Out Rates Compare'!I160</f>
        <v>4.9800000000000004</v>
      </c>
      <c r="D39" s="298">
        <f>'Company Price Out Rates Compare'!T160</f>
        <v>7.4090380441329873E-2</v>
      </c>
      <c r="E39" s="343">
        <f t="shared" si="4"/>
        <v>5.0540903804413304</v>
      </c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45"/>
    </row>
    <row r="40" spans="1:19" s="248" customFormat="1">
      <c r="A40" s="254" t="s">
        <v>157</v>
      </c>
      <c r="B40" s="299" t="s">
        <v>112</v>
      </c>
      <c r="C40" s="298">
        <f>'Company Price Out Rates Compare'!I162</f>
        <v>7.53</v>
      </c>
      <c r="D40" s="298">
        <f>'Company Price Out Rates Compare'!T162</f>
        <v>0.14818076088265975</v>
      </c>
      <c r="E40" s="343">
        <f t="shared" si="4"/>
        <v>7.6781807608826602</v>
      </c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45"/>
    </row>
    <row r="41" spans="1:19" s="248" customFormat="1">
      <c r="A41" s="254" t="s">
        <v>158</v>
      </c>
      <c r="B41" s="299" t="s">
        <v>112</v>
      </c>
      <c r="C41" s="298">
        <f>'Company Price Out Rates Compare'!I164</f>
        <v>10.45</v>
      </c>
      <c r="D41" s="298">
        <f>'Company Price Out Rates Compare'!T165</f>
        <v>0.22227114132398959</v>
      </c>
      <c r="E41" s="343">
        <f t="shared" si="4"/>
        <v>10.672271141323989</v>
      </c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45"/>
    </row>
    <row r="42" spans="1:19" s="248" customFormat="1">
      <c r="A42" s="254" t="s">
        <v>283</v>
      </c>
      <c r="B42" s="299" t="s">
        <v>112</v>
      </c>
      <c r="C42" s="315">
        <f>'Company Price Out Rates Compare'!I169</f>
        <v>21.97</v>
      </c>
      <c r="D42" s="298">
        <f>'Company Price Out Rates Compare'!T169</f>
        <v>0.46892645848942954</v>
      </c>
      <c r="E42" s="343">
        <f t="shared" si="4"/>
        <v>22.43892645848943</v>
      </c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345"/>
    </row>
    <row r="43" spans="1:19" s="248" customFormat="1">
      <c r="A43" s="254" t="s">
        <v>160</v>
      </c>
      <c r="B43" s="299" t="s">
        <v>112</v>
      </c>
      <c r="C43" s="298">
        <f>'Company Price Out Rates Compare'!I174</f>
        <v>30.01</v>
      </c>
      <c r="D43" s="298">
        <f>'Company Price Out Rates Compare'!T174</f>
        <v>0.70338968773414445</v>
      </c>
      <c r="E43" s="343">
        <f t="shared" si="4"/>
        <v>30.713389687734146</v>
      </c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45"/>
    </row>
    <row r="44" spans="1:19" s="248" customFormat="1">
      <c r="A44" s="254" t="s">
        <v>161</v>
      </c>
      <c r="B44" s="299" t="s">
        <v>112</v>
      </c>
      <c r="C44" s="298">
        <f>'Company Price Out Rates Compare'!I182</f>
        <v>39.29</v>
      </c>
      <c r="D44" s="298">
        <f>'Company Price Out Rates Compare'!T182</f>
        <v>0.93785291697885909</v>
      </c>
      <c r="E44" s="343">
        <f t="shared" si="4"/>
        <v>40.227852916978861</v>
      </c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45"/>
    </row>
    <row r="45" spans="1:19" s="248" customFormat="1">
      <c r="A45" s="254" t="s">
        <v>162</v>
      </c>
      <c r="B45" s="299" t="s">
        <v>112</v>
      </c>
      <c r="C45" s="298">
        <f>'Company Price Out Rates Compare'!I195</f>
        <v>55.63</v>
      </c>
      <c r="D45" s="298">
        <f>'Company Price Out Rates Compare'!T195</f>
        <v>1.4067793754682889</v>
      </c>
      <c r="E45" s="343">
        <f t="shared" si="4"/>
        <v>57.036779375468292</v>
      </c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45"/>
    </row>
    <row r="46" spans="1:19" s="248" customFormat="1">
      <c r="A46" s="254" t="s">
        <v>163</v>
      </c>
      <c r="B46" s="299" t="s">
        <v>112</v>
      </c>
      <c r="C46" s="298">
        <f>'Company Price Out Rates Compare'!I206</f>
        <v>74.319999999999993</v>
      </c>
      <c r="D46" s="298">
        <f>'Company Price Out Rates Compare'!T206</f>
        <v>1.8757058339577182</v>
      </c>
      <c r="E46" s="343">
        <f t="shared" si="4"/>
        <v>76.195705833957717</v>
      </c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45"/>
    </row>
    <row r="47" spans="1:19" s="248" customFormat="1">
      <c r="A47" s="254" t="s">
        <v>289</v>
      </c>
      <c r="B47" s="299" t="s">
        <v>112</v>
      </c>
      <c r="C47" s="298">
        <f>'Company Price Out Rates Compare'!I222</f>
        <v>108.22</v>
      </c>
      <c r="D47" s="298">
        <f>'Company Price Out Rates Compare'!T222</f>
        <v>2.8135587509365778</v>
      </c>
      <c r="E47" s="343">
        <f t="shared" si="4"/>
        <v>111.03355875093658</v>
      </c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45"/>
    </row>
    <row r="48" spans="1:19" s="248" customFormat="1">
      <c r="A48" s="254" t="s">
        <v>165</v>
      </c>
      <c r="B48" s="299" t="s">
        <v>112</v>
      </c>
      <c r="C48" s="298">
        <f>'Company Price Out Rates Compare'!I229</f>
        <v>145.4</v>
      </c>
      <c r="D48" s="298">
        <f>'Company Price Out Rates Compare'!T229</f>
        <v>3.7514116679154363</v>
      </c>
      <c r="E48" s="343">
        <f t="shared" si="4"/>
        <v>149.15141166791545</v>
      </c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45"/>
    </row>
    <row r="49" spans="1:19">
      <c r="A49" s="135"/>
      <c r="B49" s="112"/>
      <c r="C49" s="295"/>
      <c r="D49" s="111"/>
      <c r="E49" s="319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45"/>
    </row>
    <row r="50" spans="1:19" s="248" customFormat="1">
      <c r="A50" s="250" t="s">
        <v>279</v>
      </c>
      <c r="B50" s="299" t="s">
        <v>112</v>
      </c>
      <c r="C50" s="315">
        <f>'Company Price Out Rates Compare'!I159</f>
        <v>5.46</v>
      </c>
      <c r="D50" s="298">
        <f>'Company Price Out Rates Compare'!T159</f>
        <v>4.6892645848942961E-2</v>
      </c>
      <c r="E50" s="343">
        <f t="shared" si="4"/>
        <v>5.5068926458489429</v>
      </c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345"/>
    </row>
    <row r="51" spans="1:19" s="248" customFormat="1">
      <c r="A51" s="250" t="s">
        <v>280</v>
      </c>
      <c r="B51" s="299" t="s">
        <v>112</v>
      </c>
      <c r="C51" s="315">
        <f>'Company Price Out Rates Compare'!I161</f>
        <v>5.51</v>
      </c>
      <c r="D51" s="298">
        <f>'Company Price Out Rates Compare'!T161</f>
        <v>7.4090380441329873E-2</v>
      </c>
      <c r="E51" s="343">
        <f t="shared" si="4"/>
        <v>5.5840903804413298</v>
      </c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345"/>
    </row>
    <row r="52" spans="1:19" s="248" customFormat="1">
      <c r="A52" s="254" t="s">
        <v>281</v>
      </c>
      <c r="B52" s="299" t="s">
        <v>112</v>
      </c>
      <c r="C52" s="315">
        <f>'Company Price Out Rates Compare'!I163</f>
        <v>8.09</v>
      </c>
      <c r="D52" s="298">
        <f>'Company Price Out Rates Compare'!T163</f>
        <v>0.14818076088265975</v>
      </c>
      <c r="E52" s="343">
        <f t="shared" si="4"/>
        <v>8.2381807608826598</v>
      </c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345"/>
    </row>
    <row r="53" spans="1:19" s="248" customFormat="1">
      <c r="A53" s="254" t="s">
        <v>282</v>
      </c>
      <c r="B53" s="299" t="s">
        <v>112</v>
      </c>
      <c r="C53" s="315">
        <f>'Company Price Out Rates Compare'!I165</f>
        <v>11.01</v>
      </c>
      <c r="D53" s="298">
        <f>'Company Price Out Rates Compare'!T165</f>
        <v>0.22227114132398959</v>
      </c>
      <c r="E53" s="343">
        <f t="shared" si="4"/>
        <v>11.23227114132399</v>
      </c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345"/>
    </row>
    <row r="54" spans="1:19" s="248" customFormat="1">
      <c r="A54" s="254" t="s">
        <v>284</v>
      </c>
      <c r="B54" s="299" t="s">
        <v>112</v>
      </c>
      <c r="C54" s="315">
        <f>'Company Price Out Rates Compare'!I171</f>
        <v>24.54</v>
      </c>
      <c r="D54" s="298">
        <f>'Company Price Out Rates Compare'!T171</f>
        <v>0.46892645848942954</v>
      </c>
      <c r="E54" s="343">
        <f t="shared" si="4"/>
        <v>25.00892645848943</v>
      </c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345"/>
    </row>
    <row r="55" spans="1:19" s="248" customFormat="1">
      <c r="A55" s="254" t="s">
        <v>285</v>
      </c>
      <c r="B55" s="299" t="s">
        <v>112</v>
      </c>
      <c r="C55" s="315">
        <f>'Company Price Out Rates Compare'!I177</f>
        <v>32.659999999999997</v>
      </c>
      <c r="D55" s="298">
        <f>'Company Price Out Rates Compare'!T177</f>
        <v>0.70338968773414445</v>
      </c>
      <c r="E55" s="343">
        <f t="shared" si="4"/>
        <v>33.363389687734141</v>
      </c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345"/>
    </row>
    <row r="56" spans="1:19" s="248" customFormat="1">
      <c r="A56" s="254" t="s">
        <v>286</v>
      </c>
      <c r="B56" s="299" t="s">
        <v>112</v>
      </c>
      <c r="C56" s="315">
        <f>'Company Price Out Rates Compare'!I188</f>
        <v>43.27</v>
      </c>
      <c r="D56" s="298">
        <f>'Company Price Out Rates Compare'!T188</f>
        <v>0.93785291697885909</v>
      </c>
      <c r="E56" s="343">
        <f t="shared" si="4"/>
        <v>44.207852916978865</v>
      </c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345"/>
    </row>
    <row r="57" spans="1:19" s="248" customFormat="1">
      <c r="A57" s="254" t="s">
        <v>287</v>
      </c>
      <c r="B57" s="299" t="s">
        <v>112</v>
      </c>
      <c r="C57" s="315">
        <f>'Company Price Out Rates Compare'!I199</f>
        <v>60.94</v>
      </c>
      <c r="D57" s="298">
        <f>'Company Price Out Rates Compare'!T199</f>
        <v>1.4067793754682889</v>
      </c>
      <c r="E57" s="343">
        <f t="shared" si="4"/>
        <v>62.346779375468287</v>
      </c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345"/>
    </row>
    <row r="58" spans="1:19" s="248" customFormat="1">
      <c r="A58" s="254" t="s">
        <v>288</v>
      </c>
      <c r="B58" s="299" t="s">
        <v>112</v>
      </c>
      <c r="C58" s="315">
        <f>'Company Price Out Rates Compare'!I211</f>
        <v>79.62</v>
      </c>
      <c r="D58" s="298">
        <f>'Company Price Out Rates Compare'!T211</f>
        <v>1.8757058339577182</v>
      </c>
      <c r="E58" s="343">
        <f t="shared" si="4"/>
        <v>81.495705833957729</v>
      </c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345"/>
    </row>
    <row r="59" spans="1:19" s="248" customFormat="1">
      <c r="A59" s="254" t="s">
        <v>329</v>
      </c>
      <c r="B59" s="299" t="s">
        <v>112</v>
      </c>
      <c r="C59" s="315">
        <f>'Company Price Out Rates Compare'!I226</f>
        <v>116.17</v>
      </c>
      <c r="D59" s="298">
        <f>'Company Price Out Rates Compare'!T226</f>
        <v>2.8135587509365778</v>
      </c>
      <c r="E59" s="343">
        <f t="shared" si="4"/>
        <v>118.98355875093658</v>
      </c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345"/>
    </row>
    <row r="60" spans="1:19" s="248" customFormat="1">
      <c r="A60" s="254" t="s">
        <v>290</v>
      </c>
      <c r="B60" s="299" t="s">
        <v>112</v>
      </c>
      <c r="C60" s="315">
        <f>'Company Price Out Rates Compare'!I235</f>
        <v>156.38</v>
      </c>
      <c r="D60" s="298">
        <f>'Company Price Out Rates Compare'!T235</f>
        <v>3.7514116679154363</v>
      </c>
      <c r="E60" s="343">
        <f t="shared" si="4"/>
        <v>160.13141166791544</v>
      </c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345"/>
    </row>
    <row r="61" spans="1:19" s="255" customFormat="1">
      <c r="A61" s="297"/>
      <c r="B61" s="296"/>
      <c r="C61" s="295"/>
      <c r="D61" s="295"/>
      <c r="E61" s="319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45"/>
    </row>
    <row r="62" spans="1:19" s="248" customFormat="1">
      <c r="A62" s="254" t="s">
        <v>322</v>
      </c>
      <c r="B62" s="299" t="s">
        <v>112</v>
      </c>
      <c r="C62" s="315">
        <f>'Company Price Out Rates Compare'!I172</f>
        <v>24.54</v>
      </c>
      <c r="D62" s="298">
        <f>'Company Price Out Rates Compare'!T172</f>
        <v>0.46892645848942954</v>
      </c>
      <c r="E62" s="343">
        <f t="shared" si="4"/>
        <v>25.00892645848943</v>
      </c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345"/>
    </row>
    <row r="63" spans="1:19" s="248" customFormat="1">
      <c r="A63" s="254" t="s">
        <v>323</v>
      </c>
      <c r="B63" s="299" t="s">
        <v>112</v>
      </c>
      <c r="C63" s="315">
        <f>'Company Price Out Rates Compare'!I178</f>
        <v>32.659999999999997</v>
      </c>
      <c r="D63" s="298">
        <f>'Company Price Out Rates Compare'!T178</f>
        <v>0.70338968773414445</v>
      </c>
      <c r="E63" s="343">
        <f t="shared" si="4"/>
        <v>33.363389687734141</v>
      </c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345"/>
    </row>
    <row r="64" spans="1:19" s="248" customFormat="1">
      <c r="A64" s="254" t="s">
        <v>324</v>
      </c>
      <c r="B64" s="299" t="s">
        <v>112</v>
      </c>
      <c r="C64" s="315">
        <f>'Company Price Out Rates Compare'!I189</f>
        <v>43.27</v>
      </c>
      <c r="D64" s="298">
        <f>'Company Price Out Rates Compare'!T189</f>
        <v>0.93785291697885909</v>
      </c>
      <c r="E64" s="343">
        <f t="shared" si="4"/>
        <v>44.207852916978865</v>
      </c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345"/>
    </row>
    <row r="65" spans="1:19" s="248" customFormat="1">
      <c r="A65" s="254" t="s">
        <v>325</v>
      </c>
      <c r="B65" s="299" t="s">
        <v>112</v>
      </c>
      <c r="C65" s="315">
        <f>'Company Price Out Rates Compare'!I200</f>
        <v>60.94</v>
      </c>
      <c r="D65" s="298">
        <f>'Company Price Out Rates Compare'!T200</f>
        <v>1.4067793754682889</v>
      </c>
      <c r="E65" s="343">
        <f t="shared" si="4"/>
        <v>62.346779375468287</v>
      </c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345"/>
    </row>
    <row r="66" spans="1:19" s="248" customFormat="1">
      <c r="A66" s="254" t="s">
        <v>326</v>
      </c>
      <c r="B66" s="299" t="s">
        <v>112</v>
      </c>
      <c r="C66" s="315">
        <f>'Company Price Out Rates Compare'!I212</f>
        <v>79.62</v>
      </c>
      <c r="D66" s="298">
        <f>'Company Price Out Rates Compare'!T212</f>
        <v>1.8757058339577182</v>
      </c>
      <c r="E66" s="343">
        <f t="shared" si="4"/>
        <v>81.495705833957729</v>
      </c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345"/>
    </row>
    <row r="67" spans="1:19" s="248" customFormat="1">
      <c r="A67" s="254" t="s">
        <v>327</v>
      </c>
      <c r="B67" s="299" t="s">
        <v>112</v>
      </c>
      <c r="C67" s="315">
        <f>'Company Price Out Rates Compare'!I227</f>
        <v>116.17</v>
      </c>
      <c r="D67" s="298">
        <f>'Company Price Out Rates Compare'!T227</f>
        <v>2.8135587509365778</v>
      </c>
      <c r="E67" s="315">
        <f>C67+D67</f>
        <v>118.98355875093658</v>
      </c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345"/>
    </row>
    <row r="68" spans="1:19" s="248" customFormat="1">
      <c r="A68" s="254" t="s">
        <v>328</v>
      </c>
      <c r="B68" s="299" t="s">
        <v>112</v>
      </c>
      <c r="C68" s="315">
        <f>'Company Price Out Rates Compare'!I234</f>
        <v>156.38</v>
      </c>
      <c r="D68" s="298">
        <f>'Company Price Out Rates Compare'!T234</f>
        <v>3.7514116679154363</v>
      </c>
      <c r="E68" s="343">
        <f t="shared" si="4"/>
        <v>160.13141166791544</v>
      </c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345"/>
    </row>
    <row r="69" spans="1:19" s="255" customFormat="1">
      <c r="A69" s="297"/>
      <c r="B69" s="296"/>
      <c r="C69" s="295"/>
      <c r="D69" s="295"/>
      <c r="E69" s="319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45"/>
    </row>
    <row r="70" spans="1:19">
      <c r="A70" s="108" t="s">
        <v>346</v>
      </c>
      <c r="B70" s="112"/>
      <c r="C70" s="295"/>
      <c r="D70" s="111"/>
      <c r="E70" s="319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45"/>
    </row>
    <row r="71" spans="1:19" s="248" customFormat="1">
      <c r="A71" s="299" t="s">
        <v>291</v>
      </c>
      <c r="B71" s="299" t="s">
        <v>112</v>
      </c>
      <c r="C71" s="298">
        <f>'Company Price Out Rates Compare'!I190</f>
        <v>247.79</v>
      </c>
      <c r="D71" s="298">
        <f>'Company Price Out Rates Compare'!T190</f>
        <v>4.92372781413901</v>
      </c>
      <c r="E71" s="343">
        <f t="shared" si="4"/>
        <v>252.71372781413899</v>
      </c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45"/>
    </row>
    <row r="72" spans="1:19" s="248" customFormat="1">
      <c r="A72" s="299" t="s">
        <v>292</v>
      </c>
      <c r="B72" s="299" t="s">
        <v>112</v>
      </c>
      <c r="C72" s="298">
        <f>'Company Price Out Rates Compare'!I201</f>
        <v>307.01</v>
      </c>
      <c r="D72" s="298">
        <f>'Company Price Out Rates Compare'!T201</f>
        <v>6.5649704188520142</v>
      </c>
      <c r="E72" s="343">
        <f t="shared" si="4"/>
        <v>313.57497041885199</v>
      </c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45"/>
    </row>
    <row r="73" spans="1:19" s="248" customFormat="1">
      <c r="A73" s="299" t="s">
        <v>293</v>
      </c>
      <c r="B73" s="299" t="s">
        <v>112</v>
      </c>
      <c r="C73" s="298">
        <f>'Company Price Out Rates Compare'!I213</f>
        <v>351.57</v>
      </c>
      <c r="D73" s="298">
        <f>'Company Price Out Rates Compare'!T213</f>
        <v>8.2062130235650184</v>
      </c>
      <c r="E73" s="343">
        <f t="shared" si="4"/>
        <v>359.77621302356499</v>
      </c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45"/>
    </row>
    <row r="74" spans="1:19" s="248" customFormat="1">
      <c r="A74" s="299" t="s">
        <v>289</v>
      </c>
      <c r="B74" s="299" t="s">
        <v>112</v>
      </c>
      <c r="C74" s="298">
        <f>'Company Price Out Rates Compare'!I217</f>
        <v>416.78</v>
      </c>
      <c r="D74" s="298">
        <f>'Company Price Out Rates Compare'!T217</f>
        <v>9.8474556282780199</v>
      </c>
      <c r="E74" s="343">
        <f t="shared" si="4"/>
        <v>426.62745562827797</v>
      </c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45"/>
    </row>
    <row r="75" spans="1:19" s="342" customFormat="1">
      <c r="A75" s="344"/>
      <c r="B75" s="344"/>
      <c r="C75" s="343"/>
      <c r="D75" s="343"/>
      <c r="E75" s="343">
        <f t="shared" si="4"/>
        <v>0</v>
      </c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21"/>
      <c r="R75" s="321"/>
      <c r="S75" s="345"/>
    </row>
    <row r="76" spans="1:19" s="342" customFormat="1">
      <c r="A76" s="344" t="s">
        <v>287</v>
      </c>
      <c r="B76" s="344" t="s">
        <v>112</v>
      </c>
      <c r="C76" s="315">
        <f>'Company Price Out Rates Compare'!I191</f>
        <v>247.79</v>
      </c>
      <c r="D76" s="343">
        <f>'Company Price Out Rates Compare'!T199</f>
        <v>1.4067793754682889</v>
      </c>
      <c r="E76" s="343">
        <f t="shared" si="4"/>
        <v>249.19677937546828</v>
      </c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345"/>
    </row>
    <row r="77" spans="1:19" s="342" customFormat="1">
      <c r="A77" s="344" t="s">
        <v>288</v>
      </c>
      <c r="B77" s="344" t="s">
        <v>112</v>
      </c>
      <c r="C77" s="315">
        <f>'Company Price Out Rates Compare'!I202</f>
        <v>307.01</v>
      </c>
      <c r="D77" s="343">
        <f>'Company Price Out Rates Compare'!T211</f>
        <v>1.8757058339577182</v>
      </c>
      <c r="E77" s="343">
        <f t="shared" si="4"/>
        <v>308.88570583395773</v>
      </c>
      <c r="F77" s="288"/>
      <c r="G77" s="288"/>
      <c r="H77" s="288"/>
      <c r="I77" s="288"/>
      <c r="J77" s="288"/>
      <c r="K77" s="288"/>
      <c r="L77" s="288"/>
      <c r="M77" s="288"/>
      <c r="N77" s="288"/>
      <c r="O77" s="288"/>
      <c r="P77" s="288"/>
      <c r="Q77" s="288"/>
      <c r="R77" s="288"/>
      <c r="S77" s="345"/>
    </row>
    <row r="78" spans="1:19" s="342" customFormat="1">
      <c r="A78" s="344" t="s">
        <v>333</v>
      </c>
      <c r="B78" s="344" t="s">
        <v>112</v>
      </c>
      <c r="C78" s="315">
        <f>'Company Price Out Rates Compare'!I214</f>
        <v>351.57</v>
      </c>
      <c r="D78" s="343">
        <f>'Company Price Out Rates Compare'!T218</f>
        <v>9.8474556282780199</v>
      </c>
      <c r="E78" s="343">
        <f t="shared" si="4"/>
        <v>361.41745562827799</v>
      </c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345"/>
    </row>
    <row r="79" spans="1:19" s="342" customFormat="1">
      <c r="A79" s="344" t="s">
        <v>334</v>
      </c>
      <c r="B79" s="344" t="s">
        <v>112</v>
      </c>
      <c r="C79" s="315">
        <f>'Company Price Out Rates Compare'!I218</f>
        <v>416.78</v>
      </c>
      <c r="D79" s="343">
        <f>'Company Price Out Rates Compare'!T218</f>
        <v>9.8474556282780199</v>
      </c>
      <c r="E79" s="343">
        <f t="shared" si="4"/>
        <v>426.62745562827797</v>
      </c>
      <c r="F79" s="288"/>
      <c r="G79" s="288"/>
      <c r="H79" s="288"/>
      <c r="I79" s="288"/>
      <c r="J79" s="288"/>
      <c r="K79" s="288"/>
      <c r="L79" s="288"/>
      <c r="M79" s="288"/>
      <c r="N79" s="288"/>
      <c r="O79" s="288"/>
      <c r="P79" s="288"/>
      <c r="Q79" s="288"/>
      <c r="R79" s="288"/>
      <c r="S79" s="345"/>
    </row>
    <row r="80" spans="1:19">
      <c r="A80" s="112"/>
      <c r="B80" s="112"/>
      <c r="C80" s="295"/>
      <c r="D80" s="111"/>
      <c r="E80" s="319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45"/>
    </row>
    <row r="81" spans="1:19">
      <c r="A81" s="108" t="s">
        <v>347</v>
      </c>
      <c r="B81" s="112"/>
      <c r="C81" s="295"/>
      <c r="D81" s="111"/>
      <c r="E81" s="319"/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45"/>
    </row>
    <row r="82" spans="1:19" s="248" customFormat="1">
      <c r="A82" s="299" t="s">
        <v>283</v>
      </c>
      <c r="B82" s="299" t="s">
        <v>112</v>
      </c>
      <c r="C82" s="298">
        <f>'Company Price Out Rates Compare'!I166</f>
        <v>142.94</v>
      </c>
      <c r="D82" s="298">
        <f>'Company Price Out Rates Compare'!T166</f>
        <v>2.3446322924471477</v>
      </c>
      <c r="E82" s="343">
        <f t="shared" si="4"/>
        <v>145.28463229244716</v>
      </c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321"/>
      <c r="R82" s="321"/>
      <c r="S82" s="345"/>
    </row>
    <row r="83" spans="1:19" s="248" customFormat="1">
      <c r="A83" s="299" t="s">
        <v>294</v>
      </c>
      <c r="B83" s="299" t="s">
        <v>112</v>
      </c>
      <c r="C83" s="298">
        <f>'Company Price Out Rates Compare'!I179</f>
        <v>229.19</v>
      </c>
      <c r="D83" s="298">
        <f>'Company Price Out Rates Compare'!T179</f>
        <v>4.6892645848942953</v>
      </c>
      <c r="E83" s="343">
        <f t="shared" si="4"/>
        <v>233.87926458489429</v>
      </c>
      <c r="F83" s="321"/>
      <c r="G83" s="321"/>
      <c r="H83" s="321"/>
      <c r="I83" s="321"/>
      <c r="J83" s="321"/>
      <c r="K83" s="321"/>
      <c r="L83" s="321"/>
      <c r="M83" s="321"/>
      <c r="N83" s="321"/>
      <c r="O83" s="321"/>
      <c r="P83" s="321"/>
      <c r="Q83" s="321"/>
      <c r="R83" s="321"/>
      <c r="S83" s="345"/>
    </row>
    <row r="84" spans="1:19" s="248" customFormat="1">
      <c r="A84" s="299" t="s">
        <v>291</v>
      </c>
      <c r="B84" s="299" t="s">
        <v>112</v>
      </c>
      <c r="C84" s="298">
        <f>'Company Price Out Rates Compare'!I192</f>
        <v>297.93</v>
      </c>
      <c r="D84" s="298">
        <f>'Company Price Out Rates Compare'!T192</f>
        <v>7.0338968773414443</v>
      </c>
      <c r="E84" s="343">
        <f t="shared" si="4"/>
        <v>304.96389687734143</v>
      </c>
      <c r="F84" s="321"/>
      <c r="G84" s="321"/>
      <c r="H84" s="321"/>
      <c r="I84" s="321"/>
      <c r="J84" s="321"/>
      <c r="K84" s="321"/>
      <c r="L84" s="321"/>
      <c r="M84" s="321"/>
      <c r="N84" s="321"/>
      <c r="O84" s="321"/>
      <c r="P84" s="321"/>
      <c r="Q84" s="321"/>
      <c r="R84" s="321"/>
      <c r="S84" s="345"/>
    </row>
    <row r="85" spans="1:19" s="248" customFormat="1">
      <c r="A85" s="299" t="s">
        <v>292</v>
      </c>
      <c r="B85" s="299" t="s">
        <v>112</v>
      </c>
      <c r="C85" s="298">
        <f>'Company Price Out Rates Compare'!I203</f>
        <v>376.02</v>
      </c>
      <c r="D85" s="298">
        <f>'Company Price Out Rates Compare'!T203</f>
        <v>9.3785291697885906</v>
      </c>
      <c r="E85" s="343">
        <f t="shared" si="4"/>
        <v>385.39852916978856</v>
      </c>
      <c r="F85" s="321"/>
      <c r="G85" s="321"/>
      <c r="H85" s="321"/>
      <c r="I85" s="321"/>
      <c r="J85" s="321"/>
      <c r="K85" s="321"/>
      <c r="L85" s="321"/>
      <c r="M85" s="321"/>
      <c r="N85" s="321"/>
      <c r="O85" s="321"/>
      <c r="P85" s="321"/>
      <c r="Q85" s="321"/>
      <c r="R85" s="321"/>
      <c r="S85" s="345"/>
    </row>
    <row r="86" spans="1:19" s="248" customFormat="1">
      <c r="A86" s="299" t="s">
        <v>293</v>
      </c>
      <c r="B86" s="299" t="s">
        <v>112</v>
      </c>
      <c r="C86" s="298">
        <f>'Company Price Out Rates Compare'!I215</f>
        <v>430.44</v>
      </c>
      <c r="D86" s="298">
        <f>'Company Price Out Rates Compare'!T215</f>
        <v>11.723161462235741</v>
      </c>
      <c r="E86" s="343">
        <f t="shared" si="4"/>
        <v>442.16316146223573</v>
      </c>
      <c r="F86" s="321"/>
      <c r="G86" s="321"/>
      <c r="H86" s="321"/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45"/>
    </row>
    <row r="87" spans="1:19" s="248" customFormat="1">
      <c r="A87" s="299" t="s">
        <v>289</v>
      </c>
      <c r="B87" s="299" t="s">
        <v>112</v>
      </c>
      <c r="C87" s="298">
        <f>'Company Price Out Rates Compare'!I219</f>
        <v>495.97</v>
      </c>
      <c r="D87" s="298">
        <f>'Company Price Out Rates Compare'!T219</f>
        <v>14.067793754682889</v>
      </c>
      <c r="E87" s="343">
        <f t="shared" ref="E87:E150" si="5">C87+D87</f>
        <v>510.03779375468292</v>
      </c>
      <c r="F87" s="321"/>
      <c r="G87" s="321"/>
      <c r="H87" s="321"/>
      <c r="I87" s="321"/>
      <c r="J87" s="321"/>
      <c r="K87" s="321"/>
      <c r="L87" s="321"/>
      <c r="M87" s="321"/>
      <c r="N87" s="321"/>
      <c r="O87" s="321"/>
      <c r="P87" s="321"/>
      <c r="Q87" s="321"/>
      <c r="R87" s="321"/>
      <c r="S87" s="345"/>
    </row>
    <row r="88" spans="1:19" s="342" customFormat="1">
      <c r="A88" s="344"/>
      <c r="B88" s="344"/>
      <c r="C88" s="343"/>
      <c r="D88" s="343"/>
      <c r="E88" s="343"/>
      <c r="F88" s="321"/>
      <c r="G88" s="321"/>
      <c r="H88" s="321"/>
      <c r="I88" s="321"/>
      <c r="J88" s="321"/>
      <c r="K88" s="321"/>
      <c r="L88" s="321"/>
      <c r="M88" s="321"/>
      <c r="N88" s="321"/>
      <c r="O88" s="321"/>
      <c r="P88" s="321"/>
      <c r="Q88" s="321"/>
      <c r="R88" s="321"/>
      <c r="S88" s="345"/>
    </row>
    <row r="89" spans="1:19" s="342" customFormat="1">
      <c r="A89" s="344" t="s">
        <v>284</v>
      </c>
      <c r="B89" s="344" t="s">
        <v>112</v>
      </c>
      <c r="C89" s="315">
        <f>'Company Price Out Rates Compare'!I167</f>
        <v>142.94</v>
      </c>
      <c r="D89" s="343">
        <f>'Company Price Out Rates Compare'!T167</f>
        <v>2.3446322924471477</v>
      </c>
      <c r="E89" s="343">
        <f t="shared" si="5"/>
        <v>145.28463229244716</v>
      </c>
      <c r="F89" s="288"/>
      <c r="G89" s="288"/>
      <c r="H89" s="288"/>
      <c r="I89" s="288"/>
      <c r="J89" s="288"/>
      <c r="K89" s="288"/>
      <c r="L89" s="288"/>
      <c r="M89" s="288"/>
      <c r="N89" s="288"/>
      <c r="O89" s="288"/>
      <c r="P89" s="288"/>
      <c r="Q89" s="288"/>
      <c r="R89" s="288"/>
      <c r="S89" s="345"/>
    </row>
    <row r="90" spans="1:19" s="342" customFormat="1">
      <c r="A90" s="344" t="s">
        <v>286</v>
      </c>
      <c r="B90" s="344" t="s">
        <v>112</v>
      </c>
      <c r="C90" s="315">
        <f>'Company Price Out Rates Compare'!I180</f>
        <v>229.19</v>
      </c>
      <c r="D90" s="343">
        <f>'Company Price Out Rates Compare'!T180</f>
        <v>4.6892645848942953</v>
      </c>
      <c r="E90" s="343">
        <f t="shared" si="5"/>
        <v>233.87926458489429</v>
      </c>
      <c r="F90" s="288"/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88"/>
      <c r="R90" s="288"/>
      <c r="S90" s="345"/>
    </row>
    <row r="91" spans="1:19" s="342" customFormat="1">
      <c r="A91" s="344" t="s">
        <v>287</v>
      </c>
      <c r="B91" s="344" t="s">
        <v>112</v>
      </c>
      <c r="C91" s="315">
        <f>'Company Price Out Rates Compare'!I193</f>
        <v>297.93</v>
      </c>
      <c r="D91" s="343">
        <f>'Company Price Out Rates Compare'!T193</f>
        <v>7.0338968773414443</v>
      </c>
      <c r="E91" s="343">
        <f t="shared" si="5"/>
        <v>304.96389687734143</v>
      </c>
      <c r="F91" s="288"/>
      <c r="G91" s="288"/>
      <c r="H91" s="288"/>
      <c r="I91" s="288"/>
      <c r="J91" s="288"/>
      <c r="K91" s="288"/>
      <c r="L91" s="288"/>
      <c r="M91" s="288"/>
      <c r="N91" s="288"/>
      <c r="O91" s="288"/>
      <c r="P91" s="288"/>
      <c r="Q91" s="288"/>
      <c r="R91" s="288"/>
      <c r="S91" s="345"/>
    </row>
    <row r="92" spans="1:19" s="342" customFormat="1">
      <c r="A92" s="344" t="s">
        <v>288</v>
      </c>
      <c r="B92" s="344" t="s">
        <v>112</v>
      </c>
      <c r="C92" s="315">
        <f>'Company Price Out Rates Compare'!I204</f>
        <v>376.02</v>
      </c>
      <c r="D92" s="343">
        <f>'Company Price Out Rates Compare'!T202</f>
        <v>6.5649704188520142</v>
      </c>
      <c r="E92" s="343">
        <f t="shared" si="5"/>
        <v>382.58497041885198</v>
      </c>
      <c r="F92" s="288"/>
      <c r="G92" s="288"/>
      <c r="H92" s="288"/>
      <c r="I92" s="288"/>
      <c r="J92" s="288"/>
      <c r="K92" s="288"/>
      <c r="L92" s="288"/>
      <c r="M92" s="288"/>
      <c r="N92" s="288"/>
      <c r="O92" s="288"/>
      <c r="P92" s="288"/>
      <c r="Q92" s="288"/>
      <c r="R92" s="288"/>
      <c r="S92" s="345"/>
    </row>
    <row r="93" spans="1:19" s="342" customFormat="1">
      <c r="A93" s="344" t="s">
        <v>333</v>
      </c>
      <c r="B93" s="344" t="s">
        <v>112</v>
      </c>
      <c r="C93" s="315">
        <f>'Company Price Out Rates Compare'!I216</f>
        <v>430.44</v>
      </c>
      <c r="D93" s="343">
        <f>'Company Price Out Rates Compare'!T214</f>
        <v>8.2062130235650184</v>
      </c>
      <c r="E93" s="343">
        <f t="shared" si="5"/>
        <v>438.646213023565</v>
      </c>
      <c r="F93" s="288"/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88"/>
      <c r="R93" s="288"/>
      <c r="S93" s="345"/>
    </row>
    <row r="94" spans="1:19" s="342" customFormat="1">
      <c r="A94" s="344" t="s">
        <v>334</v>
      </c>
      <c r="B94" s="344" t="s">
        <v>112</v>
      </c>
      <c r="C94" s="315">
        <f>'Company Price Out Rates Compare'!I220</f>
        <v>495.97</v>
      </c>
      <c r="D94" s="343">
        <f>'Company Price Out Rates Compare'!T218</f>
        <v>9.8474556282780199</v>
      </c>
      <c r="E94" s="343">
        <f t="shared" si="5"/>
        <v>505.81745562827803</v>
      </c>
      <c r="F94" s="288"/>
      <c r="G94" s="288"/>
      <c r="H94" s="288"/>
      <c r="I94" s="288"/>
      <c r="J94" s="288"/>
      <c r="K94" s="288"/>
      <c r="L94" s="288"/>
      <c r="M94" s="288"/>
      <c r="N94" s="288"/>
      <c r="O94" s="288"/>
      <c r="P94" s="288"/>
      <c r="Q94" s="288"/>
      <c r="R94" s="288"/>
      <c r="S94" s="345"/>
    </row>
    <row r="95" spans="1:19">
      <c r="A95" s="112"/>
      <c r="B95" s="112"/>
      <c r="C95" s="295"/>
      <c r="D95" s="111"/>
      <c r="E95" s="319"/>
      <c r="F95" s="321"/>
      <c r="G95" s="321"/>
      <c r="H95" s="321"/>
      <c r="I95" s="321"/>
      <c r="J95" s="321"/>
      <c r="K95" s="321"/>
      <c r="L95" s="321"/>
      <c r="M95" s="321"/>
      <c r="N95" s="321"/>
      <c r="O95" s="321"/>
      <c r="P95" s="321"/>
      <c r="Q95" s="321"/>
      <c r="R95" s="321"/>
      <c r="S95" s="345"/>
    </row>
    <row r="96" spans="1:19">
      <c r="A96" s="108" t="s">
        <v>295</v>
      </c>
      <c r="B96" s="112"/>
      <c r="C96" s="295"/>
      <c r="D96" s="111"/>
      <c r="E96" s="319"/>
      <c r="F96" s="321"/>
      <c r="G96" s="321"/>
      <c r="H96" s="321"/>
      <c r="I96" s="321"/>
      <c r="J96" s="321"/>
      <c r="K96" s="321"/>
      <c r="L96" s="321"/>
      <c r="M96" s="321"/>
      <c r="N96" s="321"/>
      <c r="O96" s="321"/>
      <c r="P96" s="321"/>
      <c r="Q96" s="321"/>
      <c r="R96" s="321"/>
      <c r="S96" s="345"/>
    </row>
    <row r="97" spans="1:19" s="248" customFormat="1">
      <c r="A97" s="299" t="s">
        <v>296</v>
      </c>
      <c r="B97" s="299" t="s">
        <v>297</v>
      </c>
      <c r="C97" s="315">
        <f>'Company Price Out Rates Compare'!I140</f>
        <v>14.88</v>
      </c>
      <c r="D97" s="298">
        <v>0.24470990615251673</v>
      </c>
      <c r="E97" s="343">
        <f t="shared" si="5"/>
        <v>15.124709906152518</v>
      </c>
      <c r="F97" s="288"/>
      <c r="G97" s="288"/>
      <c r="H97" s="288"/>
      <c r="I97" s="288"/>
      <c r="J97" s="288"/>
      <c r="K97" s="288"/>
      <c r="L97" s="288"/>
      <c r="M97" s="288"/>
      <c r="N97" s="288"/>
      <c r="O97" s="288"/>
      <c r="P97" s="288"/>
      <c r="Q97" s="288"/>
      <c r="R97" s="288"/>
      <c r="S97" s="345"/>
    </row>
    <row r="98" spans="1:19" s="248" customFormat="1">
      <c r="A98" s="299" t="s">
        <v>298</v>
      </c>
      <c r="B98" s="299" t="s">
        <v>297</v>
      </c>
      <c r="C98" s="315">
        <f>'Company Price Out Rates Compare'!I141</f>
        <v>14.88</v>
      </c>
      <c r="D98" s="298">
        <v>0.24470990615251673</v>
      </c>
      <c r="E98" s="343">
        <f t="shared" si="5"/>
        <v>15.124709906152518</v>
      </c>
      <c r="F98" s="288"/>
      <c r="G98" s="288"/>
      <c r="H98" s="288"/>
      <c r="I98" s="288"/>
      <c r="J98" s="288"/>
      <c r="K98" s="288"/>
      <c r="L98" s="288"/>
      <c r="M98" s="288"/>
      <c r="N98" s="288"/>
      <c r="O98" s="288"/>
      <c r="P98" s="288"/>
      <c r="Q98" s="288"/>
      <c r="R98" s="288"/>
      <c r="S98" s="345"/>
    </row>
    <row r="99" spans="1:19">
      <c r="A99" s="112"/>
      <c r="B99" s="112"/>
      <c r="C99" s="295"/>
      <c r="D99" s="111"/>
      <c r="E99" s="319"/>
      <c r="F99" s="321"/>
      <c r="G99" s="321"/>
      <c r="H99" s="321"/>
      <c r="I99" s="321"/>
      <c r="J99" s="321"/>
      <c r="K99" s="321"/>
      <c r="L99" s="321"/>
      <c r="M99" s="321"/>
      <c r="N99" s="321"/>
      <c r="O99" s="321"/>
      <c r="P99" s="321"/>
      <c r="Q99" s="321"/>
      <c r="R99" s="321"/>
      <c r="S99" s="345"/>
    </row>
    <row r="100" spans="1:19">
      <c r="A100" s="108" t="s">
        <v>348</v>
      </c>
      <c r="B100" s="112"/>
      <c r="C100" s="295"/>
      <c r="D100" s="111"/>
      <c r="E100" s="319"/>
      <c r="F100" s="321"/>
      <c r="G100" s="321"/>
      <c r="H100" s="321"/>
      <c r="I100" s="321"/>
      <c r="J100" s="321"/>
      <c r="K100" s="321"/>
      <c r="L100" s="321"/>
      <c r="M100" s="321"/>
      <c r="N100" s="321"/>
      <c r="O100" s="321"/>
      <c r="P100" s="321"/>
      <c r="Q100" s="321"/>
      <c r="R100" s="321"/>
      <c r="S100" s="345"/>
    </row>
    <row r="101" spans="1:19">
      <c r="A101" s="290" t="s">
        <v>278</v>
      </c>
      <c r="B101" s="296" t="s">
        <v>112</v>
      </c>
      <c r="C101" s="288">
        <f>'Company Price Out Rates Compare'!I64</f>
        <v>4.53</v>
      </c>
      <c r="D101" s="295">
        <f>'Company Price Out Rates Compare'!T64</f>
        <v>7.4090380441329873E-2</v>
      </c>
      <c r="E101" s="319">
        <f t="shared" si="5"/>
        <v>4.6040903804413302</v>
      </c>
      <c r="F101" s="288"/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345"/>
    </row>
    <row r="102" spans="1:19">
      <c r="A102" s="135" t="s">
        <v>157</v>
      </c>
      <c r="B102" s="112" t="s">
        <v>112</v>
      </c>
      <c r="C102" s="288">
        <f>'Company Price Out Rates Compare'!I68</f>
        <v>6.69</v>
      </c>
      <c r="D102" s="111">
        <f>'Company Price Out Rates Compare'!T68</f>
        <v>0.14818076088265975</v>
      </c>
      <c r="E102" s="319">
        <f t="shared" si="5"/>
        <v>6.8381807608826604</v>
      </c>
      <c r="F102" s="288"/>
      <c r="G102" s="288"/>
      <c r="H102" s="288"/>
      <c r="I102" s="288"/>
      <c r="J102" s="288"/>
      <c r="K102" s="288"/>
      <c r="L102" s="288"/>
      <c r="M102" s="288"/>
      <c r="N102" s="288"/>
      <c r="O102" s="288"/>
      <c r="P102" s="288"/>
      <c r="Q102" s="288"/>
      <c r="R102" s="288"/>
      <c r="S102" s="345"/>
    </row>
    <row r="103" spans="1:19">
      <c r="A103" s="135" t="s">
        <v>158</v>
      </c>
      <c r="B103" s="112" t="s">
        <v>112</v>
      </c>
      <c r="C103" s="288">
        <f>'Company Price Out Rates Compare'!I72</f>
        <v>9.18</v>
      </c>
      <c r="D103" s="111">
        <f>'Company Price Out Rates Compare'!T72</f>
        <v>0.22227114132398959</v>
      </c>
      <c r="E103" s="319">
        <f t="shared" si="5"/>
        <v>9.4022711413239897</v>
      </c>
      <c r="F103" s="288"/>
      <c r="G103" s="288"/>
      <c r="H103" s="288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345"/>
    </row>
    <row r="104" spans="1:19">
      <c r="A104" s="135" t="s">
        <v>159</v>
      </c>
      <c r="B104" s="112" t="s">
        <v>112</v>
      </c>
      <c r="C104" s="288">
        <f>'Company Price Out Rates Compare'!I78</f>
        <v>19.32</v>
      </c>
      <c r="D104" s="111">
        <f>'Company Price Out Rates Compare'!T78</f>
        <v>0.46892645848942954</v>
      </c>
      <c r="E104" s="319">
        <f t="shared" si="5"/>
        <v>19.788926458489431</v>
      </c>
      <c r="F104" s="288"/>
      <c r="G104" s="288"/>
      <c r="H104" s="288"/>
      <c r="I104" s="288"/>
      <c r="J104" s="288"/>
      <c r="K104" s="288"/>
      <c r="L104" s="288"/>
      <c r="M104" s="288"/>
      <c r="N104" s="288"/>
      <c r="O104" s="288"/>
      <c r="P104" s="288"/>
      <c r="Q104" s="288"/>
      <c r="R104" s="288"/>
      <c r="S104" s="345"/>
    </row>
    <row r="105" spans="1:19">
      <c r="A105" s="135" t="s">
        <v>160</v>
      </c>
      <c r="B105" s="112" t="s">
        <v>112</v>
      </c>
      <c r="C105" s="288">
        <f>'Company Price Out Rates Compare'!I83</f>
        <v>26.05</v>
      </c>
      <c r="D105" s="111">
        <f>'Company Price Out Rates Compare'!T83</f>
        <v>0.70338968773414445</v>
      </c>
      <c r="E105" s="319">
        <f t="shared" si="5"/>
        <v>26.753389687734145</v>
      </c>
      <c r="F105" s="288"/>
      <c r="G105" s="288"/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345"/>
    </row>
    <row r="106" spans="1:19">
      <c r="A106" s="135" t="s">
        <v>161</v>
      </c>
      <c r="B106" s="112" t="s">
        <v>112</v>
      </c>
      <c r="C106" s="288">
        <f>'Company Price Out Rates Compare'!I90</f>
        <v>34.01</v>
      </c>
      <c r="D106" s="111">
        <f>'Company Price Out Rates Compare'!T90</f>
        <v>0.93785291697885909</v>
      </c>
      <c r="E106" s="319">
        <f t="shared" si="5"/>
        <v>34.94785291697886</v>
      </c>
      <c r="F106" s="288"/>
      <c r="G106" s="288"/>
      <c r="H106" s="288"/>
      <c r="I106" s="288"/>
      <c r="J106" s="288"/>
      <c r="K106" s="288"/>
      <c r="L106" s="288"/>
      <c r="M106" s="288"/>
      <c r="N106" s="288"/>
      <c r="O106" s="288"/>
      <c r="P106" s="288"/>
      <c r="Q106" s="288"/>
      <c r="R106" s="288"/>
      <c r="S106" s="345"/>
    </row>
    <row r="107" spans="1:19">
      <c r="A107" s="135" t="s">
        <v>162</v>
      </c>
      <c r="B107" s="112" t="s">
        <v>112</v>
      </c>
      <c r="C107" s="288">
        <f>'Company Price Out Rates Compare'!I102</f>
        <v>47.71</v>
      </c>
      <c r="D107" s="111">
        <f>'Company Price Out Rates Compare'!T102</f>
        <v>1.4067793754682889</v>
      </c>
      <c r="E107" s="319">
        <f t="shared" si="5"/>
        <v>49.11677937546829</v>
      </c>
      <c r="F107" s="288"/>
      <c r="G107" s="288"/>
      <c r="H107" s="288"/>
      <c r="I107" s="288"/>
      <c r="J107" s="288"/>
      <c r="K107" s="288"/>
      <c r="L107" s="288"/>
      <c r="M107" s="288"/>
      <c r="N107" s="288"/>
      <c r="O107" s="288"/>
      <c r="P107" s="288"/>
      <c r="Q107" s="288"/>
      <c r="R107" s="288"/>
      <c r="S107" s="345"/>
    </row>
    <row r="108" spans="1:19">
      <c r="A108" s="135" t="s">
        <v>163</v>
      </c>
      <c r="B108" s="112" t="s">
        <v>112</v>
      </c>
      <c r="C108" s="288">
        <f>'Company Price Out Rates Compare'!I111</f>
        <v>69.05</v>
      </c>
      <c r="D108" s="111">
        <f>'Company Price Out Rates Compare'!T112</f>
        <v>1.8757058339577182</v>
      </c>
      <c r="E108" s="319">
        <f t="shared" si="5"/>
        <v>70.925705833957721</v>
      </c>
      <c r="F108" s="288"/>
      <c r="G108" s="288"/>
      <c r="H108" s="288"/>
      <c r="I108" s="288"/>
      <c r="J108" s="288"/>
      <c r="K108" s="288"/>
      <c r="L108" s="288"/>
      <c r="M108" s="288"/>
      <c r="N108" s="288"/>
      <c r="O108" s="288"/>
      <c r="P108" s="288"/>
      <c r="Q108" s="288"/>
      <c r="R108" s="288"/>
      <c r="S108" s="345"/>
    </row>
    <row r="109" spans="1:19">
      <c r="A109" s="135" t="s">
        <v>164</v>
      </c>
      <c r="B109" s="112" t="s">
        <v>112</v>
      </c>
      <c r="C109" s="288">
        <f>'Company Price Out Rates Compare'!I127</f>
        <v>92.38</v>
      </c>
      <c r="D109" s="111">
        <f>'Company Price Out Rates Compare'!T127</f>
        <v>2.8135587509365778</v>
      </c>
      <c r="E109" s="319">
        <f t="shared" si="5"/>
        <v>95.193558750936575</v>
      </c>
      <c r="F109" s="288"/>
      <c r="G109" s="288"/>
      <c r="H109" s="288"/>
      <c r="I109" s="288"/>
      <c r="J109" s="288"/>
      <c r="K109" s="288"/>
      <c r="L109" s="288"/>
      <c r="M109" s="288"/>
      <c r="N109" s="288"/>
      <c r="O109" s="288"/>
      <c r="P109" s="288"/>
      <c r="Q109" s="288"/>
      <c r="R109" s="288"/>
      <c r="S109" s="345"/>
    </row>
    <row r="110" spans="1:19">
      <c r="A110" s="135" t="s">
        <v>165</v>
      </c>
      <c r="B110" s="112" t="s">
        <v>112</v>
      </c>
      <c r="C110" s="288">
        <f>'Company Price Out Rates Compare'!I133</f>
        <v>124.27</v>
      </c>
      <c r="D110" s="111">
        <f>'Company Price Out Rates Compare'!T133</f>
        <v>3.7514116679154363</v>
      </c>
      <c r="E110" s="319">
        <f t="shared" si="5"/>
        <v>128.02141166791543</v>
      </c>
      <c r="F110" s="288"/>
      <c r="G110" s="288"/>
      <c r="H110" s="288"/>
      <c r="I110" s="288"/>
      <c r="J110" s="288"/>
      <c r="K110" s="288"/>
      <c r="L110" s="288"/>
      <c r="M110" s="288"/>
      <c r="N110" s="288"/>
      <c r="O110" s="288"/>
      <c r="P110" s="288"/>
      <c r="Q110" s="288"/>
      <c r="R110" s="288"/>
      <c r="S110" s="345"/>
    </row>
    <row r="111" spans="1:19" s="248" customFormat="1">
      <c r="A111" s="254" t="s">
        <v>305</v>
      </c>
      <c r="B111" s="299" t="s">
        <v>112</v>
      </c>
      <c r="C111" s="315">
        <f>'Company Price Out Rates Compare'!I65</f>
        <v>5.1100000000000003</v>
      </c>
      <c r="D111" s="298">
        <f>'Company Price Out Rates Compare'!T65</f>
        <v>7.4090380441329873E-2</v>
      </c>
      <c r="E111" s="343">
        <f t="shared" si="5"/>
        <v>5.1840903804413303</v>
      </c>
      <c r="F111" s="288"/>
      <c r="G111" s="288"/>
      <c r="H111" s="288"/>
      <c r="I111" s="288"/>
      <c r="J111" s="288"/>
      <c r="K111" s="288"/>
      <c r="L111" s="288"/>
      <c r="M111" s="288"/>
      <c r="N111" s="288"/>
      <c r="O111" s="288"/>
      <c r="P111" s="288"/>
      <c r="Q111" s="288"/>
      <c r="R111" s="288"/>
      <c r="S111" s="345"/>
    </row>
    <row r="112" spans="1:19" s="248" customFormat="1">
      <c r="A112" s="254" t="s">
        <v>306</v>
      </c>
      <c r="B112" s="299" t="s">
        <v>112</v>
      </c>
      <c r="C112" s="315">
        <f>'Company Price Out Rates Compare'!I69</f>
        <v>7.24</v>
      </c>
      <c r="D112" s="298">
        <f>'Company Price Out Rates Compare'!T71</f>
        <v>7.4090380441329873E-2</v>
      </c>
      <c r="E112" s="343">
        <f t="shared" si="5"/>
        <v>7.3140903804413302</v>
      </c>
      <c r="F112" s="288"/>
      <c r="G112" s="288"/>
      <c r="H112" s="288"/>
      <c r="I112" s="288"/>
      <c r="J112" s="288"/>
      <c r="K112" s="288"/>
      <c r="L112" s="288"/>
      <c r="M112" s="288"/>
      <c r="N112" s="288"/>
      <c r="O112" s="288"/>
      <c r="P112" s="288"/>
      <c r="Q112" s="288"/>
      <c r="R112" s="288"/>
      <c r="S112" s="345"/>
    </row>
    <row r="113" spans="1:19" s="248" customFormat="1">
      <c r="A113" s="254" t="s">
        <v>307</v>
      </c>
      <c r="B113" s="299" t="s">
        <v>112</v>
      </c>
      <c r="C113" s="315">
        <f>'Company Price Out Rates Compare'!I73</f>
        <v>9.74</v>
      </c>
      <c r="D113" s="298">
        <f>'Company Price Out Rates Compare'!T75</f>
        <v>7.4090380441329873E-2</v>
      </c>
      <c r="E113" s="343">
        <f t="shared" si="5"/>
        <v>9.8140903804413302</v>
      </c>
      <c r="F113" s="288"/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345"/>
    </row>
    <row r="114" spans="1:19" s="248" customFormat="1">
      <c r="A114" s="254" t="s">
        <v>299</v>
      </c>
      <c r="B114" s="299" t="s">
        <v>112</v>
      </c>
      <c r="C114" s="315">
        <f>'Company Price Out Rates Compare'!I80</f>
        <v>21.9</v>
      </c>
      <c r="D114" s="298">
        <f>'Company Price Out Rates Compare'!T80</f>
        <v>0.46892645848942954</v>
      </c>
      <c r="E114" s="343">
        <f t="shared" si="5"/>
        <v>22.36892645848943</v>
      </c>
      <c r="F114" s="288"/>
      <c r="G114" s="288"/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345"/>
    </row>
    <row r="115" spans="1:19" s="248" customFormat="1">
      <c r="A115" s="254" t="s">
        <v>300</v>
      </c>
      <c r="B115" s="299" t="s">
        <v>112</v>
      </c>
      <c r="C115" s="315">
        <f>'Company Price Out Rates Compare'!I86</f>
        <v>28.7</v>
      </c>
      <c r="D115" s="298">
        <f>'Company Price Out Rates Compare'!T86</f>
        <v>0.70338968773414445</v>
      </c>
      <c r="E115" s="343">
        <f t="shared" si="5"/>
        <v>29.403389687734144</v>
      </c>
      <c r="F115" s="288"/>
      <c r="G115" s="288"/>
      <c r="H115" s="288"/>
      <c r="I115" s="288"/>
      <c r="J115" s="288"/>
      <c r="K115" s="288"/>
      <c r="L115" s="288"/>
      <c r="M115" s="288"/>
      <c r="N115" s="288"/>
      <c r="O115" s="288"/>
      <c r="P115" s="288"/>
      <c r="Q115" s="288"/>
      <c r="R115" s="288"/>
      <c r="S115" s="345"/>
    </row>
    <row r="116" spans="1:19" s="248" customFormat="1">
      <c r="A116" s="254" t="s">
        <v>301</v>
      </c>
      <c r="B116" s="299" t="s">
        <v>112</v>
      </c>
      <c r="C116" s="315">
        <f>'Company Price Out Rates Compare'!I96</f>
        <v>37.99</v>
      </c>
      <c r="D116" s="298">
        <f>'Company Price Out Rates Compare'!T96</f>
        <v>0.93785291697885909</v>
      </c>
      <c r="E116" s="343">
        <f t="shared" si="5"/>
        <v>38.927852916978864</v>
      </c>
      <c r="F116" s="288"/>
      <c r="G116" s="288"/>
      <c r="H116" s="288"/>
      <c r="I116" s="288"/>
      <c r="J116" s="288"/>
      <c r="K116" s="288"/>
      <c r="L116" s="288"/>
      <c r="M116" s="288"/>
      <c r="N116" s="288"/>
      <c r="O116" s="288"/>
      <c r="P116" s="288"/>
      <c r="Q116" s="288"/>
      <c r="R116" s="288"/>
      <c r="S116" s="345"/>
    </row>
    <row r="117" spans="1:19" s="248" customFormat="1">
      <c r="A117" s="299" t="s">
        <v>171</v>
      </c>
      <c r="B117" s="299" t="s">
        <v>112</v>
      </c>
      <c r="C117" s="315">
        <f>'Company Price Out Rates Compare'!I106</f>
        <v>53.02</v>
      </c>
      <c r="D117" s="298">
        <f>'Company Price Out Rates Compare'!T106</f>
        <v>1.4067793754682889</v>
      </c>
      <c r="E117" s="343">
        <f t="shared" si="5"/>
        <v>54.426779375468293</v>
      </c>
      <c r="F117" s="288"/>
      <c r="G117" s="288"/>
      <c r="H117" s="288"/>
      <c r="I117" s="288"/>
      <c r="J117" s="288"/>
      <c r="K117" s="288"/>
      <c r="L117" s="288"/>
      <c r="M117" s="288"/>
      <c r="N117" s="288"/>
      <c r="O117" s="288"/>
      <c r="P117" s="288"/>
      <c r="Q117" s="288"/>
      <c r="R117" s="288"/>
      <c r="S117" s="345"/>
    </row>
    <row r="118" spans="1:19" s="248" customFormat="1">
      <c r="A118" s="299" t="s">
        <v>302</v>
      </c>
      <c r="B118" s="299" t="s">
        <v>112</v>
      </c>
      <c r="C118" s="315">
        <f>'Company Price Out Rates Compare'!I111</f>
        <v>69.05</v>
      </c>
      <c r="D118" s="298">
        <f>'Company Price Out Rates Compare'!T117</f>
        <v>1.8757058339577182</v>
      </c>
      <c r="E118" s="343">
        <f t="shared" si="5"/>
        <v>70.925705833957721</v>
      </c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  <c r="R118" s="288"/>
      <c r="S118" s="345"/>
    </row>
    <row r="119" spans="1:19" s="248" customFormat="1">
      <c r="A119" s="299" t="s">
        <v>303</v>
      </c>
      <c r="B119" s="299" t="s">
        <v>112</v>
      </c>
      <c r="C119" s="315">
        <f>'Company Price Out Rates Compare'!I131</f>
        <v>100.32</v>
      </c>
      <c r="D119" s="298">
        <f>'Company Price Out Rates Compare'!T131</f>
        <v>2.8135587509365778</v>
      </c>
      <c r="E119" s="343">
        <f t="shared" si="5"/>
        <v>103.13355875093657</v>
      </c>
      <c r="F119" s="288"/>
      <c r="G119" s="288"/>
      <c r="H119" s="288"/>
      <c r="I119" s="288"/>
      <c r="J119" s="288"/>
      <c r="K119" s="288"/>
      <c r="L119" s="288"/>
      <c r="M119" s="288"/>
      <c r="N119" s="288"/>
      <c r="O119" s="288"/>
      <c r="P119" s="288"/>
      <c r="Q119" s="288"/>
      <c r="R119" s="288"/>
      <c r="S119" s="345"/>
    </row>
    <row r="120" spans="1:19" s="248" customFormat="1">
      <c r="A120" s="299" t="s">
        <v>172</v>
      </c>
      <c r="B120" s="299" t="s">
        <v>112</v>
      </c>
      <c r="C120" s="315">
        <f>'Company Price Out Rates Compare'!I138</f>
        <v>135.26</v>
      </c>
      <c r="D120" s="298">
        <f>'Company Price Out Rates Compare'!T138</f>
        <v>3.7514116679154363</v>
      </c>
      <c r="E120" s="343">
        <f t="shared" si="5"/>
        <v>139.01141166791544</v>
      </c>
      <c r="F120" s="288"/>
      <c r="G120" s="288"/>
      <c r="H120" s="288"/>
      <c r="I120" s="288"/>
      <c r="J120" s="288"/>
      <c r="K120" s="288"/>
      <c r="L120" s="288"/>
      <c r="M120" s="288"/>
      <c r="N120" s="288"/>
      <c r="O120" s="288"/>
      <c r="P120" s="288"/>
      <c r="Q120" s="288"/>
      <c r="R120" s="288"/>
      <c r="S120" s="345"/>
    </row>
    <row r="121" spans="1:19" s="248" customFormat="1">
      <c r="A121" s="299"/>
      <c r="B121" s="299"/>
      <c r="C121" s="298"/>
      <c r="D121" s="298"/>
      <c r="E121" s="343"/>
      <c r="F121" s="321"/>
      <c r="G121" s="321"/>
      <c r="H121" s="321"/>
      <c r="I121" s="321"/>
      <c r="J121" s="321"/>
      <c r="K121" s="321"/>
      <c r="L121" s="321"/>
      <c r="M121" s="321"/>
      <c r="N121" s="321"/>
      <c r="O121" s="321"/>
      <c r="P121" s="321"/>
      <c r="Q121" s="321"/>
      <c r="R121" s="321"/>
      <c r="S121" s="345"/>
    </row>
    <row r="122" spans="1:19" s="248" customFormat="1">
      <c r="A122" s="299" t="s">
        <v>330</v>
      </c>
      <c r="B122" s="299"/>
      <c r="C122" s="315">
        <f>'Company Price Out Rates Compare'!I139</f>
        <v>14.58</v>
      </c>
      <c r="D122" s="298">
        <f>'Company Price Out Rates Compare'!T139</f>
        <v>0.46892645848942954</v>
      </c>
      <c r="E122" s="343">
        <f t="shared" si="5"/>
        <v>15.048926458489429</v>
      </c>
      <c r="F122" s="288"/>
      <c r="G122" s="288"/>
      <c r="H122" s="288"/>
      <c r="I122" s="288"/>
      <c r="J122" s="288"/>
      <c r="K122" s="288"/>
      <c r="L122" s="288"/>
      <c r="M122" s="288"/>
      <c r="N122" s="288"/>
      <c r="O122" s="288"/>
      <c r="P122" s="288"/>
      <c r="Q122" s="288"/>
      <c r="R122" s="288"/>
      <c r="S122" s="345"/>
    </row>
    <row r="123" spans="1:19" s="255" customFormat="1">
      <c r="A123" s="296"/>
      <c r="B123" s="296"/>
      <c r="C123" s="295"/>
      <c r="D123" s="295"/>
      <c r="E123" s="319"/>
      <c r="F123" s="321"/>
      <c r="G123" s="321"/>
      <c r="H123" s="321"/>
      <c r="I123" s="321"/>
      <c r="J123" s="321"/>
      <c r="K123" s="321"/>
      <c r="L123" s="321"/>
      <c r="M123" s="321"/>
      <c r="N123" s="321"/>
      <c r="O123" s="321"/>
      <c r="P123" s="321"/>
      <c r="Q123" s="321"/>
      <c r="R123" s="321"/>
      <c r="S123" s="345"/>
    </row>
    <row r="124" spans="1:19">
      <c r="A124" s="108" t="s">
        <v>349</v>
      </c>
      <c r="B124" s="112"/>
      <c r="C124" s="295"/>
      <c r="D124" s="111"/>
      <c r="E124" s="319"/>
      <c r="F124" s="321"/>
      <c r="G124" s="321"/>
      <c r="H124" s="321"/>
      <c r="I124" s="321"/>
      <c r="J124" s="321"/>
      <c r="K124" s="321"/>
      <c r="L124" s="321"/>
      <c r="M124" s="321"/>
      <c r="N124" s="321"/>
      <c r="O124" s="321"/>
      <c r="P124" s="321"/>
      <c r="Q124" s="321"/>
      <c r="R124" s="321"/>
      <c r="S124" s="345"/>
    </row>
    <row r="125" spans="1:19" s="248" customFormat="1">
      <c r="A125" s="299" t="s">
        <v>156</v>
      </c>
      <c r="B125" s="299" t="s">
        <v>112</v>
      </c>
      <c r="C125" s="315">
        <f>'Company Price Out Rates Compare'!I66</f>
        <v>4.53</v>
      </c>
      <c r="D125" s="298">
        <f>'Company Price Out Rates Compare'!T64</f>
        <v>7.4090380441329873E-2</v>
      </c>
      <c r="E125" s="343">
        <f t="shared" si="5"/>
        <v>4.6040903804413302</v>
      </c>
      <c r="F125" s="288"/>
      <c r="G125" s="288"/>
      <c r="H125" s="288"/>
      <c r="I125" s="288"/>
      <c r="J125" s="288"/>
      <c r="K125" s="288"/>
      <c r="L125" s="288"/>
      <c r="M125" s="288"/>
      <c r="N125" s="288"/>
      <c r="O125" s="288"/>
      <c r="P125" s="288"/>
      <c r="Q125" s="288"/>
      <c r="R125" s="288"/>
      <c r="S125" s="345"/>
    </row>
    <row r="126" spans="1:19" s="248" customFormat="1">
      <c r="A126" s="299" t="s">
        <v>157</v>
      </c>
      <c r="B126" s="299" t="s">
        <v>112</v>
      </c>
      <c r="C126" s="315">
        <f>'Company Price Out Rates Compare'!I70</f>
        <v>6.69</v>
      </c>
      <c r="D126" s="298">
        <f>'Company Price Out Rates Compare'!T68</f>
        <v>0.14818076088265975</v>
      </c>
      <c r="E126" s="343">
        <f t="shared" si="5"/>
        <v>6.8381807608826604</v>
      </c>
      <c r="F126" s="288"/>
      <c r="G126" s="288"/>
      <c r="H126" s="288"/>
      <c r="I126" s="288"/>
      <c r="J126" s="288"/>
      <c r="K126" s="288"/>
      <c r="L126" s="288"/>
      <c r="M126" s="288"/>
      <c r="N126" s="288"/>
      <c r="O126" s="288"/>
      <c r="P126" s="288"/>
      <c r="Q126" s="288"/>
      <c r="R126" s="288"/>
      <c r="S126" s="345"/>
    </row>
    <row r="127" spans="1:19" s="248" customFormat="1">
      <c r="A127" s="299" t="s">
        <v>158</v>
      </c>
      <c r="B127" s="299" t="s">
        <v>112</v>
      </c>
      <c r="C127" s="315">
        <f>'Company Price Out Rates Compare'!I74</f>
        <v>9.18</v>
      </c>
      <c r="D127" s="298">
        <f>'Company Price Out Rates Compare'!T72</f>
        <v>0.22227114132398959</v>
      </c>
      <c r="E127" s="343">
        <f t="shared" si="5"/>
        <v>9.4022711413239897</v>
      </c>
      <c r="F127" s="288"/>
      <c r="G127" s="288"/>
      <c r="H127" s="288"/>
      <c r="I127" s="288"/>
      <c r="J127" s="288"/>
      <c r="K127" s="288"/>
      <c r="L127" s="288"/>
      <c r="M127" s="288"/>
      <c r="N127" s="288"/>
      <c r="O127" s="288"/>
      <c r="P127" s="288"/>
      <c r="Q127" s="288"/>
      <c r="R127" s="288"/>
      <c r="S127" s="345"/>
    </row>
    <row r="128" spans="1:19">
      <c r="A128" s="117"/>
      <c r="B128" s="117"/>
      <c r="C128" s="295"/>
      <c r="D128" s="116"/>
      <c r="E128" s="319"/>
      <c r="F128" s="321"/>
      <c r="G128" s="321"/>
      <c r="H128" s="321"/>
      <c r="I128" s="321"/>
      <c r="J128" s="321"/>
      <c r="K128" s="321"/>
      <c r="L128" s="321"/>
      <c r="M128" s="321"/>
      <c r="N128" s="321"/>
      <c r="O128" s="321"/>
      <c r="P128" s="321"/>
      <c r="Q128" s="321"/>
      <c r="R128" s="321"/>
      <c r="S128" s="345"/>
    </row>
    <row r="129" spans="1:28" s="248" customFormat="1">
      <c r="A129" s="299" t="s">
        <v>280</v>
      </c>
      <c r="B129" s="299" t="s">
        <v>112</v>
      </c>
      <c r="C129" s="315">
        <f>'Company Price Out Rates Compare'!I67</f>
        <v>5.09</v>
      </c>
      <c r="D129" s="298">
        <f>'Company Price Out Rates Compare'!T65</f>
        <v>7.4090380441329873E-2</v>
      </c>
      <c r="E129" s="343">
        <f t="shared" si="5"/>
        <v>5.1640903804413298</v>
      </c>
      <c r="F129" s="288"/>
      <c r="G129" s="288"/>
      <c r="H129" s="288"/>
      <c r="I129" s="288"/>
      <c r="J129" s="288"/>
      <c r="K129" s="288"/>
      <c r="L129" s="288"/>
      <c r="M129" s="288"/>
      <c r="N129" s="288"/>
      <c r="O129" s="288"/>
      <c r="P129" s="288"/>
      <c r="Q129" s="288"/>
      <c r="R129" s="288"/>
      <c r="S129" s="345"/>
    </row>
    <row r="130" spans="1:28" s="248" customFormat="1">
      <c r="A130" s="299" t="s">
        <v>281</v>
      </c>
      <c r="B130" s="299" t="s">
        <v>112</v>
      </c>
      <c r="C130" s="315">
        <f>'Company Price Out Rates Compare'!I71</f>
        <v>7.24</v>
      </c>
      <c r="D130" s="298">
        <f>'Company Price Out Rates Compare'!T69</f>
        <v>0.14818076088265975</v>
      </c>
      <c r="E130" s="343">
        <f t="shared" si="5"/>
        <v>7.3881807608826602</v>
      </c>
      <c r="F130" s="288"/>
      <c r="G130" s="288"/>
      <c r="H130" s="288"/>
      <c r="I130" s="288"/>
      <c r="J130" s="288"/>
      <c r="K130" s="288"/>
      <c r="L130" s="288"/>
      <c r="M130" s="288"/>
      <c r="N130" s="288"/>
      <c r="O130" s="288"/>
      <c r="P130" s="288"/>
      <c r="Q130" s="288"/>
      <c r="R130" s="288"/>
      <c r="S130" s="345"/>
    </row>
    <row r="131" spans="1:28" s="248" customFormat="1">
      <c r="A131" s="299" t="s">
        <v>282</v>
      </c>
      <c r="B131" s="299" t="s">
        <v>112</v>
      </c>
      <c r="C131" s="315">
        <f>'Company Price Out Rates Compare'!I75</f>
        <v>9.74</v>
      </c>
      <c r="D131" s="298">
        <f>'Company Price Out Rates Compare'!T73</f>
        <v>0.22227114132398959</v>
      </c>
      <c r="E131" s="343">
        <f t="shared" si="5"/>
        <v>9.9622711413239902</v>
      </c>
      <c r="F131" s="288"/>
      <c r="G131" s="288"/>
      <c r="H131" s="288"/>
      <c r="I131" s="288"/>
      <c r="J131" s="288"/>
      <c r="K131" s="288"/>
      <c r="L131" s="288"/>
      <c r="M131" s="288"/>
      <c r="N131" s="288"/>
      <c r="O131" s="288"/>
      <c r="P131" s="288"/>
      <c r="Q131" s="288"/>
      <c r="R131" s="288"/>
      <c r="S131" s="345"/>
    </row>
    <row r="132" spans="1:28">
      <c r="A132" s="108"/>
      <c r="B132" s="112"/>
      <c r="C132" s="295"/>
      <c r="D132" s="111"/>
      <c r="E132" s="319"/>
      <c r="F132" s="321"/>
      <c r="G132" s="321"/>
      <c r="H132" s="321"/>
      <c r="I132" s="321"/>
      <c r="J132" s="321"/>
      <c r="K132" s="321"/>
      <c r="L132" s="321"/>
      <c r="M132" s="321"/>
      <c r="N132" s="321"/>
      <c r="O132" s="321"/>
      <c r="P132" s="321"/>
      <c r="Q132" s="321"/>
      <c r="R132" s="321"/>
      <c r="S132" s="345"/>
    </row>
    <row r="133" spans="1:28">
      <c r="A133" s="108" t="s">
        <v>350</v>
      </c>
      <c r="B133" s="112"/>
      <c r="C133" s="295"/>
      <c r="D133" s="111"/>
      <c r="E133" s="319"/>
      <c r="F133" s="321"/>
      <c r="G133" s="321"/>
      <c r="H133" s="321"/>
      <c r="I133" s="321"/>
      <c r="J133" s="321"/>
      <c r="K133" s="321"/>
      <c r="L133" s="321"/>
      <c r="M133" s="321"/>
      <c r="N133" s="321"/>
      <c r="O133" s="321"/>
      <c r="P133" s="321"/>
      <c r="Q133" s="321"/>
      <c r="R133" s="321"/>
      <c r="S133" s="345"/>
    </row>
    <row r="134" spans="1:28" s="248" customFormat="1">
      <c r="A134" s="299" t="s">
        <v>291</v>
      </c>
      <c r="B134" s="299" t="s">
        <v>112</v>
      </c>
      <c r="C134" s="315">
        <f>'Company Price Out Rates Compare'!I97</f>
        <v>220.07</v>
      </c>
      <c r="D134" s="298">
        <f>'Company Price Out Rates Compare'!T97</f>
        <v>4.92372781413901</v>
      </c>
      <c r="E134" s="343">
        <f t="shared" si="5"/>
        <v>224.99372781413899</v>
      </c>
      <c r="F134" s="288"/>
      <c r="G134" s="288"/>
      <c r="H134" s="288"/>
      <c r="I134" s="288"/>
      <c r="J134" s="288"/>
      <c r="K134" s="288"/>
      <c r="L134" s="288"/>
      <c r="M134" s="288"/>
      <c r="N134" s="288"/>
      <c r="O134" s="288"/>
      <c r="P134" s="288"/>
      <c r="Q134" s="288"/>
      <c r="R134" s="288"/>
      <c r="S134" s="345"/>
    </row>
    <row r="135" spans="1:28" s="248" customFormat="1">
      <c r="A135" s="299" t="s">
        <v>292</v>
      </c>
      <c r="B135" s="299" t="s">
        <v>112</v>
      </c>
      <c r="C135" s="315">
        <f>'Company Price Out Rates Compare'!I107</f>
        <v>270.04000000000002</v>
      </c>
      <c r="D135" s="298">
        <f>'Company Price Out Rates Compare'!T107</f>
        <v>6.5649704188520142</v>
      </c>
      <c r="E135" s="343">
        <f t="shared" si="5"/>
        <v>276.60497041885202</v>
      </c>
      <c r="F135" s="288"/>
      <c r="G135" s="288"/>
      <c r="H135" s="288"/>
      <c r="I135" s="288"/>
      <c r="J135" s="288"/>
      <c r="K135" s="288"/>
      <c r="L135" s="288"/>
      <c r="M135" s="288"/>
      <c r="N135" s="288"/>
      <c r="O135" s="288"/>
      <c r="P135" s="288"/>
      <c r="Q135" s="288"/>
      <c r="R135" s="288"/>
      <c r="S135" s="345"/>
    </row>
    <row r="136" spans="1:28" s="248" customFormat="1">
      <c r="A136" s="299" t="s">
        <v>293</v>
      </c>
      <c r="B136" s="299" t="s">
        <v>112</v>
      </c>
      <c r="C136" s="315">
        <f>'Company Price Out Rates Compare'!I118</f>
        <v>305.36</v>
      </c>
      <c r="D136" s="298">
        <f>'Company Price Out Rates Compare'!T118</f>
        <v>8.2062130235650184</v>
      </c>
      <c r="E136" s="343">
        <f t="shared" si="5"/>
        <v>313.56621302356501</v>
      </c>
      <c r="F136" s="288"/>
      <c r="G136" s="288"/>
      <c r="H136" s="288"/>
      <c r="I136" s="288"/>
      <c r="J136" s="288"/>
      <c r="K136" s="288"/>
      <c r="L136" s="288"/>
      <c r="M136" s="288"/>
      <c r="N136" s="288"/>
      <c r="O136" s="288"/>
      <c r="P136" s="288"/>
      <c r="Q136" s="288"/>
      <c r="R136" s="288"/>
      <c r="S136" s="345"/>
    </row>
    <row r="137" spans="1:28" s="248" customFormat="1">
      <c r="A137" s="299" t="s">
        <v>289</v>
      </c>
      <c r="B137" s="299" t="s">
        <v>112</v>
      </c>
      <c r="C137" s="315">
        <f>'Company Price Out Rates Compare'!I122</f>
        <v>361.32</v>
      </c>
      <c r="D137" s="298">
        <f>'Company Price Out Rates Compare'!T122</f>
        <v>9.8474556282780199</v>
      </c>
      <c r="E137" s="343">
        <f t="shared" si="5"/>
        <v>371.16745562827799</v>
      </c>
      <c r="F137" s="288"/>
      <c r="G137" s="288"/>
      <c r="H137" s="288"/>
      <c r="I137" s="288"/>
      <c r="J137" s="288"/>
      <c r="K137" s="288"/>
      <c r="L137" s="288"/>
      <c r="M137" s="288"/>
      <c r="N137" s="288"/>
      <c r="O137" s="288"/>
      <c r="P137" s="288"/>
      <c r="Q137" s="288"/>
      <c r="R137" s="288"/>
      <c r="S137" s="345"/>
    </row>
    <row r="138" spans="1:28" s="324" customFormat="1" ht="12.75">
      <c r="A138" s="337"/>
      <c r="B138" s="336"/>
      <c r="C138" s="338"/>
      <c r="D138" s="322"/>
      <c r="E138" s="319"/>
      <c r="F138" s="318"/>
      <c r="G138" s="318"/>
      <c r="H138" s="318"/>
      <c r="I138" s="318"/>
      <c r="J138" s="318"/>
      <c r="K138" s="318"/>
      <c r="L138" s="318"/>
      <c r="M138" s="318"/>
      <c r="N138" s="318"/>
      <c r="O138" s="318"/>
      <c r="P138" s="318"/>
      <c r="Q138" s="318"/>
      <c r="R138" s="318"/>
      <c r="S138" s="330"/>
      <c r="T138" s="331"/>
      <c r="U138" s="322"/>
      <c r="V138" s="330"/>
      <c r="W138" s="332"/>
      <c r="X138" s="332"/>
      <c r="Y138" s="333"/>
      <c r="Z138" s="322"/>
      <c r="AA138" s="334"/>
      <c r="AB138" s="335"/>
    </row>
    <row r="139" spans="1:28" s="324" customFormat="1" ht="12.75">
      <c r="A139" s="344" t="s">
        <v>287</v>
      </c>
      <c r="B139" s="344" t="s">
        <v>112</v>
      </c>
      <c r="C139" s="315">
        <f>'Company Price Out Rates Compare'!I98</f>
        <v>220.07</v>
      </c>
      <c r="D139" s="343">
        <f>'Company Price Out Rates Compare'!T98</f>
        <v>4.92372781413901</v>
      </c>
      <c r="E139" s="343">
        <f t="shared" si="5"/>
        <v>224.99372781413899</v>
      </c>
      <c r="F139" s="288"/>
      <c r="G139" s="288"/>
      <c r="H139" s="288"/>
      <c r="I139" s="288"/>
      <c r="J139" s="288"/>
      <c r="K139" s="288"/>
      <c r="L139" s="288"/>
      <c r="M139" s="288"/>
      <c r="N139" s="288"/>
      <c r="O139" s="288"/>
      <c r="P139" s="288"/>
      <c r="Q139" s="288"/>
      <c r="R139" s="288"/>
      <c r="S139" s="330"/>
      <c r="T139" s="347"/>
      <c r="U139" s="322"/>
      <c r="V139" s="330"/>
      <c r="W139" s="332"/>
      <c r="X139" s="332"/>
      <c r="Y139" s="333"/>
      <c r="Z139" s="322"/>
      <c r="AA139" s="317"/>
      <c r="AB139" s="335"/>
    </row>
    <row r="140" spans="1:28" s="324" customFormat="1" ht="12.75">
      <c r="A140" s="344" t="s">
        <v>288</v>
      </c>
      <c r="B140" s="344" t="s">
        <v>112</v>
      </c>
      <c r="C140" s="315">
        <f>'Company Price Out Rates Compare'!I110</f>
        <v>323.20999999999998</v>
      </c>
      <c r="D140" s="343">
        <f>'Company Price Out Rates Compare'!T108</f>
        <v>6.5649704188520142</v>
      </c>
      <c r="E140" s="343">
        <f t="shared" si="5"/>
        <v>329.77497041885198</v>
      </c>
      <c r="F140" s="288"/>
      <c r="G140" s="288"/>
      <c r="H140" s="288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  <c r="S140" s="330"/>
      <c r="T140" s="347"/>
      <c r="U140" s="322"/>
      <c r="V140" s="330"/>
      <c r="W140" s="332"/>
      <c r="X140" s="332"/>
      <c r="Y140" s="333"/>
      <c r="Z140" s="322"/>
      <c r="AA140" s="317"/>
      <c r="AB140" s="335"/>
    </row>
    <row r="141" spans="1:28" s="324" customFormat="1" ht="12.75">
      <c r="A141" s="344" t="s">
        <v>333</v>
      </c>
      <c r="B141" s="344" t="s">
        <v>112</v>
      </c>
      <c r="C141" s="315">
        <f>'Company Price Out Rates Compare'!I121</f>
        <v>364.42</v>
      </c>
      <c r="D141" s="343">
        <f>'Company Price Out Rates Compare'!T119</f>
        <v>8.2062130235650184</v>
      </c>
      <c r="E141" s="343">
        <f t="shared" si="5"/>
        <v>372.62621302356501</v>
      </c>
      <c r="F141" s="288"/>
      <c r="G141" s="288"/>
      <c r="H141" s="288"/>
      <c r="I141" s="288"/>
      <c r="J141" s="288"/>
      <c r="K141" s="288"/>
      <c r="L141" s="288"/>
      <c r="M141" s="288"/>
      <c r="N141" s="288"/>
      <c r="O141" s="288"/>
      <c r="P141" s="288"/>
      <c r="Q141" s="288"/>
      <c r="R141" s="288"/>
      <c r="S141" s="330"/>
      <c r="T141" s="347"/>
      <c r="U141" s="322"/>
      <c r="V141" s="330"/>
      <c r="W141" s="332"/>
      <c r="X141" s="332"/>
      <c r="Y141" s="333"/>
      <c r="Z141" s="322"/>
      <c r="AA141" s="317"/>
      <c r="AB141" s="335"/>
    </row>
    <row r="142" spans="1:28" s="324" customFormat="1" ht="12.75">
      <c r="A142" s="344" t="s">
        <v>334</v>
      </c>
      <c r="B142" s="344" t="s">
        <v>112</v>
      </c>
      <c r="C142" s="315">
        <f>'Company Price Out Rates Compare'!I123</f>
        <v>361.32</v>
      </c>
      <c r="D142" s="343">
        <f>'Company Price Out Rates Compare'!T123</f>
        <v>9.8474556282780199</v>
      </c>
      <c r="E142" s="343">
        <f t="shared" si="5"/>
        <v>371.16745562827799</v>
      </c>
      <c r="F142" s="288"/>
      <c r="G142" s="288"/>
      <c r="H142" s="288"/>
      <c r="I142" s="288"/>
      <c r="J142" s="288"/>
      <c r="K142" s="288"/>
      <c r="L142" s="288"/>
      <c r="M142" s="288"/>
      <c r="N142" s="288"/>
      <c r="O142" s="288"/>
      <c r="P142" s="288"/>
      <c r="Q142" s="288"/>
      <c r="R142" s="288"/>
      <c r="S142" s="330"/>
      <c r="T142" s="347"/>
      <c r="U142" s="322"/>
      <c r="V142" s="330"/>
      <c r="W142" s="332"/>
      <c r="X142" s="332"/>
      <c r="Y142" s="333"/>
      <c r="Z142" s="322"/>
      <c r="AA142" s="317"/>
      <c r="AB142" s="335"/>
    </row>
    <row r="143" spans="1:28">
      <c r="A143" s="108"/>
      <c r="B143" s="112"/>
      <c r="C143" s="295"/>
      <c r="D143" s="111"/>
      <c r="E143" s="319"/>
      <c r="F143" s="321"/>
      <c r="G143" s="321"/>
      <c r="H143" s="321"/>
      <c r="I143" s="321"/>
      <c r="J143" s="321"/>
      <c r="K143" s="321"/>
      <c r="L143" s="321"/>
      <c r="M143" s="321"/>
      <c r="N143" s="321"/>
      <c r="O143" s="321"/>
      <c r="P143" s="321"/>
      <c r="Q143" s="321"/>
      <c r="R143" s="321"/>
      <c r="S143" s="345"/>
    </row>
    <row r="144" spans="1:28">
      <c r="A144" s="108" t="s">
        <v>351</v>
      </c>
      <c r="B144" s="112"/>
      <c r="C144" s="295"/>
      <c r="D144" s="111"/>
      <c r="E144" s="319"/>
      <c r="F144" s="321"/>
      <c r="G144" s="321"/>
      <c r="H144" s="321"/>
      <c r="I144" s="321"/>
      <c r="J144" s="321"/>
      <c r="K144" s="321"/>
      <c r="L144" s="321"/>
      <c r="M144" s="321"/>
      <c r="N144" s="321"/>
      <c r="O144" s="321"/>
      <c r="P144" s="321"/>
      <c r="Q144" s="321"/>
      <c r="R144" s="321"/>
      <c r="S144" s="345"/>
    </row>
    <row r="145" spans="1:19" s="248" customFormat="1">
      <c r="A145" s="299" t="s">
        <v>283</v>
      </c>
      <c r="B145" s="299" t="s">
        <v>112</v>
      </c>
      <c r="C145" s="315">
        <f>'Company Price Out Rates Compare'!I76</f>
        <v>129.72999999999999</v>
      </c>
      <c r="D145" s="298">
        <f>'Company Price Out Rates Compare'!T81</f>
        <v>2.3446322924471477</v>
      </c>
      <c r="E145" s="343">
        <f t="shared" si="5"/>
        <v>132.07463229244715</v>
      </c>
      <c r="F145" s="288"/>
      <c r="G145" s="288"/>
      <c r="H145" s="288"/>
      <c r="I145" s="288"/>
      <c r="J145" s="288"/>
      <c r="K145" s="288"/>
      <c r="L145" s="288"/>
      <c r="M145" s="288"/>
      <c r="N145" s="288"/>
      <c r="O145" s="288"/>
      <c r="P145" s="288"/>
      <c r="Q145" s="288"/>
      <c r="R145" s="288"/>
      <c r="S145" s="345"/>
    </row>
    <row r="146" spans="1:19" s="248" customFormat="1">
      <c r="A146" s="299" t="s">
        <v>294</v>
      </c>
      <c r="B146" s="299" t="s">
        <v>112</v>
      </c>
      <c r="C146" s="315">
        <f>'Company Price Out Rates Compare'!I87</f>
        <v>202.78</v>
      </c>
      <c r="D146" s="298">
        <f>'Company Price Out Rates Compare'!T87</f>
        <v>4.6892645848942953</v>
      </c>
      <c r="E146" s="343">
        <f t="shared" si="5"/>
        <v>207.46926458489429</v>
      </c>
      <c r="F146" s="288"/>
      <c r="G146" s="288"/>
      <c r="H146" s="288"/>
      <c r="I146" s="288"/>
      <c r="J146" s="288"/>
      <c r="K146" s="288"/>
      <c r="L146" s="288"/>
      <c r="M146" s="288"/>
      <c r="N146" s="288"/>
      <c r="O146" s="288"/>
      <c r="P146" s="288"/>
      <c r="Q146" s="288"/>
      <c r="R146" s="288"/>
      <c r="S146" s="345"/>
    </row>
    <row r="147" spans="1:19" s="248" customFormat="1">
      <c r="A147" s="299" t="s">
        <v>291</v>
      </c>
      <c r="B147" s="299" t="s">
        <v>112</v>
      </c>
      <c r="C147" s="315">
        <f>'Company Price Out Rates Compare'!I99</f>
        <v>258.32</v>
      </c>
      <c r="D147" s="298">
        <f>'Company Price Out Rates Compare'!T99</f>
        <v>7.0338968773414443</v>
      </c>
      <c r="E147" s="343">
        <f t="shared" si="5"/>
        <v>265.35389687734141</v>
      </c>
      <c r="F147" s="288"/>
      <c r="G147" s="288"/>
      <c r="H147" s="288"/>
      <c r="I147" s="288"/>
      <c r="J147" s="288"/>
      <c r="K147" s="288"/>
      <c r="L147" s="288"/>
      <c r="M147" s="288"/>
      <c r="N147" s="288"/>
      <c r="O147" s="288"/>
      <c r="P147" s="288"/>
      <c r="Q147" s="288"/>
      <c r="R147" s="288"/>
      <c r="S147" s="345"/>
    </row>
    <row r="148" spans="1:19" s="248" customFormat="1">
      <c r="A148" s="299" t="s">
        <v>292</v>
      </c>
      <c r="B148" s="299" t="s">
        <v>112</v>
      </c>
      <c r="C148" s="315">
        <f>'Company Price Out Rates Compare'!I109</f>
        <v>323.20999999999998</v>
      </c>
      <c r="D148" s="298">
        <f>'Company Price Out Rates Compare'!T109</f>
        <v>9.3785291697885906</v>
      </c>
      <c r="E148" s="343">
        <f t="shared" si="5"/>
        <v>332.58852916978856</v>
      </c>
      <c r="F148" s="288"/>
      <c r="G148" s="288"/>
      <c r="H148" s="288"/>
      <c r="I148" s="288"/>
      <c r="J148" s="288"/>
      <c r="K148" s="288"/>
      <c r="L148" s="288"/>
      <c r="M148" s="288"/>
      <c r="N148" s="288"/>
      <c r="O148" s="288"/>
      <c r="P148" s="288"/>
      <c r="Q148" s="288"/>
      <c r="R148" s="288"/>
      <c r="S148" s="345"/>
    </row>
    <row r="149" spans="1:19" s="248" customFormat="1">
      <c r="A149" s="299" t="s">
        <v>293</v>
      </c>
      <c r="B149" s="299" t="s">
        <v>112</v>
      </c>
      <c r="C149" s="315">
        <f>'Company Price Out Rates Compare'!I120</f>
        <v>364.42</v>
      </c>
      <c r="D149" s="298">
        <f>'Company Price Out Rates Compare'!T120</f>
        <v>11.723161462235741</v>
      </c>
      <c r="E149" s="343">
        <f t="shared" si="5"/>
        <v>376.14316146223575</v>
      </c>
      <c r="F149" s="288"/>
      <c r="G149" s="288"/>
      <c r="H149" s="288"/>
      <c r="I149" s="288"/>
      <c r="J149" s="288"/>
      <c r="K149" s="288"/>
      <c r="L149" s="288"/>
      <c r="M149" s="288"/>
      <c r="N149" s="288"/>
      <c r="O149" s="288"/>
      <c r="P149" s="288"/>
      <c r="Q149" s="288"/>
      <c r="R149" s="288"/>
      <c r="S149" s="345"/>
    </row>
    <row r="150" spans="1:19" s="248" customFormat="1">
      <c r="A150" s="299" t="s">
        <v>289</v>
      </c>
      <c r="B150" s="299" t="s">
        <v>112</v>
      </c>
      <c r="C150" s="315">
        <f>'Company Price Out Rates Compare'!I124</f>
        <v>416.75</v>
      </c>
      <c r="D150" s="298">
        <f>'Company Price Out Rates Compare'!T123</f>
        <v>9.8474556282780199</v>
      </c>
      <c r="E150" s="343">
        <f t="shared" si="5"/>
        <v>426.597455628278</v>
      </c>
      <c r="F150" s="288"/>
      <c r="G150" s="288"/>
      <c r="H150" s="288"/>
      <c r="I150" s="288"/>
      <c r="J150" s="288"/>
      <c r="K150" s="288"/>
      <c r="L150" s="288"/>
      <c r="M150" s="288"/>
      <c r="N150" s="288"/>
      <c r="O150" s="288"/>
      <c r="P150" s="288"/>
      <c r="Q150" s="288"/>
      <c r="R150" s="288"/>
      <c r="S150" s="345"/>
    </row>
    <row r="151" spans="1:19">
      <c r="E151" s="319"/>
      <c r="F151" s="346"/>
      <c r="G151" s="346"/>
      <c r="H151" s="346"/>
      <c r="I151" s="346"/>
      <c r="J151" s="346"/>
      <c r="K151" s="346"/>
      <c r="L151" s="346"/>
      <c r="M151" s="346"/>
      <c r="N151" s="346"/>
      <c r="O151" s="346"/>
      <c r="P151" s="346"/>
      <c r="Q151" s="346"/>
      <c r="R151" s="346"/>
      <c r="S151" s="345"/>
    </row>
    <row r="152" spans="1:19">
      <c r="A152" s="344" t="s">
        <v>284</v>
      </c>
      <c r="B152" s="344" t="s">
        <v>112</v>
      </c>
      <c r="C152" s="315">
        <f>'Company Price Out Rates Compare'!I81</f>
        <v>129.72999999999999</v>
      </c>
      <c r="D152" s="343">
        <f>'Company Price Out Rates Compare'!T81</f>
        <v>2.3446322924471477</v>
      </c>
      <c r="E152" s="343">
        <f t="shared" ref="E152:E157" si="6">C152+D152</f>
        <v>132.07463229244715</v>
      </c>
      <c r="F152" s="288"/>
      <c r="G152" s="288"/>
      <c r="H152" s="288"/>
      <c r="I152" s="288"/>
      <c r="J152" s="288"/>
      <c r="K152" s="288"/>
      <c r="L152" s="288"/>
      <c r="M152" s="288"/>
      <c r="N152" s="288"/>
      <c r="O152" s="288"/>
      <c r="P152" s="288"/>
      <c r="Q152" s="288"/>
      <c r="R152" s="288"/>
      <c r="S152" s="345"/>
    </row>
    <row r="153" spans="1:19">
      <c r="A153" s="344" t="s">
        <v>286</v>
      </c>
      <c r="B153" s="344" t="s">
        <v>112</v>
      </c>
      <c r="C153" s="315">
        <f>'Company Price Out Rates Compare'!I88</f>
        <v>202.78</v>
      </c>
      <c r="D153" s="343">
        <f>'Company Price Out Rates Compare'!T88</f>
        <v>4.6892645848942953</v>
      </c>
      <c r="E153" s="343">
        <f t="shared" si="6"/>
        <v>207.46926458489429</v>
      </c>
      <c r="F153" s="288"/>
      <c r="G153" s="288"/>
      <c r="H153" s="288"/>
      <c r="I153" s="288"/>
      <c r="J153" s="288"/>
      <c r="K153" s="288"/>
      <c r="L153" s="288"/>
      <c r="M153" s="288"/>
      <c r="N153" s="288"/>
      <c r="O153" s="288"/>
      <c r="P153" s="288"/>
      <c r="Q153" s="288"/>
      <c r="R153" s="288"/>
      <c r="S153" s="345"/>
    </row>
    <row r="154" spans="1:19">
      <c r="A154" s="344" t="s">
        <v>287</v>
      </c>
      <c r="B154" s="344" t="s">
        <v>112</v>
      </c>
      <c r="C154" s="315">
        <f>'Company Price Out Rates Compare'!I100</f>
        <v>258.32</v>
      </c>
      <c r="D154" s="343">
        <f>'Company Price Out Rates Compare'!T98</f>
        <v>4.92372781413901</v>
      </c>
      <c r="E154" s="343">
        <f t="shared" si="6"/>
        <v>263.24372781413899</v>
      </c>
      <c r="F154" s="288"/>
      <c r="G154" s="288"/>
      <c r="H154" s="288"/>
      <c r="I154" s="288"/>
      <c r="J154" s="288"/>
      <c r="K154" s="288"/>
      <c r="L154" s="288"/>
      <c r="M154" s="288"/>
      <c r="N154" s="288"/>
      <c r="O154" s="288"/>
      <c r="P154" s="288"/>
      <c r="Q154" s="288"/>
      <c r="R154" s="288"/>
      <c r="S154" s="345"/>
    </row>
    <row r="155" spans="1:19">
      <c r="A155" s="344" t="s">
        <v>288</v>
      </c>
      <c r="B155" s="344" t="s">
        <v>112</v>
      </c>
      <c r="C155" s="315">
        <f>'Company Price Out Rates Compare'!I110</f>
        <v>323.20999999999998</v>
      </c>
      <c r="D155" s="343">
        <f>'Company Price Out Rates Compare'!T108</f>
        <v>6.5649704188520142</v>
      </c>
      <c r="E155" s="343">
        <f t="shared" si="6"/>
        <v>329.77497041885198</v>
      </c>
      <c r="F155" s="288"/>
      <c r="G155" s="288"/>
      <c r="H155" s="288"/>
      <c r="I155" s="288"/>
      <c r="J155" s="288"/>
      <c r="K155" s="288"/>
      <c r="L155" s="288"/>
      <c r="M155" s="288"/>
      <c r="N155" s="288"/>
      <c r="O155" s="288"/>
      <c r="P155" s="288"/>
      <c r="Q155" s="288"/>
      <c r="R155" s="288"/>
      <c r="S155" s="345"/>
    </row>
    <row r="156" spans="1:19">
      <c r="A156" s="344" t="s">
        <v>333</v>
      </c>
      <c r="B156" s="344" t="s">
        <v>112</v>
      </c>
      <c r="C156" s="315">
        <f>'Company Price Out Rates Compare'!I121</f>
        <v>364.42</v>
      </c>
      <c r="D156" s="343">
        <f>'Company Price Out Rates Compare'!T119</f>
        <v>8.2062130235650184</v>
      </c>
      <c r="E156" s="343">
        <f t="shared" si="6"/>
        <v>372.62621302356501</v>
      </c>
      <c r="F156" s="288"/>
      <c r="G156" s="288"/>
      <c r="H156" s="288"/>
      <c r="I156" s="288"/>
      <c r="J156" s="288"/>
      <c r="K156" s="288"/>
      <c r="L156" s="288"/>
      <c r="M156" s="288"/>
      <c r="N156" s="288"/>
      <c r="O156" s="288"/>
      <c r="P156" s="288"/>
      <c r="Q156" s="288"/>
      <c r="R156" s="288"/>
      <c r="S156" s="345"/>
    </row>
    <row r="157" spans="1:19">
      <c r="A157" s="344" t="s">
        <v>334</v>
      </c>
      <c r="B157" s="344" t="s">
        <v>112</v>
      </c>
      <c r="C157" s="315">
        <f>'Company Price Out Rates Compare'!I125</f>
        <v>416.75</v>
      </c>
      <c r="D157" s="343">
        <f>'Company Price Out Rates Compare'!T123</f>
        <v>9.8474556282780199</v>
      </c>
      <c r="E157" s="343">
        <f t="shared" si="6"/>
        <v>426.597455628278</v>
      </c>
      <c r="F157" s="288"/>
      <c r="G157" s="288"/>
      <c r="H157" s="288"/>
      <c r="I157" s="288"/>
      <c r="J157" s="288"/>
      <c r="K157" s="288"/>
      <c r="L157" s="288"/>
      <c r="M157" s="288"/>
      <c r="N157" s="288"/>
      <c r="O157" s="288"/>
      <c r="P157" s="288"/>
      <c r="Q157" s="288"/>
      <c r="R157" s="288"/>
      <c r="S157" s="345"/>
    </row>
    <row r="158" spans="1:19">
      <c r="F158" s="346"/>
      <c r="G158" s="345"/>
      <c r="H158" s="345"/>
      <c r="I158" s="345"/>
      <c r="J158" s="345"/>
      <c r="K158" s="345"/>
      <c r="L158" s="345"/>
      <c r="M158" s="345"/>
      <c r="N158" s="345"/>
      <c r="O158" s="345"/>
      <c r="P158" s="345"/>
      <c r="Q158" s="345"/>
      <c r="R158" s="345"/>
      <c r="S158" s="345"/>
    </row>
    <row r="159" spans="1:19">
      <c r="F159" s="346"/>
      <c r="G159" s="345"/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</row>
    <row r="160" spans="1:19">
      <c r="F160" s="346"/>
      <c r="G160" s="345"/>
      <c r="H160" s="345"/>
      <c r="I160" s="345"/>
      <c r="J160" s="345"/>
      <c r="K160" s="345"/>
      <c r="L160" s="345"/>
      <c r="M160" s="345"/>
      <c r="N160" s="345"/>
      <c r="O160" s="345"/>
      <c r="P160" s="345"/>
      <c r="Q160" s="345"/>
      <c r="R160" s="345"/>
      <c r="S160" s="345"/>
    </row>
    <row r="161" spans="6:19">
      <c r="F161" s="346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</row>
    <row r="162" spans="6:19">
      <c r="F162" s="346"/>
      <c r="G162" s="345"/>
      <c r="H162" s="345"/>
      <c r="I162" s="345"/>
      <c r="J162" s="345"/>
      <c r="K162" s="345"/>
      <c r="L162" s="345"/>
      <c r="M162" s="345"/>
      <c r="N162" s="345"/>
      <c r="O162" s="345"/>
      <c r="P162" s="345"/>
      <c r="Q162" s="345"/>
      <c r="R162" s="345"/>
      <c r="S162" s="345"/>
    </row>
  </sheetData>
  <pageMargins left="0.7" right="0.7" top="0.75" bottom="0.7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B366"/>
  <sheetViews>
    <sheetView workbookViewId="0">
      <selection activeCell="F6" sqref="F6"/>
    </sheetView>
  </sheetViews>
  <sheetFormatPr defaultColWidth="7.140625" defaultRowHeight="11.25"/>
  <cols>
    <col min="1" max="1" width="29" style="150" customWidth="1"/>
    <col min="2" max="2" width="5.28515625" style="150" customWidth="1"/>
    <col min="3" max="3" width="7.7109375" style="150" customWidth="1"/>
    <col min="4" max="4" width="6.85546875" style="150" customWidth="1"/>
    <col min="5" max="9" width="9.28515625" style="150" customWidth="1"/>
    <col min="10" max="12" width="9.28515625" style="150" hidden="1" customWidth="1"/>
    <col min="13" max="13" width="9.28515625" style="151" hidden="1" customWidth="1"/>
    <col min="14" max="15" width="9.28515625" style="150" hidden="1" customWidth="1"/>
    <col min="16" max="16" width="5.28515625" style="150" hidden="1" customWidth="1"/>
    <col min="17" max="19" width="13.140625" style="150" hidden="1" customWidth="1"/>
    <col min="20" max="21" width="13.140625" style="150" customWidth="1"/>
    <col min="22" max="25" width="14.5703125" style="150" customWidth="1"/>
    <col min="26" max="26" width="1.85546875" style="150" customWidth="1"/>
    <col min="27" max="27" width="14.5703125" style="150" customWidth="1"/>
    <col min="28" max="16384" width="7.140625" style="152"/>
  </cols>
  <sheetData>
    <row r="2" spans="1:27">
      <c r="A2" s="150" t="s">
        <v>173</v>
      </c>
      <c r="Q2" s="153"/>
      <c r="R2" s="153"/>
    </row>
    <row r="3" spans="1:27">
      <c r="O3" s="150" t="s">
        <v>174</v>
      </c>
      <c r="Q3" s="153"/>
      <c r="R3" s="153"/>
      <c r="S3" s="153"/>
    </row>
    <row r="4" spans="1:27">
      <c r="A4" s="150" t="s">
        <v>175</v>
      </c>
      <c r="J4" s="154"/>
      <c r="K4" s="154"/>
      <c r="N4" s="154" t="s">
        <v>59</v>
      </c>
      <c r="O4" s="155">
        <f>L5/(N8+N9+N10)</f>
        <v>1.0117867716137463</v>
      </c>
      <c r="Q4" s="156"/>
      <c r="R4" s="157"/>
      <c r="S4" s="158"/>
    </row>
    <row r="5" spans="1:27">
      <c r="A5" s="150" t="s">
        <v>176</v>
      </c>
      <c r="F5" s="159">
        <f>SUM(F20:F49)</f>
        <v>6492.75</v>
      </c>
      <c r="J5" s="154"/>
      <c r="K5" s="154" t="s">
        <v>177</v>
      </c>
      <c r="L5" s="160">
        <f>[2]Disposal!R58+[2]Disposal!R63</f>
        <v>6220.2930681301377</v>
      </c>
      <c r="M5" s="154"/>
      <c r="N5" s="154" t="s">
        <v>178</v>
      </c>
      <c r="O5" s="155">
        <f>+O4</f>
        <v>1.0117867716137463</v>
      </c>
      <c r="Q5" s="156"/>
      <c r="R5" s="157"/>
      <c r="S5" s="158"/>
    </row>
    <row r="6" spans="1:27">
      <c r="F6" s="159">
        <f>SUM(F5:F5)</f>
        <v>6492.75</v>
      </c>
      <c r="J6" s="161"/>
      <c r="K6" s="154" t="s">
        <v>179</v>
      </c>
      <c r="L6" s="160">
        <f>[2]Disposal!R69</f>
        <v>892.1099999999999</v>
      </c>
      <c r="M6" s="154"/>
      <c r="N6" s="154"/>
      <c r="O6" s="155"/>
    </row>
    <row r="7" spans="1:27">
      <c r="A7" s="162" t="s">
        <v>180</v>
      </c>
      <c r="B7" s="162"/>
      <c r="C7" s="162"/>
      <c r="D7" s="162"/>
      <c r="E7" s="162"/>
      <c r="F7" s="163">
        <f>SUM(F8:F12)</f>
        <v>8122.75</v>
      </c>
      <c r="G7" s="163"/>
      <c r="H7" s="163"/>
      <c r="I7" s="163"/>
      <c r="J7" s="164">
        <f>SUM(J8:J12)</f>
        <v>499726.24766166665</v>
      </c>
      <c r="K7" s="163">
        <f>SUM(K8:K12)</f>
        <v>5996714.9719399996</v>
      </c>
      <c r="L7" s="163">
        <f>SUM(L5:L6)</f>
        <v>7112.4030681301374</v>
      </c>
      <c r="M7" s="165"/>
      <c r="N7" s="163">
        <f>SUM(N8:N12)</f>
        <v>6147.83</v>
      </c>
      <c r="O7" s="163">
        <f>SUM(O8:O12)</f>
        <v>6206.2089962692753</v>
      </c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6"/>
    </row>
    <row r="8" spans="1:27">
      <c r="A8" s="150" t="s">
        <v>181</v>
      </c>
      <c r="F8" s="154">
        <f>SUM(F20:F49)</f>
        <v>6492.75</v>
      </c>
      <c r="G8" s="167"/>
      <c r="H8" s="154"/>
      <c r="I8" s="167"/>
      <c r="J8" s="168">
        <f>SUM(J20:J57)</f>
        <v>116156.52166666665</v>
      </c>
      <c r="K8" s="168">
        <f>SUM(K20:K57)</f>
        <v>1393878.26</v>
      </c>
      <c r="L8" s="154"/>
      <c r="N8" s="168">
        <f>SUM(N20:N31)</f>
        <v>2188.56</v>
      </c>
      <c r="O8" s="168">
        <f>SUM(O20:O30)</f>
        <v>2214.3560568829807</v>
      </c>
      <c r="AA8" s="169"/>
    </row>
    <row r="9" spans="1:27">
      <c r="A9" s="150" t="s">
        <v>182</v>
      </c>
      <c r="F9" s="154">
        <f>SUM(F62:F75)+SUM(F158:F165)</f>
        <v>706</v>
      </c>
      <c r="G9" s="154"/>
      <c r="H9" s="154"/>
      <c r="I9" s="167"/>
      <c r="J9" s="154">
        <f>SUM(J64:J72)+SUM(J158:J164)</f>
        <v>12883.685670000001</v>
      </c>
      <c r="K9" s="154">
        <f>SUM(K64:K72)+SUM(K158:K164)</f>
        <v>154604.22804000002</v>
      </c>
      <c r="N9" s="154">
        <f>SUM(N64:N72)+SUM(N158:N164)</f>
        <v>258.51</v>
      </c>
      <c r="O9" s="154">
        <f>SUM(O64:O72)+SUM(O158:O164)</f>
        <v>261.55699832986954</v>
      </c>
      <c r="Q9" s="170" t="s">
        <v>183</v>
      </c>
      <c r="R9" s="171">
        <v>134.59</v>
      </c>
      <c r="T9" s="170" t="s">
        <v>184</v>
      </c>
      <c r="U9" s="172">
        <v>1.4999999999999999E-2</v>
      </c>
      <c r="AA9" s="169"/>
    </row>
    <row r="10" spans="1:27">
      <c r="A10" s="152" t="s">
        <v>185</v>
      </c>
      <c r="B10" s="152"/>
      <c r="C10" s="152"/>
      <c r="D10" s="152"/>
      <c r="E10" s="152"/>
      <c r="F10" s="173">
        <f>SUM(F76:F138)+SUM(F166:F235)</f>
        <v>924</v>
      </c>
      <c r="G10" s="173"/>
      <c r="H10" s="173"/>
      <c r="I10" s="167"/>
      <c r="J10" s="173">
        <f>SUM(J78:J151)+SUM(J168:J237)</f>
        <v>370686.04032500001</v>
      </c>
      <c r="K10" s="173">
        <f>SUM(K78:K151)+SUM(K168:K237)</f>
        <v>4448232.4838999994</v>
      </c>
      <c r="L10" s="173"/>
      <c r="M10" s="174"/>
      <c r="N10" s="173">
        <f>SUM(N78:N139)+SUM(N168:N236)</f>
        <v>3700.76</v>
      </c>
      <c r="O10" s="173">
        <f>SUM(O77:O137)+SUM(O168:O233)</f>
        <v>3730.2959410564245</v>
      </c>
      <c r="P10" s="152"/>
      <c r="Q10" s="170" t="s">
        <v>186</v>
      </c>
      <c r="R10" s="171">
        <v>140.82</v>
      </c>
      <c r="S10" s="152"/>
      <c r="T10" s="175" t="s">
        <v>187</v>
      </c>
      <c r="U10" s="172">
        <v>5.1000000000000004E-3</v>
      </c>
      <c r="V10" s="152"/>
      <c r="W10" s="152"/>
      <c r="X10" s="152"/>
      <c r="Y10" s="152"/>
      <c r="Z10" s="152"/>
      <c r="AA10" s="169"/>
    </row>
    <row r="11" spans="1:27">
      <c r="F11" s="154"/>
      <c r="G11" s="154"/>
      <c r="H11" s="154"/>
      <c r="I11" s="167"/>
      <c r="J11" s="168"/>
      <c r="K11" s="176"/>
      <c r="L11" s="154"/>
      <c r="N11" s="168"/>
      <c r="O11" s="168"/>
      <c r="Q11" s="170" t="s">
        <v>188</v>
      </c>
      <c r="R11" s="177">
        <f>R10-R9</f>
        <v>6.2299999999999898</v>
      </c>
      <c r="T11" s="175" t="s">
        <v>332</v>
      </c>
      <c r="U11" s="172">
        <v>6.0000000000000001E-3</v>
      </c>
      <c r="V11" s="348"/>
      <c r="AA11" s="169"/>
    </row>
    <row r="12" spans="1:27" ht="12" thickBot="1">
      <c r="A12" s="178"/>
      <c r="B12" s="178"/>
      <c r="C12" s="178"/>
      <c r="D12" s="178"/>
      <c r="E12" s="178"/>
      <c r="F12" s="179"/>
      <c r="G12" s="179"/>
      <c r="H12" s="179"/>
      <c r="I12" s="179"/>
      <c r="J12" s="180"/>
      <c r="K12" s="180"/>
      <c r="L12" s="179"/>
      <c r="M12" s="181"/>
      <c r="N12" s="179"/>
      <c r="O12" s="179"/>
      <c r="P12" s="178"/>
      <c r="Q12" s="170" t="s">
        <v>190</v>
      </c>
      <c r="R12" s="182">
        <f>+R11/2000</f>
        <v>3.1149999999999949E-3</v>
      </c>
      <c r="S12" s="178"/>
      <c r="T12" s="170" t="s">
        <v>189</v>
      </c>
      <c r="U12" s="349">
        <f>SUM(U9:U11)</f>
        <v>2.6099999999999998E-2</v>
      </c>
      <c r="V12" s="178"/>
      <c r="W12" s="178"/>
      <c r="X12" s="178"/>
      <c r="Y12" s="178"/>
      <c r="Z12" s="178"/>
      <c r="AA12" s="183"/>
    </row>
    <row r="13" spans="1:27">
      <c r="A13" s="152"/>
      <c r="B13" s="152"/>
      <c r="C13" s="152"/>
      <c r="D13" s="152"/>
      <c r="E13" s="152"/>
      <c r="F13" s="153" t="s">
        <v>191</v>
      </c>
      <c r="G13" s="153" t="s">
        <v>192</v>
      </c>
      <c r="H13" s="184"/>
      <c r="I13" s="153"/>
      <c r="J13" s="153" t="s">
        <v>193</v>
      </c>
      <c r="K13" s="153" t="s">
        <v>193</v>
      </c>
      <c r="L13" s="153" t="s">
        <v>115</v>
      </c>
      <c r="M13" s="185" t="s">
        <v>194</v>
      </c>
      <c r="N13" s="153" t="s">
        <v>195</v>
      </c>
      <c r="O13" s="153" t="s">
        <v>196</v>
      </c>
      <c r="P13" s="152"/>
      <c r="Q13" s="186"/>
      <c r="R13" s="186"/>
      <c r="S13" s="186"/>
      <c r="T13" s="186"/>
      <c r="U13" s="152"/>
      <c r="V13" s="187"/>
      <c r="W13" s="187"/>
      <c r="X13" s="187"/>
      <c r="Y13" s="187"/>
      <c r="Z13" s="152"/>
      <c r="AA13" s="187"/>
    </row>
    <row r="14" spans="1:27">
      <c r="A14" s="152"/>
      <c r="B14" s="152"/>
      <c r="C14" s="152" t="s">
        <v>197</v>
      </c>
      <c r="D14" s="152"/>
      <c r="E14" s="152"/>
      <c r="F14" s="153" t="s">
        <v>198</v>
      </c>
      <c r="G14" s="153" t="s">
        <v>199</v>
      </c>
      <c r="H14" s="184"/>
      <c r="I14" s="153" t="s">
        <v>107</v>
      </c>
      <c r="J14" s="153" t="s">
        <v>200</v>
      </c>
      <c r="K14" s="153" t="s">
        <v>114</v>
      </c>
      <c r="L14" s="153" t="s">
        <v>201</v>
      </c>
      <c r="M14" s="185" t="s">
        <v>202</v>
      </c>
      <c r="N14" s="153" t="s">
        <v>203</v>
      </c>
      <c r="O14" s="153" t="s">
        <v>203</v>
      </c>
      <c r="P14" s="152"/>
      <c r="Q14" s="188" t="s">
        <v>204</v>
      </c>
      <c r="R14" s="188" t="s">
        <v>205</v>
      </c>
      <c r="S14" s="188" t="s">
        <v>206</v>
      </c>
      <c r="T14" s="189" t="s">
        <v>207</v>
      </c>
      <c r="U14" s="152"/>
      <c r="V14" s="190" t="s">
        <v>208</v>
      </c>
      <c r="W14" s="190" t="s">
        <v>108</v>
      </c>
      <c r="X14" s="190" t="s">
        <v>108</v>
      </c>
      <c r="Y14" s="190" t="s">
        <v>108</v>
      </c>
      <c r="Z14" s="152"/>
      <c r="AA14" s="190" t="s">
        <v>108</v>
      </c>
    </row>
    <row r="15" spans="1:27">
      <c r="A15" s="152"/>
      <c r="B15" s="152"/>
      <c r="C15" s="152"/>
      <c r="D15" s="152"/>
      <c r="E15" s="152"/>
      <c r="F15" s="191"/>
      <c r="G15" s="153" t="s">
        <v>209</v>
      </c>
      <c r="H15" s="184"/>
      <c r="I15" s="153" t="s">
        <v>109</v>
      </c>
      <c r="J15" s="153" t="s">
        <v>116</v>
      </c>
      <c r="K15" s="153" t="s">
        <v>116</v>
      </c>
      <c r="L15" s="153">
        <v>21</v>
      </c>
      <c r="M15" s="153" t="s">
        <v>201</v>
      </c>
      <c r="N15" s="153" t="s">
        <v>210</v>
      </c>
      <c r="O15" s="153" t="s">
        <v>210</v>
      </c>
      <c r="P15" s="152"/>
      <c r="Q15" s="188" t="s">
        <v>211</v>
      </c>
      <c r="R15" s="188" t="s">
        <v>212</v>
      </c>
      <c r="S15" s="188" t="s">
        <v>213</v>
      </c>
      <c r="T15" s="189" t="s">
        <v>214</v>
      </c>
      <c r="U15" s="152"/>
      <c r="V15" s="190" t="s">
        <v>215</v>
      </c>
      <c r="W15" s="190" t="s">
        <v>216</v>
      </c>
      <c r="X15" s="190" t="s">
        <v>216</v>
      </c>
      <c r="Y15" s="190" t="s">
        <v>217</v>
      </c>
      <c r="Z15" s="152"/>
      <c r="AA15" s="190" t="s">
        <v>218</v>
      </c>
    </row>
    <row r="16" spans="1:27">
      <c r="A16" s="152"/>
      <c r="B16" s="152"/>
      <c r="C16" s="152"/>
      <c r="D16" s="152"/>
      <c r="E16" s="152"/>
      <c r="F16" s="191"/>
      <c r="G16" s="153" t="s">
        <v>219</v>
      </c>
      <c r="H16" s="184"/>
      <c r="I16" s="153" t="s">
        <v>220</v>
      </c>
      <c r="J16" s="153"/>
      <c r="K16" s="153"/>
      <c r="L16" s="153">
        <v>145</v>
      </c>
      <c r="M16" s="185"/>
      <c r="N16" s="153"/>
      <c r="O16" s="153"/>
      <c r="P16" s="152"/>
      <c r="Q16" s="192"/>
      <c r="R16" s="192"/>
      <c r="S16" s="192"/>
      <c r="T16" s="193" t="s">
        <v>221</v>
      </c>
      <c r="U16" s="152"/>
      <c r="V16" s="194"/>
      <c r="W16" s="194"/>
      <c r="X16" s="195" t="s">
        <v>10</v>
      </c>
      <c r="Y16" s="195" t="s">
        <v>10</v>
      </c>
      <c r="Z16" s="152"/>
      <c r="AA16" s="195" t="s">
        <v>10</v>
      </c>
    </row>
    <row r="17" spans="1:28">
      <c r="A17" s="152"/>
      <c r="B17" s="152"/>
      <c r="C17" s="152"/>
      <c r="D17" s="152"/>
      <c r="E17" s="152"/>
      <c r="F17" s="196"/>
      <c r="G17" s="196"/>
      <c r="H17" s="196"/>
      <c r="I17" s="196"/>
      <c r="J17" s="196"/>
      <c r="K17" s="196"/>
      <c r="L17" s="153">
        <v>269</v>
      </c>
      <c r="M17" s="197"/>
      <c r="N17" s="196"/>
      <c r="O17" s="196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69"/>
    </row>
    <row r="18" spans="1:28">
      <c r="A18" s="152" t="s">
        <v>222</v>
      </c>
      <c r="B18" s="152"/>
      <c r="C18" s="152"/>
      <c r="D18" s="152"/>
      <c r="E18" s="152"/>
      <c r="F18" s="196"/>
      <c r="G18" s="196"/>
      <c r="H18" s="196"/>
      <c r="I18" s="196"/>
      <c r="J18" s="196"/>
      <c r="K18" s="196"/>
      <c r="L18" s="196"/>
      <c r="M18" s="197"/>
      <c r="N18" s="196"/>
      <c r="O18" s="196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69"/>
    </row>
    <row r="19" spans="1:28" ht="12" thickBot="1">
      <c r="A19" s="198" t="s">
        <v>320</v>
      </c>
      <c r="B19" s="152"/>
      <c r="C19" s="152"/>
      <c r="D19" s="152"/>
      <c r="E19" s="152"/>
      <c r="AA19" s="169"/>
    </row>
    <row r="20" spans="1:28" ht="12" thickTop="1">
      <c r="A20" s="148" t="s">
        <v>118</v>
      </c>
      <c r="F20" s="149">
        <v>138</v>
      </c>
      <c r="G20" s="150">
        <v>52</v>
      </c>
      <c r="I20" s="287">
        <v>10.78</v>
      </c>
      <c r="J20" s="154">
        <f t="shared" ref="J20:J36" si="0">F20*I20</f>
        <v>1487.6399999999999</v>
      </c>
      <c r="K20" s="154">
        <f t="shared" ref="K20:K36" si="1">J20*12</f>
        <v>17851.68</v>
      </c>
      <c r="L20" s="199">
        <f>ROUND((L$15/32*19),2)</f>
        <v>12.47</v>
      </c>
      <c r="M20" s="151">
        <f>L20*$O$4</f>
        <v>12.616981042023417</v>
      </c>
      <c r="N20" s="154">
        <f t="shared" ref="N20:N31" si="2">ROUND(((F20*G20*L20)/2000),2)</f>
        <v>44.74</v>
      </c>
      <c r="O20" s="200">
        <f>$O$4*N20</f>
        <v>45.267340161999009</v>
      </c>
      <c r="Q20" s="177">
        <f t="shared" ref="Q20:Q31" si="3">M20*$R$12</f>
        <v>3.930189594590288E-2</v>
      </c>
      <c r="R20" s="201">
        <f t="shared" ref="R20:R26" si="4">Q20*4.33</f>
        <v>0.17017720944575948</v>
      </c>
      <c r="S20" s="201">
        <f t="shared" ref="S20:S31" si="5">R20*$U$12</f>
        <v>4.4416251665343222E-3</v>
      </c>
      <c r="T20" s="202">
        <f t="shared" ref="T20:T31" si="6">+R20+S20</f>
        <v>0.1746188346122938</v>
      </c>
      <c r="V20" s="201">
        <f>I20+T20</f>
        <v>10.954618834612294</v>
      </c>
      <c r="W20" s="203">
        <f>F20*V20</f>
        <v>1511.7373991764966</v>
      </c>
      <c r="X20" s="203">
        <f t="shared" ref="X20:X31" si="7">W20-J20</f>
        <v>24.097399176496765</v>
      </c>
      <c r="Y20" s="204">
        <f>X20*12</f>
        <v>289.16879011796118</v>
      </c>
      <c r="AA20" s="205">
        <f>O20*$R$11</f>
        <v>282.01552920925337</v>
      </c>
      <c r="AB20" s="206">
        <f>IF(I20=0,"",V20/I20-1)</f>
        <v>1.6198407663478243E-2</v>
      </c>
    </row>
    <row r="21" spans="1:28">
      <c r="A21" s="148" t="s">
        <v>119</v>
      </c>
      <c r="F21" s="149">
        <v>903</v>
      </c>
      <c r="G21" s="150">
        <v>52</v>
      </c>
      <c r="I21" s="287">
        <v>15.54</v>
      </c>
      <c r="J21" s="154">
        <f t="shared" si="0"/>
        <v>14032.619999999999</v>
      </c>
      <c r="K21" s="154">
        <f t="shared" si="1"/>
        <v>168391.44</v>
      </c>
      <c r="L21" s="199">
        <f>+L15</f>
        <v>21</v>
      </c>
      <c r="M21" s="151">
        <f t="shared" ref="M21:M31" si="8">L21*$O$4</f>
        <v>21.247522203888671</v>
      </c>
      <c r="N21" s="154">
        <f t="shared" si="2"/>
        <v>493.04</v>
      </c>
      <c r="O21" s="200">
        <f>$O$4*N21</f>
        <v>498.85134987644147</v>
      </c>
      <c r="Q21" s="177">
        <f t="shared" si="3"/>
        <v>6.618603166511311E-2</v>
      </c>
      <c r="R21" s="201">
        <f t="shared" si="4"/>
        <v>0.28658551710993979</v>
      </c>
      <c r="S21" s="201">
        <f t="shared" si="5"/>
        <v>7.4798819965694284E-3</v>
      </c>
      <c r="T21" s="202">
        <f t="shared" si="6"/>
        <v>0.2940653991065092</v>
      </c>
      <c r="V21" s="201">
        <f t="shared" ref="V21:V30" si="9">I21+T21</f>
        <v>15.834065399106509</v>
      </c>
      <c r="W21" s="203">
        <f t="shared" ref="W21:W30" si="10">F21*V21</f>
        <v>14298.161055393177</v>
      </c>
      <c r="X21" s="203">
        <f t="shared" si="7"/>
        <v>265.54105539317788</v>
      </c>
      <c r="Y21" s="204">
        <f t="shared" ref="Y21:Y31" si="11">X21*12</f>
        <v>3186.4926647181346</v>
      </c>
      <c r="AA21" s="205">
        <f t="shared" ref="AA21:AA30" si="12">O21*$R$11</f>
        <v>3107.8439097302253</v>
      </c>
      <c r="AB21" s="206">
        <f t="shared" ref="AB21:AB30" si="13">IF(I21=0,"",V21/I21-1)</f>
        <v>1.8923127355631175E-2</v>
      </c>
    </row>
    <row r="22" spans="1:28">
      <c r="A22" s="148" t="s">
        <v>120</v>
      </c>
      <c r="F22" s="149">
        <v>20</v>
      </c>
      <c r="G22" s="150">
        <v>52</v>
      </c>
      <c r="I22" s="287">
        <v>26.17</v>
      </c>
      <c r="J22" s="154">
        <f t="shared" si="0"/>
        <v>523.40000000000009</v>
      </c>
      <c r="K22" s="154">
        <f t="shared" si="1"/>
        <v>6280.8000000000011</v>
      </c>
      <c r="L22" s="199">
        <f>+L15*2</f>
        <v>42</v>
      </c>
      <c r="M22" s="151">
        <f t="shared" si="8"/>
        <v>42.495044407777343</v>
      </c>
      <c r="N22" s="154">
        <f t="shared" si="2"/>
        <v>21.84</v>
      </c>
      <c r="O22" s="329">
        <f t="shared" ref="O22:O31" si="14">$O$4*N22</f>
        <v>22.09742309204422</v>
      </c>
      <c r="Q22" s="177">
        <f t="shared" si="3"/>
        <v>0.13237206333022622</v>
      </c>
      <c r="R22" s="201">
        <f t="shared" si="4"/>
        <v>0.57317103421987958</v>
      </c>
      <c r="S22" s="201">
        <f t="shared" si="5"/>
        <v>1.4959763993138857E-2</v>
      </c>
      <c r="T22" s="202">
        <f t="shared" si="6"/>
        <v>0.58813079821301839</v>
      </c>
      <c r="V22" s="201">
        <f t="shared" si="9"/>
        <v>26.758130798213021</v>
      </c>
      <c r="W22" s="203">
        <f t="shared" si="10"/>
        <v>535.16261596426045</v>
      </c>
      <c r="X22" s="203">
        <f t="shared" si="7"/>
        <v>11.762615964260362</v>
      </c>
      <c r="Y22" s="204">
        <f t="shared" si="11"/>
        <v>141.15139157112435</v>
      </c>
      <c r="AA22" s="205">
        <f t="shared" si="12"/>
        <v>137.66694586343527</v>
      </c>
      <c r="AB22" s="206">
        <f t="shared" si="13"/>
        <v>2.2473473374589936E-2</v>
      </c>
    </row>
    <row r="23" spans="1:28">
      <c r="A23" s="148" t="s">
        <v>121</v>
      </c>
      <c r="F23" s="149">
        <v>2</v>
      </c>
      <c r="G23" s="150">
        <v>52</v>
      </c>
      <c r="I23" s="287">
        <v>37.770000000000003</v>
      </c>
      <c r="J23" s="154">
        <f t="shared" si="0"/>
        <v>75.540000000000006</v>
      </c>
      <c r="K23" s="154">
        <f t="shared" si="1"/>
        <v>906.48</v>
      </c>
      <c r="L23" s="199">
        <f>+L15*3</f>
        <v>63</v>
      </c>
      <c r="M23" s="151">
        <f t="shared" si="8"/>
        <v>63.742566611666014</v>
      </c>
      <c r="N23" s="154">
        <f t="shared" si="2"/>
        <v>3.28</v>
      </c>
      <c r="O23" s="329">
        <f t="shared" si="14"/>
        <v>3.3186606108930876</v>
      </c>
      <c r="Q23" s="177">
        <f t="shared" si="3"/>
        <v>0.1985580949953393</v>
      </c>
      <c r="R23" s="201">
        <f t="shared" si="4"/>
        <v>0.85975655132981921</v>
      </c>
      <c r="S23" s="201">
        <f t="shared" si="5"/>
        <v>2.2439645989708278E-2</v>
      </c>
      <c r="T23" s="202">
        <f t="shared" si="6"/>
        <v>0.88219619731952748</v>
      </c>
      <c r="V23" s="201">
        <f>I23+T23</f>
        <v>38.652196197319533</v>
      </c>
      <c r="W23" s="203">
        <f t="shared" si="10"/>
        <v>77.304392394639066</v>
      </c>
      <c r="X23" s="203">
        <f t="shared" si="7"/>
        <v>1.7643923946390601</v>
      </c>
      <c r="Y23" s="204">
        <f t="shared" si="11"/>
        <v>21.172708735668721</v>
      </c>
      <c r="AA23" s="205">
        <f t="shared" si="12"/>
        <v>20.675255605863903</v>
      </c>
      <c r="AB23" s="206">
        <f t="shared" si="13"/>
        <v>2.3357061088682185E-2</v>
      </c>
    </row>
    <row r="24" spans="1:28">
      <c r="A24" s="148" t="s">
        <v>122</v>
      </c>
      <c r="F24" s="149">
        <v>0</v>
      </c>
      <c r="G24" s="150">
        <v>52</v>
      </c>
      <c r="I24" s="287">
        <v>50.51</v>
      </c>
      <c r="J24" s="154">
        <f t="shared" si="0"/>
        <v>0</v>
      </c>
      <c r="K24" s="154">
        <f t="shared" si="1"/>
        <v>0</v>
      </c>
      <c r="L24" s="199">
        <f>+L15*4</f>
        <v>84</v>
      </c>
      <c r="M24" s="151">
        <f t="shared" si="8"/>
        <v>84.990088815554685</v>
      </c>
      <c r="N24" s="154">
        <f t="shared" si="2"/>
        <v>0</v>
      </c>
      <c r="O24" s="329">
        <f t="shared" si="14"/>
        <v>0</v>
      </c>
      <c r="Q24" s="177">
        <f t="shared" si="3"/>
        <v>0.26474412666045244</v>
      </c>
      <c r="R24" s="201">
        <f t="shared" si="4"/>
        <v>1.1463420684397592</v>
      </c>
      <c r="S24" s="201">
        <f t="shared" si="5"/>
        <v>2.9919527986277714E-2</v>
      </c>
      <c r="T24" s="202">
        <f t="shared" si="6"/>
        <v>1.1762615964260368</v>
      </c>
      <c r="V24" s="201">
        <f t="shared" si="9"/>
        <v>51.686261596426036</v>
      </c>
      <c r="W24" s="203">
        <f t="shared" si="10"/>
        <v>0</v>
      </c>
      <c r="X24" s="203">
        <f t="shared" si="7"/>
        <v>0</v>
      </c>
      <c r="Y24" s="204">
        <f t="shared" si="11"/>
        <v>0</v>
      </c>
      <c r="AA24" s="205">
        <f t="shared" si="12"/>
        <v>0</v>
      </c>
      <c r="AB24" s="206">
        <f t="shared" si="13"/>
        <v>2.3287697414888786E-2</v>
      </c>
    </row>
    <row r="25" spans="1:28">
      <c r="A25" s="148" t="s">
        <v>167</v>
      </c>
      <c r="F25" s="149">
        <v>0</v>
      </c>
      <c r="G25" s="150">
        <v>52</v>
      </c>
      <c r="I25" s="287">
        <v>61.53</v>
      </c>
      <c r="J25" s="154">
        <f t="shared" si="0"/>
        <v>0</v>
      </c>
      <c r="K25" s="154">
        <f t="shared" si="1"/>
        <v>0</v>
      </c>
      <c r="L25" s="199">
        <f>+L15*5</f>
        <v>105</v>
      </c>
      <c r="M25" s="151">
        <f t="shared" si="8"/>
        <v>106.23761101944336</v>
      </c>
      <c r="N25" s="154">
        <f t="shared" si="2"/>
        <v>0</v>
      </c>
      <c r="O25" s="329">
        <f t="shared" si="14"/>
        <v>0</v>
      </c>
      <c r="Q25" s="177">
        <f t="shared" si="3"/>
        <v>0.33093015832556555</v>
      </c>
      <c r="R25" s="201">
        <f t="shared" si="4"/>
        <v>1.4329275855496988</v>
      </c>
      <c r="S25" s="201">
        <f t="shared" si="5"/>
        <v>3.7399409982847139E-2</v>
      </c>
      <c r="T25" s="202">
        <f t="shared" si="6"/>
        <v>1.470326995532546</v>
      </c>
      <c r="V25" s="201">
        <f t="shared" si="9"/>
        <v>63.000326995532546</v>
      </c>
      <c r="W25" s="203">
        <f t="shared" si="10"/>
        <v>0</v>
      </c>
      <c r="X25" s="203">
        <f t="shared" si="7"/>
        <v>0</v>
      </c>
      <c r="Y25" s="204">
        <f t="shared" si="11"/>
        <v>0</v>
      </c>
      <c r="AA25" s="205">
        <f t="shared" si="12"/>
        <v>0</v>
      </c>
      <c r="AB25" s="206">
        <f t="shared" si="13"/>
        <v>2.389609939107018E-2</v>
      </c>
    </row>
    <row r="26" spans="1:28" s="314" customFormat="1">
      <c r="A26" s="301" t="s">
        <v>168</v>
      </c>
      <c r="B26" s="302"/>
      <c r="C26" s="302"/>
      <c r="D26" s="302"/>
      <c r="E26" s="302"/>
      <c r="F26" s="303">
        <v>0</v>
      </c>
      <c r="G26" s="302">
        <v>52</v>
      </c>
      <c r="H26" s="302"/>
      <c r="I26" s="316"/>
      <c r="J26" s="304">
        <f t="shared" si="0"/>
        <v>0</v>
      </c>
      <c r="K26" s="304">
        <f t="shared" si="1"/>
        <v>0</v>
      </c>
      <c r="L26" s="305">
        <f>+L15*6</f>
        <v>126</v>
      </c>
      <c r="M26" s="306">
        <f t="shared" si="8"/>
        <v>127.48513322333203</v>
      </c>
      <c r="N26" s="304">
        <f t="shared" si="2"/>
        <v>0</v>
      </c>
      <c r="O26" s="329">
        <f t="shared" si="14"/>
        <v>0</v>
      </c>
      <c r="P26" s="302"/>
      <c r="Q26" s="307">
        <f t="shared" si="3"/>
        <v>0.3971161899906786</v>
      </c>
      <c r="R26" s="308">
        <f t="shared" si="4"/>
        <v>1.7195131026596384</v>
      </c>
      <c r="S26" s="308">
        <f t="shared" si="5"/>
        <v>4.4879291979416557E-2</v>
      </c>
      <c r="T26" s="309">
        <f t="shared" si="6"/>
        <v>1.764392394639055</v>
      </c>
      <c r="U26" s="302"/>
      <c r="V26" s="308">
        <f t="shared" si="9"/>
        <v>1.764392394639055</v>
      </c>
      <c r="W26" s="310">
        <f t="shared" si="10"/>
        <v>0</v>
      </c>
      <c r="X26" s="310">
        <f t="shared" si="7"/>
        <v>0</v>
      </c>
      <c r="Y26" s="311">
        <f t="shared" si="11"/>
        <v>0</v>
      </c>
      <c r="Z26" s="302"/>
      <c r="AA26" s="312">
        <f t="shared" si="12"/>
        <v>0</v>
      </c>
      <c r="AB26" s="313" t="str">
        <f t="shared" si="13"/>
        <v/>
      </c>
    </row>
    <row r="27" spans="1:28">
      <c r="A27" s="148" t="s">
        <v>113</v>
      </c>
      <c r="F27" s="149">
        <v>58</v>
      </c>
      <c r="G27" s="150">
        <v>12</v>
      </c>
      <c r="I27" s="287">
        <v>6.03</v>
      </c>
      <c r="J27" s="154">
        <f t="shared" si="0"/>
        <v>349.74</v>
      </c>
      <c r="K27" s="154">
        <f t="shared" si="1"/>
        <v>4196.88</v>
      </c>
      <c r="L27" s="199">
        <f>+L15</f>
        <v>21</v>
      </c>
      <c r="M27" s="151">
        <f t="shared" si="8"/>
        <v>21.247522203888671</v>
      </c>
      <c r="N27" s="154">
        <f t="shared" si="2"/>
        <v>7.31</v>
      </c>
      <c r="O27" s="329">
        <f t="shared" si="14"/>
        <v>7.3961613004964848</v>
      </c>
      <c r="Q27" s="177">
        <f t="shared" si="3"/>
        <v>6.618603166511311E-2</v>
      </c>
      <c r="R27" s="207">
        <f>Q27</f>
        <v>6.618603166511311E-2</v>
      </c>
      <c r="S27" s="201">
        <f t="shared" si="5"/>
        <v>1.7274554264594521E-3</v>
      </c>
      <c r="T27" s="202">
        <f t="shared" si="6"/>
        <v>6.7913487091572564E-2</v>
      </c>
      <c r="V27" s="201">
        <f t="shared" si="9"/>
        <v>6.0979134870915725</v>
      </c>
      <c r="W27" s="203">
        <f t="shared" si="10"/>
        <v>353.6789822513112</v>
      </c>
      <c r="X27" s="203">
        <f t="shared" si="7"/>
        <v>3.9389822513111881</v>
      </c>
      <c r="Y27" s="204">
        <f t="shared" si="11"/>
        <v>47.267787015734257</v>
      </c>
      <c r="AA27" s="205">
        <f t="shared" si="12"/>
        <v>46.078084902093025</v>
      </c>
      <c r="AB27" s="206">
        <f t="shared" si="13"/>
        <v>1.1262601507723513E-2</v>
      </c>
    </row>
    <row r="28" spans="1:28">
      <c r="A28" s="148" t="s">
        <v>123</v>
      </c>
      <c r="F28" s="149">
        <v>731</v>
      </c>
      <c r="G28" s="150">
        <v>52</v>
      </c>
      <c r="I28" s="287">
        <v>15.54</v>
      </c>
      <c r="J28" s="154">
        <f t="shared" si="0"/>
        <v>11359.74</v>
      </c>
      <c r="K28" s="154">
        <f t="shared" si="1"/>
        <v>136316.88</v>
      </c>
      <c r="L28" s="199">
        <f>+L15</f>
        <v>21</v>
      </c>
      <c r="M28" s="151">
        <f t="shared" si="8"/>
        <v>21.247522203888671</v>
      </c>
      <c r="N28" s="154">
        <f t="shared" si="2"/>
        <v>399.13</v>
      </c>
      <c r="O28" s="329">
        <f t="shared" si="14"/>
        <v>403.83445415419453</v>
      </c>
      <c r="Q28" s="177">
        <f t="shared" si="3"/>
        <v>6.618603166511311E-2</v>
      </c>
      <c r="R28" s="201">
        <f>Q28*4.33</f>
        <v>0.28658551710993979</v>
      </c>
      <c r="S28" s="201">
        <f t="shared" si="5"/>
        <v>7.4798819965694284E-3</v>
      </c>
      <c r="T28" s="202">
        <f t="shared" si="6"/>
        <v>0.2940653991065092</v>
      </c>
      <c r="V28" s="201">
        <f t="shared" si="9"/>
        <v>15.834065399106509</v>
      </c>
      <c r="W28" s="203">
        <f t="shared" si="10"/>
        <v>11574.701806746858</v>
      </c>
      <c r="X28" s="203">
        <f t="shared" si="7"/>
        <v>214.9618067468582</v>
      </c>
      <c r="Y28" s="204">
        <f t="shared" si="11"/>
        <v>2579.5416809622984</v>
      </c>
      <c r="AA28" s="205">
        <f t="shared" si="12"/>
        <v>2515.8886493806276</v>
      </c>
      <c r="AB28" s="206">
        <f t="shared" si="13"/>
        <v>1.8923127355631175E-2</v>
      </c>
    </row>
    <row r="29" spans="1:28">
      <c r="A29" s="148" t="s">
        <v>169</v>
      </c>
      <c r="F29" s="149">
        <v>809</v>
      </c>
      <c r="G29" s="150">
        <v>52</v>
      </c>
      <c r="I29" s="287">
        <v>23.23</v>
      </c>
      <c r="J29" s="154">
        <f t="shared" si="0"/>
        <v>18793.07</v>
      </c>
      <c r="K29" s="154">
        <f t="shared" si="1"/>
        <v>225516.84</v>
      </c>
      <c r="L29" s="199">
        <f>+L15*2</f>
        <v>42</v>
      </c>
      <c r="M29" s="151">
        <f t="shared" si="8"/>
        <v>42.495044407777343</v>
      </c>
      <c r="N29" s="154">
        <f t="shared" si="2"/>
        <v>883.43</v>
      </c>
      <c r="O29" s="329">
        <f t="shared" si="14"/>
        <v>893.84278764673184</v>
      </c>
      <c r="Q29" s="177">
        <f t="shared" si="3"/>
        <v>0.13237206333022622</v>
      </c>
      <c r="R29" s="201">
        <f>Q29*4.33</f>
        <v>0.57317103421987958</v>
      </c>
      <c r="S29" s="201">
        <f t="shared" si="5"/>
        <v>1.4959763993138857E-2</v>
      </c>
      <c r="T29" s="202">
        <f t="shared" si="6"/>
        <v>0.58813079821301839</v>
      </c>
      <c r="V29" s="201">
        <f t="shared" si="9"/>
        <v>23.818130798213019</v>
      </c>
      <c r="W29" s="203">
        <f t="shared" si="10"/>
        <v>19268.867815754333</v>
      </c>
      <c r="X29" s="203">
        <f t="shared" si="7"/>
        <v>475.79781575433299</v>
      </c>
      <c r="Y29" s="204">
        <f t="shared" si="11"/>
        <v>5709.5737890519958</v>
      </c>
      <c r="AA29" s="205">
        <f t="shared" si="12"/>
        <v>5568.6405670391305</v>
      </c>
      <c r="AB29" s="206">
        <f t="shared" si="13"/>
        <v>2.5317727000129908E-2</v>
      </c>
    </row>
    <row r="30" spans="1:28">
      <c r="A30" s="148" t="s">
        <v>170</v>
      </c>
      <c r="F30" s="149">
        <v>205</v>
      </c>
      <c r="G30" s="150">
        <v>52</v>
      </c>
      <c r="I30" s="287">
        <v>32.74</v>
      </c>
      <c r="J30" s="154">
        <f t="shared" si="0"/>
        <v>6711.7000000000007</v>
      </c>
      <c r="K30" s="154">
        <f t="shared" si="1"/>
        <v>80540.400000000009</v>
      </c>
      <c r="L30" s="199">
        <f>+L15*3</f>
        <v>63</v>
      </c>
      <c r="M30" s="151">
        <f t="shared" si="8"/>
        <v>63.742566611666014</v>
      </c>
      <c r="N30" s="154">
        <f t="shared" si="2"/>
        <v>335.79</v>
      </c>
      <c r="O30" s="329">
        <f t="shared" si="14"/>
        <v>339.74788004017989</v>
      </c>
      <c r="Q30" s="177">
        <f t="shared" si="3"/>
        <v>0.1985580949953393</v>
      </c>
      <c r="R30" s="201">
        <f>Q30*4.33</f>
        <v>0.85975655132981921</v>
      </c>
      <c r="S30" s="201">
        <f t="shared" si="5"/>
        <v>2.2439645989708278E-2</v>
      </c>
      <c r="T30" s="202">
        <f t="shared" si="6"/>
        <v>0.88219619731952748</v>
      </c>
      <c r="V30" s="201">
        <f t="shared" si="9"/>
        <v>33.622196197319532</v>
      </c>
      <c r="W30" s="203">
        <f t="shared" si="10"/>
        <v>6892.5502204505037</v>
      </c>
      <c r="X30" s="203">
        <f t="shared" si="7"/>
        <v>180.850220450503</v>
      </c>
      <c r="Y30" s="204">
        <f t="shared" si="11"/>
        <v>2170.202645406036</v>
      </c>
      <c r="AA30" s="205">
        <f t="shared" si="12"/>
        <v>2116.6292926503174</v>
      </c>
      <c r="AB30" s="206">
        <f t="shared" si="13"/>
        <v>2.6945516106277712E-2</v>
      </c>
    </row>
    <row r="31" spans="1:28">
      <c r="A31" s="148" t="s">
        <v>32</v>
      </c>
      <c r="F31" s="149"/>
      <c r="G31" s="150">
        <v>12</v>
      </c>
      <c r="I31" s="287">
        <v>3.83</v>
      </c>
      <c r="J31" s="154">
        <f t="shared" si="0"/>
        <v>0</v>
      </c>
      <c r="K31" s="154">
        <f t="shared" si="1"/>
        <v>0</v>
      </c>
      <c r="L31" s="199">
        <f>+L15</f>
        <v>21</v>
      </c>
      <c r="M31" s="151">
        <f t="shared" si="8"/>
        <v>21.247522203888671</v>
      </c>
      <c r="N31" s="154">
        <f t="shared" si="2"/>
        <v>0</v>
      </c>
      <c r="O31" s="329">
        <f t="shared" si="14"/>
        <v>0</v>
      </c>
      <c r="Q31" s="177">
        <f t="shared" si="3"/>
        <v>6.618603166511311E-2</v>
      </c>
      <c r="R31" s="207">
        <f>Q31</f>
        <v>6.618603166511311E-2</v>
      </c>
      <c r="S31" s="201">
        <f t="shared" si="5"/>
        <v>1.7274554264594521E-3</v>
      </c>
      <c r="T31" s="202">
        <f t="shared" si="6"/>
        <v>6.7913487091572564E-2</v>
      </c>
      <c r="V31" s="201">
        <f>I31+T31</f>
        <v>3.8979134870915728</v>
      </c>
      <c r="W31" s="203">
        <f>F31*V31</f>
        <v>0</v>
      </c>
      <c r="X31" s="203">
        <f t="shared" si="7"/>
        <v>0</v>
      </c>
      <c r="Y31" s="204">
        <f t="shared" si="11"/>
        <v>0</v>
      </c>
      <c r="AA31" s="205">
        <f>O31*$R$11</f>
        <v>0</v>
      </c>
    </row>
    <row r="32" spans="1:28">
      <c r="A32" s="148" t="s">
        <v>223</v>
      </c>
      <c r="F32" s="149"/>
      <c r="G32" s="150">
        <v>12</v>
      </c>
      <c r="I32" s="147"/>
      <c r="J32" s="154">
        <f t="shared" si="0"/>
        <v>0</v>
      </c>
      <c r="K32" s="154">
        <f t="shared" si="1"/>
        <v>0</v>
      </c>
      <c r="L32" s="199"/>
      <c r="N32" s="154"/>
      <c r="O32" s="200"/>
      <c r="AA32" s="169"/>
    </row>
    <row r="33" spans="1:28">
      <c r="A33" s="148" t="s">
        <v>224</v>
      </c>
      <c r="F33" s="149"/>
      <c r="G33" s="150">
        <v>12</v>
      </c>
      <c r="I33" s="147"/>
      <c r="J33" s="154">
        <f t="shared" si="0"/>
        <v>0</v>
      </c>
      <c r="K33" s="154">
        <f t="shared" si="1"/>
        <v>0</v>
      </c>
      <c r="L33" s="199"/>
      <c r="N33" s="154"/>
      <c r="O33" s="200"/>
      <c r="AA33" s="169"/>
    </row>
    <row r="34" spans="1:28">
      <c r="A34" s="148" t="s">
        <v>225</v>
      </c>
      <c r="F34" s="149"/>
      <c r="G34" s="150">
        <v>12</v>
      </c>
      <c r="I34" s="147"/>
      <c r="J34" s="154">
        <f t="shared" si="0"/>
        <v>0</v>
      </c>
      <c r="K34" s="154">
        <f t="shared" si="1"/>
        <v>0</v>
      </c>
      <c r="L34" s="199"/>
      <c r="N34" s="154"/>
      <c r="O34" s="200"/>
      <c r="AA34" s="169"/>
    </row>
    <row r="35" spans="1:28">
      <c r="A35" s="148" t="s">
        <v>226</v>
      </c>
      <c r="F35" s="149"/>
      <c r="G35" s="150">
        <v>12</v>
      </c>
      <c r="I35" s="147"/>
      <c r="J35" s="154">
        <f t="shared" si="0"/>
        <v>0</v>
      </c>
      <c r="K35" s="154">
        <f t="shared" si="1"/>
        <v>0</v>
      </c>
      <c r="L35" s="199"/>
      <c r="N35" s="154"/>
      <c r="O35" s="200"/>
      <c r="AA35" s="169"/>
    </row>
    <row r="36" spans="1:28">
      <c r="A36" s="148" t="s">
        <v>227</v>
      </c>
      <c r="F36" s="149"/>
      <c r="G36" s="150">
        <v>12</v>
      </c>
      <c r="I36" s="147"/>
      <c r="J36" s="154">
        <f t="shared" si="0"/>
        <v>0</v>
      </c>
      <c r="K36" s="154">
        <f t="shared" si="1"/>
        <v>0</v>
      </c>
      <c r="L36" s="199"/>
      <c r="N36" s="154"/>
      <c r="O36" s="200"/>
      <c r="AA36" s="169"/>
    </row>
    <row r="37" spans="1:28">
      <c r="A37" s="148"/>
      <c r="F37" s="149"/>
      <c r="I37" s="147"/>
      <c r="J37" s="154"/>
      <c r="K37" s="154"/>
      <c r="L37" s="199"/>
      <c r="N37" s="154"/>
      <c r="O37" s="200"/>
      <c r="AA37" s="169"/>
    </row>
    <row r="38" spans="1:28" ht="12" thickBot="1">
      <c r="A38" s="198" t="s">
        <v>321</v>
      </c>
      <c r="F38" s="149"/>
      <c r="I38" s="208"/>
      <c r="J38" s="154"/>
      <c r="K38" s="154"/>
      <c r="L38" s="199"/>
      <c r="N38" s="154"/>
      <c r="O38" s="200"/>
      <c r="AA38" s="169"/>
    </row>
    <row r="39" spans="1:28" ht="12" thickTop="1">
      <c r="A39" s="148" t="s">
        <v>118</v>
      </c>
      <c r="F39" s="149">
        <v>296.33333333333331</v>
      </c>
      <c r="G39" s="150">
        <v>52</v>
      </c>
      <c r="I39" s="287">
        <v>10.76</v>
      </c>
      <c r="J39" s="154">
        <f t="shared" ref="J39:J55" si="15">F39*I39</f>
        <v>3188.5466666666666</v>
      </c>
      <c r="K39" s="154">
        <f t="shared" ref="K39:K55" si="16">J39*12</f>
        <v>38262.559999999998</v>
      </c>
      <c r="L39" s="199">
        <f>ROUND((L$15/32*19),2)</f>
        <v>12.47</v>
      </c>
      <c r="M39" s="151">
        <f>L39*$O$4</f>
        <v>12.616981042023417</v>
      </c>
      <c r="N39" s="154">
        <f t="shared" ref="N39:N50" si="17">ROUND(((F39*G39*L39)/2000),2)</f>
        <v>96.08</v>
      </c>
      <c r="O39" s="200">
        <f>$O$4*N39</f>
        <v>97.212473016648744</v>
      </c>
      <c r="Q39" s="177">
        <f t="shared" ref="Q39:Q50" si="18">M39*$R$12</f>
        <v>3.930189594590288E-2</v>
      </c>
      <c r="R39" s="201">
        <f t="shared" ref="R39:R45" si="19">Q39*4.33</f>
        <v>0.17017720944575948</v>
      </c>
      <c r="S39" s="201">
        <f t="shared" ref="S39:S50" si="20">R39*$U$12</f>
        <v>4.4416251665343222E-3</v>
      </c>
      <c r="T39" s="202">
        <f t="shared" ref="T39:T50" si="21">+R39+S39</f>
        <v>0.1746188346122938</v>
      </c>
      <c r="V39" s="201">
        <f>I39+T39</f>
        <v>10.934618834612294</v>
      </c>
      <c r="W39" s="203">
        <f>F39*V39</f>
        <v>3240.2920479901095</v>
      </c>
      <c r="X39" s="203">
        <f t="shared" ref="X39:X50" si="22">W39-J39</f>
        <v>51.745381323442871</v>
      </c>
      <c r="Y39" s="204">
        <f>X39*12</f>
        <v>620.94457588131445</v>
      </c>
      <c r="AA39" s="205">
        <f>O39*$R$11</f>
        <v>605.63370689372073</v>
      </c>
      <c r="AB39" s="206">
        <f>IF(I39=0,"",V39/I39-1)</f>
        <v>1.6228516227908329E-2</v>
      </c>
    </row>
    <row r="40" spans="1:28">
      <c r="A40" s="148" t="s">
        <v>119</v>
      </c>
      <c r="F40" s="149">
        <v>1617.9166666666667</v>
      </c>
      <c r="G40" s="150">
        <v>52</v>
      </c>
      <c r="I40" s="287">
        <v>15.54</v>
      </c>
      <c r="J40" s="154">
        <f t="shared" si="15"/>
        <v>25142.424999999999</v>
      </c>
      <c r="K40" s="154">
        <f t="shared" si="16"/>
        <v>301709.09999999998</v>
      </c>
      <c r="L40" s="199">
        <f>L21</f>
        <v>21</v>
      </c>
      <c r="M40" s="151">
        <f>L40*$O$4</f>
        <v>21.247522203888671</v>
      </c>
      <c r="N40" s="154">
        <f t="shared" si="17"/>
        <v>883.38</v>
      </c>
      <c r="O40" s="329">
        <f t="shared" ref="O40:O50" si="23">$O$4*N40</f>
        <v>893.79219830815123</v>
      </c>
      <c r="Q40" s="177">
        <f>M40*$R$12</f>
        <v>6.618603166511311E-2</v>
      </c>
      <c r="R40" s="201">
        <f>Q40*4.33</f>
        <v>0.28658551710993979</v>
      </c>
      <c r="S40" s="201">
        <f t="shared" si="20"/>
        <v>7.4798819965694284E-3</v>
      </c>
      <c r="T40" s="202">
        <f>+R40+S40</f>
        <v>0.2940653991065092</v>
      </c>
      <c r="V40" s="201">
        <f t="shared" ref="V40:V41" si="24">I40+T40</f>
        <v>15.834065399106509</v>
      </c>
      <c r="W40" s="203">
        <f t="shared" ref="W40:W49" si="25">F40*V40</f>
        <v>25618.198310304408</v>
      </c>
      <c r="X40" s="203">
        <f t="shared" si="22"/>
        <v>475.77331030440837</v>
      </c>
      <c r="Y40" s="204">
        <f t="shared" ref="Y40:Y50" si="26">X40*12</f>
        <v>5709.2797236529004</v>
      </c>
      <c r="AA40" s="205">
        <f t="shared" ref="AA40:AA49" si="27">O40*$R$11</f>
        <v>5568.3253954597731</v>
      </c>
      <c r="AB40" s="206">
        <f t="shared" ref="AB40:AB49" si="28">IF(I40=0,"",V40/I40-1)</f>
        <v>1.8923127355631175E-2</v>
      </c>
    </row>
    <row r="41" spans="1:28">
      <c r="A41" s="148" t="s">
        <v>120</v>
      </c>
      <c r="F41" s="149">
        <v>105.66666666666667</v>
      </c>
      <c r="G41" s="150">
        <v>52</v>
      </c>
      <c r="I41" s="287">
        <v>26.17</v>
      </c>
      <c r="J41" s="154">
        <f t="shared" si="15"/>
        <v>2765.2966666666671</v>
      </c>
      <c r="K41" s="154">
        <f t="shared" si="16"/>
        <v>33183.560000000005</v>
      </c>
      <c r="L41" s="328">
        <f t="shared" ref="L41:L50" si="29">L22</f>
        <v>42</v>
      </c>
      <c r="M41" s="151">
        <f t="shared" ref="M41:M50" si="30">L41*$O$4</f>
        <v>42.495044407777343</v>
      </c>
      <c r="N41" s="154">
        <f t="shared" si="17"/>
        <v>115.39</v>
      </c>
      <c r="O41" s="329">
        <f t="shared" si="23"/>
        <v>116.75007557651018</v>
      </c>
      <c r="Q41" s="177">
        <f t="shared" si="18"/>
        <v>0.13237206333022622</v>
      </c>
      <c r="R41" s="201">
        <f t="shared" si="19"/>
        <v>0.57317103421987958</v>
      </c>
      <c r="S41" s="201">
        <f t="shared" si="20"/>
        <v>1.4959763993138857E-2</v>
      </c>
      <c r="T41" s="202">
        <f t="shared" si="21"/>
        <v>0.58813079821301839</v>
      </c>
      <c r="V41" s="201">
        <f t="shared" si="24"/>
        <v>26.758130798213021</v>
      </c>
      <c r="W41" s="203">
        <f t="shared" si="25"/>
        <v>2827.4424876778426</v>
      </c>
      <c r="X41" s="203">
        <f t="shared" si="22"/>
        <v>62.145821011175485</v>
      </c>
      <c r="Y41" s="204">
        <f t="shared" si="26"/>
        <v>745.74985213410582</v>
      </c>
      <c r="AA41" s="205">
        <f t="shared" si="27"/>
        <v>727.35297084165722</v>
      </c>
      <c r="AB41" s="206">
        <f t="shared" si="28"/>
        <v>2.2473473374589936E-2</v>
      </c>
    </row>
    <row r="42" spans="1:28">
      <c r="A42" s="148" t="s">
        <v>121</v>
      </c>
      <c r="F42" s="149">
        <v>5</v>
      </c>
      <c r="G42" s="150">
        <v>52</v>
      </c>
      <c r="I42" s="287">
        <v>37.770000000000003</v>
      </c>
      <c r="J42" s="154">
        <f t="shared" si="15"/>
        <v>188.85000000000002</v>
      </c>
      <c r="K42" s="154">
        <f t="shared" si="16"/>
        <v>2266.2000000000003</v>
      </c>
      <c r="L42" s="328">
        <f t="shared" si="29"/>
        <v>63</v>
      </c>
      <c r="M42" s="151">
        <f t="shared" si="30"/>
        <v>63.742566611666014</v>
      </c>
      <c r="N42" s="154">
        <f t="shared" si="17"/>
        <v>8.19</v>
      </c>
      <c r="O42" s="329">
        <f t="shared" si="23"/>
        <v>8.2865336595165822</v>
      </c>
      <c r="Q42" s="177">
        <f t="shared" si="18"/>
        <v>0.1985580949953393</v>
      </c>
      <c r="R42" s="201">
        <f t="shared" si="19"/>
        <v>0.85975655132981921</v>
      </c>
      <c r="S42" s="201">
        <f t="shared" si="20"/>
        <v>2.2439645989708278E-2</v>
      </c>
      <c r="T42" s="202">
        <f t="shared" si="21"/>
        <v>0.88219619731952748</v>
      </c>
      <c r="V42" s="201">
        <f>I42+T42</f>
        <v>38.652196197319533</v>
      </c>
      <c r="W42" s="203">
        <f t="shared" si="25"/>
        <v>193.26098098659767</v>
      </c>
      <c r="X42" s="203">
        <f t="shared" si="22"/>
        <v>4.4109809865976501</v>
      </c>
      <c r="Y42" s="204">
        <f t="shared" si="26"/>
        <v>52.931771839171802</v>
      </c>
      <c r="AA42" s="205">
        <f t="shared" si="27"/>
        <v>51.625104698788221</v>
      </c>
      <c r="AB42" s="206">
        <f t="shared" si="28"/>
        <v>2.3357061088682185E-2</v>
      </c>
    </row>
    <row r="43" spans="1:28">
      <c r="A43" s="148" t="s">
        <v>122</v>
      </c>
      <c r="F43" s="149">
        <v>1</v>
      </c>
      <c r="G43" s="150">
        <v>52</v>
      </c>
      <c r="I43" s="287">
        <v>50.51</v>
      </c>
      <c r="J43" s="154">
        <f t="shared" si="15"/>
        <v>50.51</v>
      </c>
      <c r="K43" s="154">
        <f t="shared" si="16"/>
        <v>606.12</v>
      </c>
      <c r="L43" s="328">
        <f t="shared" si="29"/>
        <v>84</v>
      </c>
      <c r="M43" s="151">
        <f t="shared" si="30"/>
        <v>84.990088815554685</v>
      </c>
      <c r="N43" s="154">
        <f t="shared" si="17"/>
        <v>2.1800000000000002</v>
      </c>
      <c r="O43" s="329">
        <f t="shared" si="23"/>
        <v>2.205695162117967</v>
      </c>
      <c r="Q43" s="177">
        <f t="shared" si="18"/>
        <v>0.26474412666045244</v>
      </c>
      <c r="R43" s="201">
        <f t="shared" si="19"/>
        <v>1.1463420684397592</v>
      </c>
      <c r="S43" s="201">
        <f t="shared" si="20"/>
        <v>2.9919527986277714E-2</v>
      </c>
      <c r="T43" s="202">
        <f t="shared" si="21"/>
        <v>1.1762615964260368</v>
      </c>
      <c r="V43" s="201">
        <f t="shared" ref="V43:V49" si="31">I43+T43</f>
        <v>51.686261596426036</v>
      </c>
      <c r="W43" s="203">
        <f t="shared" si="25"/>
        <v>51.686261596426036</v>
      </c>
      <c r="X43" s="203">
        <f t="shared" si="22"/>
        <v>1.1762615964260377</v>
      </c>
      <c r="Y43" s="204">
        <f t="shared" si="26"/>
        <v>14.115139157112452</v>
      </c>
      <c r="AA43" s="205">
        <f t="shared" si="27"/>
        <v>13.741480859994912</v>
      </c>
      <c r="AB43" s="206">
        <f t="shared" si="28"/>
        <v>2.3287697414888786E-2</v>
      </c>
    </row>
    <row r="44" spans="1:28">
      <c r="A44" s="148" t="s">
        <v>167</v>
      </c>
      <c r="F44" s="149"/>
      <c r="G44" s="150">
        <v>52</v>
      </c>
      <c r="I44" s="287">
        <v>61.53</v>
      </c>
      <c r="J44" s="154">
        <f t="shared" si="15"/>
        <v>0</v>
      </c>
      <c r="K44" s="154">
        <f t="shared" si="16"/>
        <v>0</v>
      </c>
      <c r="L44" s="328">
        <f t="shared" si="29"/>
        <v>105</v>
      </c>
      <c r="M44" s="151">
        <f t="shared" si="30"/>
        <v>106.23761101944336</v>
      </c>
      <c r="N44" s="154">
        <f t="shared" si="17"/>
        <v>0</v>
      </c>
      <c r="O44" s="329">
        <f t="shared" si="23"/>
        <v>0</v>
      </c>
      <c r="Q44" s="177">
        <f t="shared" si="18"/>
        <v>0.33093015832556555</v>
      </c>
      <c r="R44" s="201">
        <f t="shared" si="19"/>
        <v>1.4329275855496988</v>
      </c>
      <c r="S44" s="201">
        <f t="shared" si="20"/>
        <v>3.7399409982847139E-2</v>
      </c>
      <c r="T44" s="202">
        <f t="shared" si="21"/>
        <v>1.470326995532546</v>
      </c>
      <c r="V44" s="201">
        <f t="shared" si="31"/>
        <v>63.000326995532546</v>
      </c>
      <c r="W44" s="203">
        <f t="shared" si="25"/>
        <v>0</v>
      </c>
      <c r="X44" s="203">
        <f t="shared" si="22"/>
        <v>0</v>
      </c>
      <c r="Y44" s="204">
        <f t="shared" si="26"/>
        <v>0</v>
      </c>
      <c r="AA44" s="205">
        <f t="shared" si="27"/>
        <v>0</v>
      </c>
      <c r="AB44" s="206">
        <f t="shared" si="28"/>
        <v>2.389609939107018E-2</v>
      </c>
    </row>
    <row r="45" spans="1:28" s="314" customFormat="1">
      <c r="A45" s="301" t="s">
        <v>168</v>
      </c>
      <c r="B45" s="302"/>
      <c r="C45" s="302"/>
      <c r="D45" s="302"/>
      <c r="E45" s="302"/>
      <c r="F45" s="303"/>
      <c r="G45" s="302">
        <v>52</v>
      </c>
      <c r="H45" s="302"/>
      <c r="I45" s="316"/>
      <c r="J45" s="304">
        <f t="shared" si="15"/>
        <v>0</v>
      </c>
      <c r="K45" s="304">
        <f t="shared" si="16"/>
        <v>0</v>
      </c>
      <c r="L45" s="305">
        <f t="shared" si="29"/>
        <v>126</v>
      </c>
      <c r="M45" s="306">
        <f t="shared" si="30"/>
        <v>127.48513322333203</v>
      </c>
      <c r="N45" s="304">
        <f t="shared" si="17"/>
        <v>0</v>
      </c>
      <c r="O45" s="329">
        <f t="shared" si="23"/>
        <v>0</v>
      </c>
      <c r="P45" s="302"/>
      <c r="Q45" s="307">
        <f t="shared" si="18"/>
        <v>0.3971161899906786</v>
      </c>
      <c r="R45" s="308">
        <f t="shared" si="19"/>
        <v>1.7195131026596384</v>
      </c>
      <c r="S45" s="308">
        <f t="shared" si="20"/>
        <v>4.4879291979416557E-2</v>
      </c>
      <c r="T45" s="309">
        <f t="shared" si="21"/>
        <v>1.764392394639055</v>
      </c>
      <c r="U45" s="302"/>
      <c r="V45" s="308">
        <f t="shared" si="31"/>
        <v>1.764392394639055</v>
      </c>
      <c r="W45" s="310">
        <f t="shared" si="25"/>
        <v>0</v>
      </c>
      <c r="X45" s="310">
        <f t="shared" si="22"/>
        <v>0</v>
      </c>
      <c r="Y45" s="311">
        <f t="shared" si="26"/>
        <v>0</v>
      </c>
      <c r="Z45" s="302"/>
      <c r="AA45" s="312">
        <f t="shared" si="27"/>
        <v>0</v>
      </c>
      <c r="AB45" s="313" t="str">
        <f t="shared" si="28"/>
        <v/>
      </c>
    </row>
    <row r="46" spans="1:28">
      <c r="A46" s="148" t="s">
        <v>113</v>
      </c>
      <c r="F46" s="149">
        <v>53</v>
      </c>
      <c r="G46" s="150">
        <v>12</v>
      </c>
      <c r="I46" s="287">
        <v>6.03</v>
      </c>
      <c r="J46" s="154">
        <f t="shared" si="15"/>
        <v>319.59000000000003</v>
      </c>
      <c r="K46" s="154">
        <f t="shared" si="16"/>
        <v>3835.0800000000004</v>
      </c>
      <c r="L46" s="328">
        <f t="shared" si="29"/>
        <v>21</v>
      </c>
      <c r="M46" s="151">
        <f t="shared" si="30"/>
        <v>21.247522203888671</v>
      </c>
      <c r="N46" s="154">
        <f t="shared" si="17"/>
        <v>6.68</v>
      </c>
      <c r="O46" s="329">
        <f t="shared" si="23"/>
        <v>6.7587356343798248</v>
      </c>
      <c r="Q46" s="177">
        <f t="shared" si="18"/>
        <v>6.618603166511311E-2</v>
      </c>
      <c r="R46" s="207">
        <f>Q46</f>
        <v>6.618603166511311E-2</v>
      </c>
      <c r="S46" s="201">
        <f t="shared" si="20"/>
        <v>1.7274554264594521E-3</v>
      </c>
      <c r="T46" s="202">
        <f t="shared" si="21"/>
        <v>6.7913487091572564E-2</v>
      </c>
      <c r="V46" s="201">
        <f t="shared" si="31"/>
        <v>6.0979134870915725</v>
      </c>
      <c r="W46" s="203">
        <f t="shared" si="25"/>
        <v>323.18941481585335</v>
      </c>
      <c r="X46" s="203">
        <f t="shared" si="22"/>
        <v>3.5994148158533221</v>
      </c>
      <c r="Y46" s="204">
        <f t="shared" si="26"/>
        <v>43.192977790239865</v>
      </c>
      <c r="AA46" s="205">
        <f t="shared" si="27"/>
        <v>42.106923002186242</v>
      </c>
      <c r="AB46" s="206">
        <f t="shared" si="28"/>
        <v>1.1262601507723513E-2</v>
      </c>
    </row>
    <row r="47" spans="1:28">
      <c r="A47" s="148" t="s">
        <v>123</v>
      </c>
      <c r="F47" s="149">
        <v>789</v>
      </c>
      <c r="G47" s="150">
        <v>52</v>
      </c>
      <c r="I47" s="287">
        <v>15.54</v>
      </c>
      <c r="J47" s="154">
        <f t="shared" si="15"/>
        <v>12261.06</v>
      </c>
      <c r="K47" s="154">
        <f t="shared" si="16"/>
        <v>147132.72</v>
      </c>
      <c r="L47" s="328">
        <f t="shared" si="29"/>
        <v>21</v>
      </c>
      <c r="M47" s="151">
        <f t="shared" si="30"/>
        <v>21.247522203888671</v>
      </c>
      <c r="N47" s="154">
        <f t="shared" si="17"/>
        <v>430.79</v>
      </c>
      <c r="O47" s="329">
        <f t="shared" si="23"/>
        <v>435.86762334348577</v>
      </c>
      <c r="Q47" s="177">
        <f t="shared" si="18"/>
        <v>6.618603166511311E-2</v>
      </c>
      <c r="R47" s="201">
        <f>Q47*4.33</f>
        <v>0.28658551710993979</v>
      </c>
      <c r="S47" s="201">
        <f t="shared" si="20"/>
        <v>7.4798819965694284E-3</v>
      </c>
      <c r="T47" s="202">
        <f t="shared" si="21"/>
        <v>0.2940653991065092</v>
      </c>
      <c r="V47" s="201">
        <f t="shared" si="31"/>
        <v>15.834065399106509</v>
      </c>
      <c r="W47" s="203">
        <f t="shared" si="25"/>
        <v>12493.077599895036</v>
      </c>
      <c r="X47" s="203">
        <f t="shared" si="22"/>
        <v>232.01759989503626</v>
      </c>
      <c r="Y47" s="204">
        <f t="shared" si="26"/>
        <v>2784.2111987404351</v>
      </c>
      <c r="AA47" s="205">
        <f t="shared" si="27"/>
        <v>2715.4552934299118</v>
      </c>
      <c r="AB47" s="206">
        <f t="shared" si="28"/>
        <v>1.8923127355631175E-2</v>
      </c>
    </row>
    <row r="48" spans="1:28">
      <c r="A48" s="148" t="s">
        <v>169</v>
      </c>
      <c r="F48" s="149">
        <v>624.33333333333337</v>
      </c>
      <c r="G48" s="150">
        <v>52</v>
      </c>
      <c r="I48" s="287">
        <v>23.23</v>
      </c>
      <c r="J48" s="154">
        <f t="shared" si="15"/>
        <v>14503.263333333334</v>
      </c>
      <c r="K48" s="154">
        <f t="shared" si="16"/>
        <v>174039.16</v>
      </c>
      <c r="L48" s="328">
        <f t="shared" si="29"/>
        <v>42</v>
      </c>
      <c r="M48" s="151">
        <f t="shared" si="30"/>
        <v>42.495044407777343</v>
      </c>
      <c r="N48" s="154">
        <f t="shared" si="17"/>
        <v>681.77</v>
      </c>
      <c r="O48" s="329">
        <f t="shared" si="23"/>
        <v>689.80586728310379</v>
      </c>
      <c r="Q48" s="177">
        <f t="shared" si="18"/>
        <v>0.13237206333022622</v>
      </c>
      <c r="R48" s="201">
        <f>Q48*4.33</f>
        <v>0.57317103421987958</v>
      </c>
      <c r="S48" s="201">
        <f t="shared" si="20"/>
        <v>1.4959763993138857E-2</v>
      </c>
      <c r="T48" s="202">
        <f t="shared" si="21"/>
        <v>0.58813079821301839</v>
      </c>
      <c r="V48" s="201">
        <f t="shared" si="31"/>
        <v>23.818130798213019</v>
      </c>
      <c r="W48" s="203">
        <f t="shared" si="25"/>
        <v>14870.452995017662</v>
      </c>
      <c r="X48" s="203">
        <f t="shared" si="22"/>
        <v>367.1896616843278</v>
      </c>
      <c r="Y48" s="204">
        <f t="shared" si="26"/>
        <v>4406.2759402119336</v>
      </c>
      <c r="AA48" s="205">
        <f t="shared" si="27"/>
        <v>4297.4905531737295</v>
      </c>
      <c r="AB48" s="206">
        <f t="shared" si="28"/>
        <v>2.5317727000129908E-2</v>
      </c>
    </row>
    <row r="49" spans="1:28">
      <c r="A49" s="148" t="s">
        <v>170</v>
      </c>
      <c r="F49" s="149">
        <v>134.5</v>
      </c>
      <c r="G49" s="150">
        <v>52</v>
      </c>
      <c r="I49" s="287">
        <v>32.74</v>
      </c>
      <c r="J49" s="154">
        <f t="shared" si="15"/>
        <v>4403.5300000000007</v>
      </c>
      <c r="K49" s="154">
        <f t="shared" si="16"/>
        <v>52842.360000000008</v>
      </c>
      <c r="L49" s="328">
        <f t="shared" si="29"/>
        <v>63</v>
      </c>
      <c r="M49" s="151">
        <f t="shared" si="30"/>
        <v>63.742566611666014</v>
      </c>
      <c r="N49" s="154">
        <f t="shared" si="17"/>
        <v>220.31</v>
      </c>
      <c r="O49" s="329">
        <f t="shared" si="23"/>
        <v>222.90674365422444</v>
      </c>
      <c r="Q49" s="177">
        <f t="shared" si="18"/>
        <v>0.1985580949953393</v>
      </c>
      <c r="R49" s="201">
        <f>Q49*4.33</f>
        <v>0.85975655132981921</v>
      </c>
      <c r="S49" s="201">
        <f t="shared" si="20"/>
        <v>2.2439645989708278E-2</v>
      </c>
      <c r="T49" s="202">
        <f t="shared" si="21"/>
        <v>0.88219619731952748</v>
      </c>
      <c r="V49" s="201">
        <f t="shared" si="31"/>
        <v>33.622196197319532</v>
      </c>
      <c r="W49" s="203">
        <f t="shared" si="25"/>
        <v>4522.1853885394767</v>
      </c>
      <c r="X49" s="203">
        <f t="shared" si="22"/>
        <v>118.65538853947601</v>
      </c>
      <c r="Y49" s="204">
        <f t="shared" si="26"/>
        <v>1423.8646624737121</v>
      </c>
      <c r="AA49" s="205">
        <f t="shared" si="27"/>
        <v>1388.7090129658161</v>
      </c>
      <c r="AB49" s="206">
        <f t="shared" si="28"/>
        <v>2.6945516106277712E-2</v>
      </c>
    </row>
    <row r="50" spans="1:28">
      <c r="A50" s="148" t="s">
        <v>32</v>
      </c>
      <c r="F50" s="149"/>
      <c r="G50" s="150">
        <v>12</v>
      </c>
      <c r="I50" s="287">
        <v>3.12</v>
      </c>
      <c r="J50" s="154">
        <f t="shared" si="15"/>
        <v>0</v>
      </c>
      <c r="K50" s="154">
        <f t="shared" si="16"/>
        <v>0</v>
      </c>
      <c r="L50" s="328">
        <f t="shared" si="29"/>
        <v>21</v>
      </c>
      <c r="M50" s="151">
        <f t="shared" si="30"/>
        <v>21.247522203888671</v>
      </c>
      <c r="N50" s="154">
        <f t="shared" si="17"/>
        <v>0</v>
      </c>
      <c r="O50" s="329">
        <f t="shared" si="23"/>
        <v>0</v>
      </c>
      <c r="Q50" s="177">
        <f t="shared" si="18"/>
        <v>6.618603166511311E-2</v>
      </c>
      <c r="R50" s="207">
        <f>Q50</f>
        <v>6.618603166511311E-2</v>
      </c>
      <c r="S50" s="201">
        <f t="shared" si="20"/>
        <v>1.7274554264594521E-3</v>
      </c>
      <c r="T50" s="202">
        <f t="shared" si="21"/>
        <v>6.7913487091572564E-2</v>
      </c>
      <c r="V50" s="201">
        <f>I50+T50</f>
        <v>3.1879134870915729</v>
      </c>
      <c r="W50" s="203">
        <f>F50*V50</f>
        <v>0</v>
      </c>
      <c r="X50" s="203">
        <f t="shared" si="22"/>
        <v>0</v>
      </c>
      <c r="Y50" s="204">
        <f t="shared" si="26"/>
        <v>0</v>
      </c>
      <c r="AA50" s="205">
        <f>O50*$R$11</f>
        <v>0</v>
      </c>
    </row>
    <row r="51" spans="1:28">
      <c r="A51" s="148" t="s">
        <v>223</v>
      </c>
      <c r="F51" s="149"/>
      <c r="G51" s="150">
        <v>12</v>
      </c>
      <c r="I51" s="147"/>
      <c r="J51" s="154">
        <f t="shared" si="15"/>
        <v>0</v>
      </c>
      <c r="K51" s="154">
        <f t="shared" si="16"/>
        <v>0</v>
      </c>
      <c r="L51" s="199"/>
      <c r="N51" s="154"/>
      <c r="O51" s="200"/>
      <c r="AA51" s="169"/>
    </row>
    <row r="52" spans="1:28">
      <c r="A52" s="148" t="s">
        <v>224</v>
      </c>
      <c r="F52" s="149"/>
      <c r="G52" s="150">
        <v>12</v>
      </c>
      <c r="I52" s="147"/>
      <c r="J52" s="154">
        <f t="shared" si="15"/>
        <v>0</v>
      </c>
      <c r="K52" s="154">
        <f t="shared" si="16"/>
        <v>0</v>
      </c>
      <c r="L52" s="199"/>
      <c r="N52" s="154"/>
      <c r="O52" s="200"/>
      <c r="AA52" s="169"/>
    </row>
    <row r="53" spans="1:28">
      <c r="A53" s="148" t="s">
        <v>225</v>
      </c>
      <c r="F53" s="149"/>
      <c r="G53" s="150">
        <v>12</v>
      </c>
      <c r="I53" s="147"/>
      <c r="J53" s="154">
        <f t="shared" si="15"/>
        <v>0</v>
      </c>
      <c r="K53" s="154">
        <f t="shared" si="16"/>
        <v>0</v>
      </c>
      <c r="L53" s="199"/>
      <c r="N53" s="154"/>
      <c r="O53" s="200"/>
      <c r="AA53" s="169"/>
    </row>
    <row r="54" spans="1:28">
      <c r="A54" s="148" t="s">
        <v>226</v>
      </c>
      <c r="F54" s="149"/>
      <c r="G54" s="150">
        <v>12</v>
      </c>
      <c r="I54" s="147"/>
      <c r="J54" s="154">
        <f t="shared" si="15"/>
        <v>0</v>
      </c>
      <c r="K54" s="154">
        <f t="shared" si="16"/>
        <v>0</v>
      </c>
      <c r="L54" s="199"/>
      <c r="N54" s="154"/>
      <c r="O54" s="200"/>
      <c r="AA54" s="169"/>
    </row>
    <row r="55" spans="1:28">
      <c r="A55" s="148" t="s">
        <v>227</v>
      </c>
      <c r="F55" s="149"/>
      <c r="G55" s="150">
        <v>12</v>
      </c>
      <c r="I55" s="147"/>
      <c r="J55" s="154">
        <f t="shared" si="15"/>
        <v>0</v>
      </c>
      <c r="K55" s="154">
        <f t="shared" si="16"/>
        <v>0</v>
      </c>
      <c r="L55" s="199"/>
      <c r="N55" s="154"/>
      <c r="O55" s="200"/>
      <c r="AA55" s="169"/>
    </row>
    <row r="56" spans="1:28">
      <c r="A56" s="148"/>
      <c r="F56" s="149"/>
      <c r="I56" s="208"/>
      <c r="J56" s="154"/>
      <c r="K56" s="154"/>
      <c r="L56" s="199"/>
      <c r="N56" s="154"/>
      <c r="O56" s="200"/>
      <c r="AA56" s="169"/>
    </row>
    <row r="57" spans="1:28">
      <c r="F57" s="209"/>
      <c r="I57" s="210"/>
      <c r="J57" s="154"/>
      <c r="K57" s="154"/>
      <c r="L57" s="199"/>
      <c r="N57" s="154"/>
      <c r="O57" s="200"/>
      <c r="AA57" s="169"/>
    </row>
    <row r="58" spans="1:28">
      <c r="A58" s="150" t="s">
        <v>228</v>
      </c>
      <c r="C58" s="157"/>
      <c r="D58" s="157"/>
      <c r="E58" s="157"/>
      <c r="F58" s="211">
        <f>SUM(F20:F57)-F31</f>
        <v>6492.75</v>
      </c>
      <c r="G58" s="211"/>
      <c r="H58" s="211"/>
      <c r="I58" s="211"/>
      <c r="J58" s="211">
        <f>SUM(J20:J57)</f>
        <v>116156.52166666665</v>
      </c>
      <c r="K58" s="211">
        <f>SUM(K20:K57)</f>
        <v>1393878.26</v>
      </c>
      <c r="L58" s="158">
        <f>SUM(L20:L57)</f>
        <v>1242.94</v>
      </c>
      <c r="N58" s="211">
        <f>SUM(N20:N57)</f>
        <v>4633.33</v>
      </c>
      <c r="O58" s="211">
        <f>SUM(O20:O57)</f>
        <v>4687.9420025211193</v>
      </c>
      <c r="W58" s="203">
        <f>SUM(W20:W57)</f>
        <v>118651.94977495498</v>
      </c>
      <c r="X58" s="203">
        <f>SUM(X20:X57)</f>
        <v>2495.4281082883235</v>
      </c>
      <c r="Y58" s="203">
        <f>SUM(Y20:Y57)</f>
        <v>29945.137299459879</v>
      </c>
      <c r="AA58" s="212">
        <f>SUM(AA20:AA57)</f>
        <v>29205.878675706525</v>
      </c>
    </row>
    <row r="59" spans="1:28" ht="15" customHeight="1">
      <c r="F59" s="209"/>
      <c r="I59" s="210"/>
      <c r="J59" s="154"/>
      <c r="K59" s="154"/>
      <c r="N59" s="154"/>
      <c r="O59" s="200"/>
      <c r="AA59" s="213"/>
    </row>
    <row r="60" spans="1:28" s="218" customFormat="1" ht="12" thickBot="1">
      <c r="A60" s="214" t="s">
        <v>229</v>
      </c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5"/>
      <c r="N60" s="216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7"/>
    </row>
    <row r="61" spans="1:28">
      <c r="A61" s="219"/>
      <c r="B61" s="220" t="s">
        <v>230</v>
      </c>
      <c r="C61" s="220" t="s">
        <v>231</v>
      </c>
      <c r="D61" s="153" t="s">
        <v>232</v>
      </c>
      <c r="E61" s="153" t="s">
        <v>340</v>
      </c>
      <c r="I61" s="177"/>
      <c r="J61" s="154"/>
      <c r="K61" s="154"/>
      <c r="N61" s="154"/>
      <c r="O61" s="200"/>
      <c r="AA61" s="169"/>
    </row>
    <row r="62" spans="1:28" ht="12">
      <c r="A62" s="221" t="s">
        <v>272</v>
      </c>
      <c r="B62" s="220"/>
      <c r="C62" s="222">
        <f t="shared" ref="C62:C63" si="32">B62*4.3333</f>
        <v>0</v>
      </c>
      <c r="D62" s="150">
        <v>0.1</v>
      </c>
      <c r="E62" s="157">
        <f t="shared" ref="E62:E63" si="33">C62*D62</f>
        <v>0</v>
      </c>
      <c r="F62" s="223">
        <f t="shared" ref="F62:F63" si="34">B62</f>
        <v>0</v>
      </c>
      <c r="G62" s="150">
        <v>52</v>
      </c>
      <c r="I62" s="287">
        <v>3.25</v>
      </c>
      <c r="J62" s="325">
        <f t="shared" ref="J62:J125" si="35">+E62*I62</f>
        <v>0</v>
      </c>
      <c r="K62" s="154">
        <f t="shared" ref="K62:K63" si="36">J62*12</f>
        <v>0</v>
      </c>
      <c r="L62" s="199">
        <f t="shared" ref="L62:L63" si="37">+D62*L$16</f>
        <v>14.5</v>
      </c>
      <c r="M62" s="151">
        <f t="shared" ref="M62:M63" si="38">L62*$O$5</f>
        <v>14.670908188399322</v>
      </c>
      <c r="N62" s="225">
        <f t="shared" ref="N62:N63" si="39">ROUND((C62*L62*12)/2000,2)</f>
        <v>0</v>
      </c>
      <c r="O62" s="200">
        <f t="shared" ref="O62:O63" si="40">$O$5*N62</f>
        <v>0</v>
      </c>
      <c r="P62" s="226"/>
      <c r="Q62" s="177">
        <f t="shared" ref="Q62:Q63" si="41">M62*$R$12</f>
        <v>4.5699879006863814E-2</v>
      </c>
      <c r="R62" s="201">
        <f>Q62</f>
        <v>4.5699879006863814E-2</v>
      </c>
      <c r="S62" s="201">
        <f t="shared" ref="S62:S93" si="42">Q62*$U$12</f>
        <v>1.1927668420791454E-3</v>
      </c>
      <c r="T62" s="202">
        <f t="shared" ref="T62:T63" si="43">+Q62+S62</f>
        <v>4.6892645848942961E-2</v>
      </c>
      <c r="V62" s="201">
        <f t="shared" ref="V62:V63" si="44">I62+T62</f>
        <v>3.2968926458489429</v>
      </c>
      <c r="W62" s="203">
        <f>E62*V62</f>
        <v>0</v>
      </c>
      <c r="X62" s="203">
        <f t="shared" ref="X62:X125" si="45">W62-J62</f>
        <v>0</v>
      </c>
      <c r="Y62" s="204">
        <f t="shared" ref="Y62:Y63" si="46">X62*12</f>
        <v>0</v>
      </c>
      <c r="AA62" s="205">
        <f t="shared" ref="AA62:AA63" si="47">O62*$R$11</f>
        <v>0</v>
      </c>
      <c r="AB62" s="206">
        <f t="shared" ref="AB62:AB63" si="48">IF(I62=0,"",V62/I62-1)</f>
        <v>1.4428506415059328E-2</v>
      </c>
    </row>
    <row r="63" spans="1:28" ht="12">
      <c r="A63" s="221" t="s">
        <v>331</v>
      </c>
      <c r="B63" s="220"/>
      <c r="C63" s="222">
        <f t="shared" si="32"/>
        <v>0</v>
      </c>
      <c r="D63" s="150">
        <v>0.1</v>
      </c>
      <c r="E63" s="157">
        <f t="shared" si="33"/>
        <v>0</v>
      </c>
      <c r="F63" s="223">
        <f t="shared" si="34"/>
        <v>0</v>
      </c>
      <c r="G63" s="150">
        <v>52</v>
      </c>
      <c r="I63" s="287">
        <v>5.46</v>
      </c>
      <c r="J63" s="325">
        <f t="shared" si="35"/>
        <v>0</v>
      </c>
      <c r="K63" s="154">
        <f t="shared" si="36"/>
        <v>0</v>
      </c>
      <c r="L63" s="199">
        <f t="shared" si="37"/>
        <v>14.5</v>
      </c>
      <c r="M63" s="151">
        <f t="shared" si="38"/>
        <v>14.670908188399322</v>
      </c>
      <c r="N63" s="225">
        <f t="shared" si="39"/>
        <v>0</v>
      </c>
      <c r="O63" s="200">
        <f t="shared" si="40"/>
        <v>0</v>
      </c>
      <c r="P63" s="226"/>
      <c r="Q63" s="177">
        <f t="shared" si="41"/>
        <v>4.5699879006863814E-2</v>
      </c>
      <c r="R63" s="330">
        <f t="shared" ref="R63:R126" si="49">Q63</f>
        <v>4.5699879006863814E-2</v>
      </c>
      <c r="S63" s="201">
        <f t="shared" si="42"/>
        <v>1.1927668420791454E-3</v>
      </c>
      <c r="T63" s="202">
        <f t="shared" si="43"/>
        <v>4.6892645848942961E-2</v>
      </c>
      <c r="V63" s="201">
        <f t="shared" si="44"/>
        <v>5.5068926458489429</v>
      </c>
      <c r="W63" s="332">
        <f t="shared" ref="W63:W126" si="50">E63*V63</f>
        <v>0</v>
      </c>
      <c r="X63" s="332">
        <f t="shared" si="45"/>
        <v>0</v>
      </c>
      <c r="Y63" s="204">
        <f t="shared" si="46"/>
        <v>0</v>
      </c>
      <c r="AA63" s="205">
        <f t="shared" si="47"/>
        <v>0</v>
      </c>
      <c r="AB63" s="206">
        <f t="shared" si="48"/>
        <v>8.5883966756306052E-3</v>
      </c>
    </row>
    <row r="64" spans="1:28" ht="12">
      <c r="A64" s="221" t="s">
        <v>130</v>
      </c>
      <c r="B64" s="339">
        <v>30</v>
      </c>
      <c r="C64" s="222">
        <f>E64/12</f>
        <v>30.333333333333332</v>
      </c>
      <c r="D64" s="150">
        <v>0.158</v>
      </c>
      <c r="E64" s="157">
        <v>364</v>
      </c>
      <c r="F64" s="223">
        <f>B64</f>
        <v>30</v>
      </c>
      <c r="G64" s="150">
        <v>52</v>
      </c>
      <c r="I64" s="287">
        <v>4.53</v>
      </c>
      <c r="J64" s="325">
        <f t="shared" si="35"/>
        <v>1648.92</v>
      </c>
      <c r="K64" s="154">
        <f>J64*12</f>
        <v>19787.04</v>
      </c>
      <c r="L64" s="199">
        <f t="shared" ref="L64:L151" si="51">+D64*L$16</f>
        <v>22.91</v>
      </c>
      <c r="M64" s="151">
        <f>L64*$O$5</f>
        <v>23.180034937670928</v>
      </c>
      <c r="N64" s="225">
        <f t="shared" ref="N64:N151" si="52">ROUND((C64*L64*12)/2000,2)</f>
        <v>4.17</v>
      </c>
      <c r="O64" s="200">
        <f>$O$5*N64</f>
        <v>4.2191508376293223</v>
      </c>
      <c r="P64" s="226"/>
      <c r="Q64" s="177">
        <f t="shared" ref="Q64:Q68" si="53">M64*$R$12</f>
        <v>7.220580883084482E-2</v>
      </c>
      <c r="R64" s="330">
        <f t="shared" si="49"/>
        <v>7.220580883084482E-2</v>
      </c>
      <c r="S64" s="201">
        <f t="shared" si="42"/>
        <v>1.8845716104850497E-3</v>
      </c>
      <c r="T64" s="202">
        <f>+Q64+S64</f>
        <v>7.4090380441329873E-2</v>
      </c>
      <c r="V64" s="201">
        <f>I64+T64</f>
        <v>4.6040903804413302</v>
      </c>
      <c r="W64" s="332">
        <f t="shared" si="50"/>
        <v>1675.8888984806442</v>
      </c>
      <c r="X64" s="332">
        <f t="shared" si="45"/>
        <v>26.968898480644157</v>
      </c>
      <c r="Y64" s="204">
        <f>X64*12</f>
        <v>323.62678176772988</v>
      </c>
      <c r="AA64" s="205">
        <f>O64*$R$11</f>
        <v>26.285309718430636</v>
      </c>
      <c r="AB64" s="206">
        <f t="shared" ref="AB64:AB68" si="54">IF(I64=0,"",V64/I64-1)</f>
        <v>1.6355492371154412E-2</v>
      </c>
    </row>
    <row r="65" spans="1:28" ht="12">
      <c r="A65" s="300" t="str">
        <f>'Tariff Changes'!$A$111</f>
        <v>32 Gal Special</v>
      </c>
      <c r="B65" s="209"/>
      <c r="C65" s="222">
        <f t="shared" ref="C65:C132" si="55">B65*4.3333</f>
        <v>0</v>
      </c>
      <c r="D65" s="150">
        <v>0.158</v>
      </c>
      <c r="E65" s="157">
        <f t="shared" ref="E65:E132" si="56">C65*D65</f>
        <v>0</v>
      </c>
      <c r="F65" s="339">
        <f t="shared" ref="F65:F128" si="57">B65</f>
        <v>0</v>
      </c>
      <c r="G65" s="150">
        <v>52</v>
      </c>
      <c r="I65" s="287">
        <v>5.1100000000000003</v>
      </c>
      <c r="J65" s="325">
        <f t="shared" si="35"/>
        <v>0</v>
      </c>
      <c r="K65" s="154">
        <f t="shared" ref="K65:K67" si="58">J65*12</f>
        <v>0</v>
      </c>
      <c r="L65" s="199">
        <f t="shared" ref="L65:L67" si="59">+D65*L$16</f>
        <v>22.91</v>
      </c>
      <c r="M65" s="151">
        <f t="shared" ref="M65:M67" si="60">L65*$O$5</f>
        <v>23.180034937670928</v>
      </c>
      <c r="N65" s="225">
        <f t="shared" ref="N65:N67" si="61">ROUND((C65*L65*12)/2000,2)</f>
        <v>0</v>
      </c>
      <c r="O65" s="200">
        <f t="shared" ref="O65:O67" si="62">$O$5*N65</f>
        <v>0</v>
      </c>
      <c r="P65" s="226"/>
      <c r="Q65" s="177">
        <f t="shared" ref="Q65:Q67" si="63">M65*$R$12</f>
        <v>7.220580883084482E-2</v>
      </c>
      <c r="R65" s="330">
        <f t="shared" si="49"/>
        <v>7.220580883084482E-2</v>
      </c>
      <c r="S65" s="201">
        <f t="shared" si="42"/>
        <v>1.8845716104850497E-3</v>
      </c>
      <c r="T65" s="202">
        <f t="shared" ref="T65:T67" si="64">+Q65+S65</f>
        <v>7.4090380441329873E-2</v>
      </c>
      <c r="V65" s="201">
        <f t="shared" ref="V65:V67" si="65">I65+T65</f>
        <v>5.1840903804413303</v>
      </c>
      <c r="W65" s="332">
        <f t="shared" si="50"/>
        <v>0</v>
      </c>
      <c r="X65" s="332">
        <f t="shared" si="45"/>
        <v>0</v>
      </c>
      <c r="Y65" s="204">
        <f t="shared" ref="Y65:Y67" si="66">X65*12</f>
        <v>0</v>
      </c>
      <c r="AA65" s="205">
        <f t="shared" ref="AA65:AA67" si="67">O65*$R$11</f>
        <v>0</v>
      </c>
      <c r="AB65" s="206">
        <f t="shared" ref="AB65:AB67" si="68">IF(I65=0,"",V65/I65-1)</f>
        <v>1.449909597677701E-2</v>
      </c>
    </row>
    <row r="66" spans="1:28" s="324" customFormat="1" ht="12">
      <c r="A66" s="300" t="s">
        <v>337</v>
      </c>
      <c r="B66" s="336"/>
      <c r="C66" s="338">
        <f t="shared" ref="C66" si="69">B66*4.3333</f>
        <v>0</v>
      </c>
      <c r="D66" s="322">
        <v>0.158</v>
      </c>
      <c r="E66" s="326">
        <f t="shared" ref="E66" si="70">C66*D66</f>
        <v>0</v>
      </c>
      <c r="F66" s="339">
        <f t="shared" si="57"/>
        <v>0</v>
      </c>
      <c r="G66" s="322">
        <v>52</v>
      </c>
      <c r="H66" s="322"/>
      <c r="I66" s="287">
        <v>4.53</v>
      </c>
      <c r="J66" s="325">
        <f t="shared" si="35"/>
        <v>0</v>
      </c>
      <c r="K66" s="325">
        <f t="shared" ref="K66" si="71">J66*12</f>
        <v>0</v>
      </c>
      <c r="L66" s="328">
        <f t="shared" ref="L66" si="72">+D66*L$16</f>
        <v>22.91</v>
      </c>
      <c r="M66" s="323">
        <f t="shared" ref="M66" si="73">L66*$O$5</f>
        <v>23.180034937670928</v>
      </c>
      <c r="N66" s="340">
        <f t="shared" ref="N66" si="74">ROUND((C66*L66*12)/2000,2)</f>
        <v>0</v>
      </c>
      <c r="O66" s="329">
        <f t="shared" ref="O66" si="75">$O$5*N66</f>
        <v>0</v>
      </c>
      <c r="P66" s="341"/>
      <c r="Q66" s="327">
        <f t="shared" ref="Q66" si="76">M66*$R$12</f>
        <v>7.220580883084482E-2</v>
      </c>
      <c r="R66" s="330">
        <f t="shared" si="49"/>
        <v>7.220580883084482E-2</v>
      </c>
      <c r="S66" s="330">
        <f t="shared" si="42"/>
        <v>1.8845716104850497E-3</v>
      </c>
      <c r="T66" s="331">
        <f t="shared" ref="T66" si="77">+Q66+S66</f>
        <v>7.4090380441329873E-2</v>
      </c>
      <c r="U66" s="322"/>
      <c r="V66" s="330">
        <f t="shared" ref="V66" si="78">I66+T66</f>
        <v>4.6040903804413302</v>
      </c>
      <c r="W66" s="332">
        <f t="shared" si="50"/>
        <v>0</v>
      </c>
      <c r="X66" s="332">
        <f t="shared" si="45"/>
        <v>0</v>
      </c>
      <c r="Y66" s="333">
        <f t="shared" ref="Y66" si="79">X66*12</f>
        <v>0</v>
      </c>
      <c r="Z66" s="322"/>
      <c r="AA66" s="334">
        <f t="shared" ref="AA66" si="80">O66*$R$11</f>
        <v>0</v>
      </c>
      <c r="AB66" s="335">
        <f t="shared" ref="AB66" si="81">IF(I66=0,"",V66/I66-1)</f>
        <v>1.6355492371154412E-2</v>
      </c>
    </row>
    <row r="67" spans="1:28" ht="12">
      <c r="A67" s="300" t="s">
        <v>309</v>
      </c>
      <c r="B67" s="209"/>
      <c r="C67" s="222">
        <f t="shared" si="55"/>
        <v>0</v>
      </c>
      <c r="D67" s="150">
        <v>0.158</v>
      </c>
      <c r="E67" s="157">
        <f t="shared" si="56"/>
        <v>0</v>
      </c>
      <c r="F67" s="339">
        <f t="shared" si="57"/>
        <v>0</v>
      </c>
      <c r="G67" s="150">
        <v>52</v>
      </c>
      <c r="I67" s="287">
        <v>5.09</v>
      </c>
      <c r="J67" s="325">
        <f t="shared" si="35"/>
        <v>0</v>
      </c>
      <c r="K67" s="154">
        <f t="shared" si="58"/>
        <v>0</v>
      </c>
      <c r="L67" s="199">
        <f t="shared" si="59"/>
        <v>22.91</v>
      </c>
      <c r="M67" s="151">
        <f t="shared" si="60"/>
        <v>23.180034937670928</v>
      </c>
      <c r="N67" s="225">
        <f t="shared" si="61"/>
        <v>0</v>
      </c>
      <c r="O67" s="200">
        <f t="shared" si="62"/>
        <v>0</v>
      </c>
      <c r="P67" s="226"/>
      <c r="Q67" s="177">
        <f t="shared" si="63"/>
        <v>7.220580883084482E-2</v>
      </c>
      <c r="R67" s="330">
        <f t="shared" si="49"/>
        <v>7.220580883084482E-2</v>
      </c>
      <c r="S67" s="201">
        <f t="shared" si="42"/>
        <v>1.8845716104850497E-3</v>
      </c>
      <c r="T67" s="202">
        <f t="shared" si="64"/>
        <v>7.4090380441329873E-2</v>
      </c>
      <c r="V67" s="201">
        <f t="shared" si="65"/>
        <v>5.1640903804413298</v>
      </c>
      <c r="W67" s="332">
        <f t="shared" si="50"/>
        <v>0</v>
      </c>
      <c r="X67" s="332">
        <f t="shared" si="45"/>
        <v>0</v>
      </c>
      <c r="Y67" s="204">
        <f t="shared" si="66"/>
        <v>0</v>
      </c>
      <c r="AA67" s="205">
        <f t="shared" si="67"/>
        <v>0</v>
      </c>
      <c r="AB67" s="206">
        <f t="shared" si="68"/>
        <v>1.4556066884347629E-2</v>
      </c>
    </row>
    <row r="68" spans="1:28" ht="12">
      <c r="A68" s="221" t="s">
        <v>131</v>
      </c>
      <c r="B68" s="209">
        <v>30</v>
      </c>
      <c r="C68" s="222">
        <f>E68/12</f>
        <v>30.333333333333332</v>
      </c>
      <c r="D68" s="150">
        <v>0.316</v>
      </c>
      <c r="E68" s="157">
        <v>364</v>
      </c>
      <c r="F68" s="339">
        <v>364</v>
      </c>
      <c r="G68" s="150">
        <v>52</v>
      </c>
      <c r="I68" s="287">
        <v>6.69</v>
      </c>
      <c r="J68" s="154">
        <f>+E68*I68</f>
        <v>2435.1600000000003</v>
      </c>
      <c r="K68" s="154">
        <f t="shared" ref="K68:K151" si="82">J68*12</f>
        <v>29221.920000000006</v>
      </c>
      <c r="L68" s="199">
        <f t="shared" si="51"/>
        <v>45.82</v>
      </c>
      <c r="M68" s="151">
        <f t="shared" ref="M68:M151" si="83">L68*$O$5</f>
        <v>46.360069875341857</v>
      </c>
      <c r="N68" s="225">
        <f t="shared" si="52"/>
        <v>8.34</v>
      </c>
      <c r="O68" s="200">
        <f t="shared" ref="O68:O151" si="84">$O$5*N68</f>
        <v>8.4383016752586446</v>
      </c>
      <c r="Q68" s="177">
        <f t="shared" si="53"/>
        <v>0.14441161766168964</v>
      </c>
      <c r="R68" s="330">
        <f t="shared" si="49"/>
        <v>0.14441161766168964</v>
      </c>
      <c r="S68" s="201">
        <f t="shared" si="42"/>
        <v>3.7691432209700994E-3</v>
      </c>
      <c r="T68" s="202">
        <f t="shared" ref="T68" si="85">+Q68+S68</f>
        <v>0.14818076088265975</v>
      </c>
      <c r="V68" s="201">
        <f t="shared" ref="V68" si="86">I68+T68</f>
        <v>6.8381807608826604</v>
      </c>
      <c r="W68" s="332">
        <f t="shared" si="50"/>
        <v>2489.0977969612882</v>
      </c>
      <c r="X68" s="332">
        <f t="shared" si="45"/>
        <v>53.937796961287859</v>
      </c>
      <c r="Y68" s="204">
        <f t="shared" ref="Y68" si="87">X68*12</f>
        <v>647.2535635354543</v>
      </c>
      <c r="AA68" s="205">
        <f t="shared" ref="AA68" si="88">O68*$R$11</f>
        <v>52.570619436861271</v>
      </c>
      <c r="AB68" s="206">
        <f t="shared" si="54"/>
        <v>2.2149590565420096E-2</v>
      </c>
    </row>
    <row r="69" spans="1:28" ht="12">
      <c r="A69" s="300" t="str">
        <f>'Tariff Changes'!$A$112</f>
        <v>64 Gal Special</v>
      </c>
      <c r="B69" s="209"/>
      <c r="C69" s="222">
        <f t="shared" si="55"/>
        <v>0</v>
      </c>
      <c r="D69" s="150">
        <v>0.316</v>
      </c>
      <c r="E69" s="157">
        <f t="shared" si="56"/>
        <v>0</v>
      </c>
      <c r="F69" s="339">
        <f t="shared" si="57"/>
        <v>0</v>
      </c>
      <c r="G69" s="150">
        <v>52</v>
      </c>
      <c r="I69" s="287">
        <v>7.24</v>
      </c>
      <c r="J69" s="325">
        <f t="shared" si="35"/>
        <v>0</v>
      </c>
      <c r="K69" s="154">
        <f t="shared" ref="K69:K73" si="89">J69*12</f>
        <v>0</v>
      </c>
      <c r="L69" s="199">
        <f t="shared" ref="L69:L73" si="90">+D69*L$16</f>
        <v>45.82</v>
      </c>
      <c r="M69" s="151">
        <f t="shared" ref="M69:M73" si="91">L69*$O$5</f>
        <v>46.360069875341857</v>
      </c>
      <c r="N69" s="225">
        <f t="shared" ref="N69:N73" si="92">ROUND((C69*L69*12)/2000,2)</f>
        <v>0</v>
      </c>
      <c r="O69" s="200">
        <f t="shared" ref="O69:O73" si="93">$O$5*N69</f>
        <v>0</v>
      </c>
      <c r="Q69" s="177">
        <f t="shared" ref="Q69:Q73" si="94">M69*$R$12</f>
        <v>0.14441161766168964</v>
      </c>
      <c r="R69" s="330">
        <f t="shared" si="49"/>
        <v>0.14441161766168964</v>
      </c>
      <c r="S69" s="201">
        <f t="shared" si="42"/>
        <v>3.7691432209700994E-3</v>
      </c>
      <c r="T69" s="202">
        <f t="shared" ref="T69:T73" si="95">+Q69+S69</f>
        <v>0.14818076088265975</v>
      </c>
      <c r="V69" s="201">
        <f t="shared" ref="V69:V73" si="96">I69+T69</f>
        <v>7.3881807608826602</v>
      </c>
      <c r="W69" s="332">
        <f t="shared" si="50"/>
        <v>0</v>
      </c>
      <c r="X69" s="332">
        <f t="shared" si="45"/>
        <v>0</v>
      </c>
      <c r="Y69" s="204">
        <f t="shared" ref="Y69:Y73" si="97">X69*12</f>
        <v>0</v>
      </c>
      <c r="AA69" s="205">
        <f t="shared" ref="AA69:AA73" si="98">O69*$R$11</f>
        <v>0</v>
      </c>
      <c r="AB69" s="206">
        <f t="shared" ref="AB69:AB73" si="99">IF(I69=0,"",V69/I69-1)</f>
        <v>2.0466955923019281E-2</v>
      </c>
    </row>
    <row r="70" spans="1:28" s="324" customFormat="1" ht="12">
      <c r="A70" s="300" t="s">
        <v>336</v>
      </c>
      <c r="B70" s="336"/>
      <c r="C70" s="338">
        <f t="shared" si="55"/>
        <v>0</v>
      </c>
      <c r="D70" s="322">
        <v>0.158</v>
      </c>
      <c r="E70" s="326">
        <f t="shared" si="56"/>
        <v>0</v>
      </c>
      <c r="F70" s="339">
        <f t="shared" si="57"/>
        <v>0</v>
      </c>
      <c r="G70" s="322">
        <v>52</v>
      </c>
      <c r="H70" s="322"/>
      <c r="I70" s="287">
        <v>6.69</v>
      </c>
      <c r="J70" s="325">
        <f t="shared" si="35"/>
        <v>0</v>
      </c>
      <c r="K70" s="325">
        <f t="shared" si="89"/>
        <v>0</v>
      </c>
      <c r="L70" s="328">
        <f t="shared" si="90"/>
        <v>22.91</v>
      </c>
      <c r="M70" s="323">
        <f t="shared" si="91"/>
        <v>23.180034937670928</v>
      </c>
      <c r="N70" s="340">
        <f t="shared" si="92"/>
        <v>0</v>
      </c>
      <c r="O70" s="329">
        <f t="shared" si="93"/>
        <v>0</v>
      </c>
      <c r="P70" s="341"/>
      <c r="Q70" s="327">
        <f t="shared" si="94"/>
        <v>7.220580883084482E-2</v>
      </c>
      <c r="R70" s="330">
        <f t="shared" si="49"/>
        <v>7.220580883084482E-2</v>
      </c>
      <c r="S70" s="330">
        <f t="shared" si="42"/>
        <v>1.8845716104850497E-3</v>
      </c>
      <c r="T70" s="331">
        <f t="shared" si="95"/>
        <v>7.4090380441329873E-2</v>
      </c>
      <c r="U70" s="322"/>
      <c r="V70" s="330">
        <f t="shared" si="96"/>
        <v>6.7640903804413304</v>
      </c>
      <c r="W70" s="332">
        <f t="shared" si="50"/>
        <v>0</v>
      </c>
      <c r="X70" s="332">
        <f t="shared" si="45"/>
        <v>0</v>
      </c>
      <c r="Y70" s="333">
        <f t="shared" si="97"/>
        <v>0</v>
      </c>
      <c r="Z70" s="322"/>
      <c r="AA70" s="334">
        <f t="shared" si="98"/>
        <v>0</v>
      </c>
      <c r="AB70" s="335">
        <f t="shared" si="99"/>
        <v>1.1074795282709937E-2</v>
      </c>
    </row>
    <row r="71" spans="1:28" s="324" customFormat="1" ht="12">
      <c r="A71" s="300" t="s">
        <v>335</v>
      </c>
      <c r="B71" s="336"/>
      <c r="C71" s="338">
        <f t="shared" ref="C71" si="100">B71*4.3333</f>
        <v>0</v>
      </c>
      <c r="D71" s="322">
        <v>0.158</v>
      </c>
      <c r="E71" s="326">
        <f t="shared" ref="E71" si="101">C71*D71</f>
        <v>0</v>
      </c>
      <c r="F71" s="339">
        <f t="shared" si="57"/>
        <v>0</v>
      </c>
      <c r="G71" s="322">
        <v>52</v>
      </c>
      <c r="H71" s="322"/>
      <c r="I71" s="287">
        <v>7.24</v>
      </c>
      <c r="J71" s="325">
        <f t="shared" si="35"/>
        <v>0</v>
      </c>
      <c r="K71" s="325">
        <f t="shared" si="89"/>
        <v>0</v>
      </c>
      <c r="L71" s="328">
        <f t="shared" si="90"/>
        <v>22.91</v>
      </c>
      <c r="M71" s="323">
        <f t="shared" si="91"/>
        <v>23.180034937670928</v>
      </c>
      <c r="N71" s="340">
        <f t="shared" si="92"/>
        <v>0</v>
      </c>
      <c r="O71" s="329">
        <f t="shared" si="93"/>
        <v>0</v>
      </c>
      <c r="P71" s="341"/>
      <c r="Q71" s="327">
        <f t="shared" si="94"/>
        <v>7.220580883084482E-2</v>
      </c>
      <c r="R71" s="330">
        <f t="shared" si="49"/>
        <v>7.220580883084482E-2</v>
      </c>
      <c r="S71" s="330">
        <f t="shared" si="42"/>
        <v>1.8845716104850497E-3</v>
      </c>
      <c r="T71" s="331">
        <f t="shared" si="95"/>
        <v>7.4090380441329873E-2</v>
      </c>
      <c r="U71" s="322"/>
      <c r="V71" s="330">
        <f t="shared" si="96"/>
        <v>7.3140903804413302</v>
      </c>
      <c r="W71" s="332">
        <f t="shared" si="50"/>
        <v>0</v>
      </c>
      <c r="X71" s="332">
        <f t="shared" si="45"/>
        <v>0</v>
      </c>
      <c r="Y71" s="333">
        <f t="shared" si="97"/>
        <v>0</v>
      </c>
      <c r="Z71" s="322"/>
      <c r="AA71" s="334">
        <f t="shared" si="98"/>
        <v>0</v>
      </c>
      <c r="AB71" s="335">
        <f t="shared" si="99"/>
        <v>1.0233477961509641E-2</v>
      </c>
    </row>
    <row r="72" spans="1:28" ht="12">
      <c r="A72" s="221" t="s">
        <v>132</v>
      </c>
      <c r="B72" s="209">
        <v>22</v>
      </c>
      <c r="C72" s="222">
        <f>E72/12</f>
        <v>21.666666666666668</v>
      </c>
      <c r="D72" s="150">
        <v>0.47399999999999998</v>
      </c>
      <c r="E72" s="157">
        <v>260</v>
      </c>
      <c r="F72" s="339">
        <v>260</v>
      </c>
      <c r="G72" s="150">
        <v>52</v>
      </c>
      <c r="I72" s="287">
        <v>9.18</v>
      </c>
      <c r="J72" s="325">
        <f t="shared" si="35"/>
        <v>2386.7999999999997</v>
      </c>
      <c r="K72" s="154">
        <f t="shared" si="89"/>
        <v>28641.599999999999</v>
      </c>
      <c r="L72" s="199">
        <f t="shared" si="90"/>
        <v>68.72999999999999</v>
      </c>
      <c r="M72" s="151">
        <f t="shared" si="91"/>
        <v>69.540104813012775</v>
      </c>
      <c r="N72" s="225">
        <f t="shared" si="92"/>
        <v>8.93</v>
      </c>
      <c r="O72" s="200">
        <f t="shared" si="93"/>
        <v>9.0352558705107544</v>
      </c>
      <c r="Q72" s="177">
        <f t="shared" si="94"/>
        <v>0.21661742649253443</v>
      </c>
      <c r="R72" s="330">
        <f t="shared" si="49"/>
        <v>0.21661742649253443</v>
      </c>
      <c r="S72" s="201">
        <f t="shared" si="42"/>
        <v>5.6537148314551484E-3</v>
      </c>
      <c r="T72" s="202">
        <f t="shared" si="95"/>
        <v>0.22227114132398959</v>
      </c>
      <c r="V72" s="201">
        <f t="shared" si="96"/>
        <v>9.4022711413239897</v>
      </c>
      <c r="W72" s="332">
        <f t="shared" si="50"/>
        <v>2444.5904967442375</v>
      </c>
      <c r="X72" s="332">
        <f t="shared" si="45"/>
        <v>57.790496744237771</v>
      </c>
      <c r="Y72" s="204">
        <f t="shared" si="97"/>
        <v>693.48596093085325</v>
      </c>
      <c r="AA72" s="205">
        <f t="shared" si="98"/>
        <v>56.289644073281906</v>
      </c>
      <c r="AB72" s="206">
        <f t="shared" si="99"/>
        <v>2.4212542627885636E-2</v>
      </c>
    </row>
    <row r="73" spans="1:28" ht="12">
      <c r="A73" s="300" t="str">
        <f>'Tariff Changes'!$A$113</f>
        <v>96 Gal Special</v>
      </c>
      <c r="B73" s="209"/>
      <c r="C73" s="222">
        <f t="shared" si="55"/>
        <v>0</v>
      </c>
      <c r="D73" s="150">
        <v>0.47399999999999998</v>
      </c>
      <c r="E73" s="157">
        <f t="shared" si="56"/>
        <v>0</v>
      </c>
      <c r="F73" s="339">
        <f t="shared" si="57"/>
        <v>0</v>
      </c>
      <c r="G73" s="150">
        <v>52</v>
      </c>
      <c r="I73" s="287">
        <v>9.74</v>
      </c>
      <c r="J73" s="325">
        <f t="shared" si="35"/>
        <v>0</v>
      </c>
      <c r="K73" s="154">
        <f t="shared" si="89"/>
        <v>0</v>
      </c>
      <c r="L73" s="199">
        <f t="shared" si="90"/>
        <v>68.72999999999999</v>
      </c>
      <c r="M73" s="151">
        <f t="shared" si="91"/>
        <v>69.540104813012775</v>
      </c>
      <c r="N73" s="225">
        <f t="shared" si="92"/>
        <v>0</v>
      </c>
      <c r="O73" s="200">
        <f t="shared" si="93"/>
        <v>0</v>
      </c>
      <c r="Q73" s="177">
        <f t="shared" si="94"/>
        <v>0.21661742649253443</v>
      </c>
      <c r="R73" s="330">
        <f t="shared" si="49"/>
        <v>0.21661742649253443</v>
      </c>
      <c r="S73" s="201">
        <f t="shared" si="42"/>
        <v>5.6537148314551484E-3</v>
      </c>
      <c r="T73" s="202">
        <f t="shared" si="95"/>
        <v>0.22227114132398959</v>
      </c>
      <c r="V73" s="201">
        <f t="shared" si="96"/>
        <v>9.9622711413239902</v>
      </c>
      <c r="W73" s="332">
        <f t="shared" si="50"/>
        <v>0</v>
      </c>
      <c r="X73" s="332">
        <f t="shared" si="45"/>
        <v>0</v>
      </c>
      <c r="Y73" s="204">
        <f t="shared" si="97"/>
        <v>0</v>
      </c>
      <c r="AA73" s="205">
        <f t="shared" si="98"/>
        <v>0</v>
      </c>
      <c r="AB73" s="206">
        <f t="shared" si="99"/>
        <v>2.2820445721148941E-2</v>
      </c>
    </row>
    <row r="74" spans="1:28" s="324" customFormat="1" ht="12">
      <c r="A74" s="300" t="s">
        <v>338</v>
      </c>
      <c r="B74" s="336"/>
      <c r="C74" s="338">
        <f t="shared" ref="C74:C75" si="102">B74*4.3333</f>
        <v>0</v>
      </c>
      <c r="D74" s="322">
        <v>0.158</v>
      </c>
      <c r="E74" s="326">
        <f t="shared" ref="E74:E75" si="103">C74*D74</f>
        <v>0</v>
      </c>
      <c r="F74" s="339">
        <f t="shared" si="57"/>
        <v>0</v>
      </c>
      <c r="G74" s="322">
        <v>52</v>
      </c>
      <c r="H74" s="322"/>
      <c r="I74" s="287">
        <v>9.18</v>
      </c>
      <c r="J74" s="325">
        <f t="shared" si="35"/>
        <v>0</v>
      </c>
      <c r="K74" s="325">
        <f t="shared" ref="K74:K75" si="104">J74*12</f>
        <v>0</v>
      </c>
      <c r="L74" s="328">
        <f t="shared" ref="L74:L75" si="105">+D74*L$16</f>
        <v>22.91</v>
      </c>
      <c r="M74" s="323">
        <f t="shared" ref="M74:M75" si="106">L74*$O$5</f>
        <v>23.180034937670928</v>
      </c>
      <c r="N74" s="340">
        <f t="shared" ref="N74:N75" si="107">ROUND((C74*L74*12)/2000,2)</f>
        <v>0</v>
      </c>
      <c r="O74" s="329">
        <f t="shared" ref="O74:O75" si="108">$O$5*N74</f>
        <v>0</v>
      </c>
      <c r="P74" s="341"/>
      <c r="Q74" s="327">
        <f t="shared" ref="Q74:Q75" si="109">M74*$R$12</f>
        <v>7.220580883084482E-2</v>
      </c>
      <c r="R74" s="330">
        <f t="shared" si="49"/>
        <v>7.220580883084482E-2</v>
      </c>
      <c r="S74" s="330">
        <f t="shared" si="42"/>
        <v>1.8845716104850497E-3</v>
      </c>
      <c r="T74" s="331">
        <f t="shared" ref="T74:T75" si="110">+Q74+S74</f>
        <v>7.4090380441329873E-2</v>
      </c>
      <c r="U74" s="322"/>
      <c r="V74" s="330">
        <f t="shared" ref="V74:V75" si="111">I74+T74</f>
        <v>9.2540903804413297</v>
      </c>
      <c r="W74" s="332">
        <f t="shared" si="50"/>
        <v>0</v>
      </c>
      <c r="X74" s="332">
        <f t="shared" si="45"/>
        <v>0</v>
      </c>
      <c r="Y74" s="333">
        <f t="shared" ref="Y74:Y75" si="112">X74*12</f>
        <v>0</v>
      </c>
      <c r="Z74" s="322"/>
      <c r="AA74" s="334">
        <f t="shared" ref="AA74:AA75" si="113">O74*$R$11</f>
        <v>0</v>
      </c>
      <c r="AB74" s="335">
        <f t="shared" ref="AB74:AB75" si="114">IF(I74=0,"",V74/I74-1)</f>
        <v>8.0708475426285453E-3</v>
      </c>
    </row>
    <row r="75" spans="1:28" s="324" customFormat="1" ht="12">
      <c r="A75" s="300" t="s">
        <v>339</v>
      </c>
      <c r="B75" s="336"/>
      <c r="C75" s="338">
        <f t="shared" si="102"/>
        <v>0</v>
      </c>
      <c r="D75" s="322">
        <v>0.158</v>
      </c>
      <c r="E75" s="326">
        <f t="shared" si="103"/>
        <v>0</v>
      </c>
      <c r="F75" s="339">
        <f t="shared" si="57"/>
        <v>0</v>
      </c>
      <c r="G75" s="322">
        <v>52</v>
      </c>
      <c r="H75" s="322"/>
      <c r="I75" s="287">
        <v>9.74</v>
      </c>
      <c r="J75" s="325">
        <f t="shared" si="35"/>
        <v>0</v>
      </c>
      <c r="K75" s="325">
        <f t="shared" si="104"/>
        <v>0</v>
      </c>
      <c r="L75" s="328">
        <f t="shared" si="105"/>
        <v>22.91</v>
      </c>
      <c r="M75" s="323">
        <f t="shared" si="106"/>
        <v>23.180034937670928</v>
      </c>
      <c r="N75" s="340">
        <f t="shared" si="107"/>
        <v>0</v>
      </c>
      <c r="O75" s="329">
        <f t="shared" si="108"/>
        <v>0</v>
      </c>
      <c r="P75" s="341"/>
      <c r="Q75" s="327">
        <f t="shared" si="109"/>
        <v>7.220580883084482E-2</v>
      </c>
      <c r="R75" s="330">
        <f t="shared" si="49"/>
        <v>7.220580883084482E-2</v>
      </c>
      <c r="S75" s="330">
        <f t="shared" si="42"/>
        <v>1.8845716104850497E-3</v>
      </c>
      <c r="T75" s="331">
        <f t="shared" si="110"/>
        <v>7.4090380441329873E-2</v>
      </c>
      <c r="U75" s="322"/>
      <c r="V75" s="330">
        <f t="shared" si="111"/>
        <v>9.8140903804413302</v>
      </c>
      <c r="W75" s="332">
        <f t="shared" si="50"/>
        <v>0</v>
      </c>
      <c r="X75" s="332">
        <f t="shared" si="45"/>
        <v>0</v>
      </c>
      <c r="Y75" s="333">
        <f t="shared" si="112"/>
        <v>0</v>
      </c>
      <c r="Z75" s="322"/>
      <c r="AA75" s="334">
        <f t="shared" si="113"/>
        <v>0</v>
      </c>
      <c r="AB75" s="335">
        <f t="shared" si="114"/>
        <v>7.6068152403829803E-3</v>
      </c>
    </row>
    <row r="76" spans="1:28" ht="12">
      <c r="A76" s="221" t="s">
        <v>233</v>
      </c>
      <c r="B76" s="209"/>
      <c r="C76" s="222">
        <f t="shared" si="55"/>
        <v>0</v>
      </c>
      <c r="D76" s="150">
        <f>1*5</f>
        <v>5</v>
      </c>
      <c r="E76" s="157">
        <f t="shared" si="56"/>
        <v>0</v>
      </c>
      <c r="F76" s="339">
        <f t="shared" si="57"/>
        <v>0</v>
      </c>
      <c r="G76" s="150">
        <v>52</v>
      </c>
      <c r="I76" s="287">
        <v>129.72999999999999</v>
      </c>
      <c r="J76" s="325">
        <f t="shared" si="35"/>
        <v>0</v>
      </c>
      <c r="K76" s="154">
        <f t="shared" ref="K76:K139" si="115">J76*12</f>
        <v>0</v>
      </c>
      <c r="L76" s="199">
        <f t="shared" ref="L76:L139" si="116">+D76*L$16</f>
        <v>725</v>
      </c>
      <c r="M76" s="151">
        <f t="shared" ref="M76:M139" si="117">L76*$O$5</f>
        <v>733.54540941996606</v>
      </c>
      <c r="N76" s="225">
        <f t="shared" ref="N76:N139" si="118">ROUND((C76*L76*12)/2000,2)</f>
        <v>0</v>
      </c>
      <c r="O76" s="200">
        <f t="shared" ref="O76:O139" si="119">$O$5*N76</f>
        <v>0</v>
      </c>
      <c r="Q76" s="177">
        <f t="shared" ref="Q76:Q139" si="120">M76*$R$12</f>
        <v>2.2849939503431904</v>
      </c>
      <c r="R76" s="330">
        <f t="shared" si="49"/>
        <v>2.2849939503431904</v>
      </c>
      <c r="S76" s="201">
        <f t="shared" si="42"/>
        <v>5.9638342103957263E-2</v>
      </c>
      <c r="T76" s="202">
        <f t="shared" ref="T76:T139" si="121">+Q76+S76</f>
        <v>2.3446322924471477</v>
      </c>
      <c r="V76" s="201">
        <f t="shared" ref="V76:V139" si="122">I76+T76</f>
        <v>132.07463229244715</v>
      </c>
      <c r="W76" s="332">
        <f t="shared" si="50"/>
        <v>0</v>
      </c>
      <c r="X76" s="332">
        <f t="shared" si="45"/>
        <v>0</v>
      </c>
      <c r="Y76" s="204">
        <f t="shared" ref="Y76:Y139" si="123">X76*12</f>
        <v>0</v>
      </c>
      <c r="AA76" s="205">
        <f t="shared" ref="AA76:AA139" si="124">O76*$R$11</f>
        <v>0</v>
      </c>
      <c r="AB76" s="206">
        <f t="shared" ref="AB76:AB139" si="125">IF(I76=0,"",V76/I76-1)</f>
        <v>1.8073169601843464E-2</v>
      </c>
    </row>
    <row r="77" spans="1:28" ht="12">
      <c r="A77" s="221" t="s">
        <v>234</v>
      </c>
      <c r="B77" s="209"/>
      <c r="C77" s="222">
        <f t="shared" si="55"/>
        <v>0</v>
      </c>
      <c r="D77" s="150">
        <v>1</v>
      </c>
      <c r="E77" s="157">
        <f t="shared" si="56"/>
        <v>0</v>
      </c>
      <c r="F77" s="339">
        <f t="shared" si="57"/>
        <v>0</v>
      </c>
      <c r="G77" s="150">
        <v>52</v>
      </c>
      <c r="I77" s="287">
        <v>21.9</v>
      </c>
      <c r="J77" s="325">
        <f t="shared" si="35"/>
        <v>0</v>
      </c>
      <c r="K77" s="154">
        <f t="shared" si="115"/>
        <v>0</v>
      </c>
      <c r="L77" s="199">
        <f t="shared" si="116"/>
        <v>145</v>
      </c>
      <c r="M77" s="151">
        <f t="shared" si="117"/>
        <v>146.70908188399321</v>
      </c>
      <c r="N77" s="225">
        <f t="shared" si="118"/>
        <v>0</v>
      </c>
      <c r="O77" s="200">
        <f t="shared" si="119"/>
        <v>0</v>
      </c>
      <c r="Q77" s="177">
        <f t="shared" si="120"/>
        <v>0.45699879006863808</v>
      </c>
      <c r="R77" s="330">
        <f t="shared" si="49"/>
        <v>0.45699879006863808</v>
      </c>
      <c r="S77" s="201">
        <f t="shared" si="42"/>
        <v>1.1927668420791453E-2</v>
      </c>
      <c r="T77" s="202">
        <f t="shared" si="121"/>
        <v>0.46892645848942954</v>
      </c>
      <c r="V77" s="201">
        <f t="shared" si="122"/>
        <v>22.36892645848943</v>
      </c>
      <c r="W77" s="332">
        <f t="shared" si="50"/>
        <v>0</v>
      </c>
      <c r="X77" s="332">
        <f t="shared" si="45"/>
        <v>0</v>
      </c>
      <c r="Y77" s="204">
        <f t="shared" si="123"/>
        <v>0</v>
      </c>
      <c r="AA77" s="205">
        <f t="shared" si="124"/>
        <v>0</v>
      </c>
      <c r="AB77" s="206">
        <f t="shared" si="125"/>
        <v>2.1412167054311926E-2</v>
      </c>
    </row>
    <row r="78" spans="1:28" ht="12">
      <c r="A78" s="221" t="s">
        <v>133</v>
      </c>
      <c r="B78" s="209">
        <v>28</v>
      </c>
      <c r="C78" s="222">
        <f>E78/12</f>
        <v>28.166666666666668</v>
      </c>
      <c r="D78" s="150">
        <v>1</v>
      </c>
      <c r="E78" s="157">
        <v>338</v>
      </c>
      <c r="F78" s="339">
        <v>338</v>
      </c>
      <c r="G78" s="150">
        <v>52</v>
      </c>
      <c r="I78" s="287">
        <v>19.32</v>
      </c>
      <c r="J78" s="325">
        <f t="shared" si="35"/>
        <v>6530.16</v>
      </c>
      <c r="K78" s="154">
        <f t="shared" si="115"/>
        <v>78361.919999999998</v>
      </c>
      <c r="L78" s="199">
        <f t="shared" si="116"/>
        <v>145</v>
      </c>
      <c r="M78" s="151">
        <f t="shared" si="117"/>
        <v>146.70908188399321</v>
      </c>
      <c r="N78" s="225">
        <f t="shared" si="118"/>
        <v>24.51</v>
      </c>
      <c r="O78" s="200">
        <f t="shared" si="119"/>
        <v>24.798893772252924</v>
      </c>
      <c r="Q78" s="177">
        <f t="shared" si="120"/>
        <v>0.45699879006863808</v>
      </c>
      <c r="R78" s="330">
        <f t="shared" si="49"/>
        <v>0.45699879006863808</v>
      </c>
      <c r="S78" s="201">
        <f t="shared" si="42"/>
        <v>1.1927668420791453E-2</v>
      </c>
      <c r="T78" s="202">
        <f t="shared" si="121"/>
        <v>0.46892645848942954</v>
      </c>
      <c r="V78" s="201">
        <f t="shared" si="122"/>
        <v>19.788926458489431</v>
      </c>
      <c r="W78" s="332">
        <f t="shared" si="50"/>
        <v>6688.6571429694277</v>
      </c>
      <c r="X78" s="332">
        <f t="shared" si="45"/>
        <v>158.49714296942784</v>
      </c>
      <c r="Y78" s="204">
        <f t="shared" si="123"/>
        <v>1901.9657156331341</v>
      </c>
      <c r="AA78" s="205">
        <f t="shared" si="124"/>
        <v>154.49710820113546</v>
      </c>
      <c r="AB78" s="206">
        <f t="shared" si="125"/>
        <v>2.4271555822434232E-2</v>
      </c>
    </row>
    <row r="79" spans="1:28" ht="12">
      <c r="A79" s="221" t="s">
        <v>147</v>
      </c>
      <c r="B79" s="209"/>
      <c r="C79" s="222">
        <f t="shared" si="55"/>
        <v>0</v>
      </c>
      <c r="D79" s="150">
        <v>1</v>
      </c>
      <c r="E79" s="157">
        <f t="shared" si="56"/>
        <v>0</v>
      </c>
      <c r="F79" s="339">
        <f t="shared" si="57"/>
        <v>0</v>
      </c>
      <c r="G79" s="150">
        <v>52</v>
      </c>
      <c r="I79" s="287">
        <v>19.32</v>
      </c>
      <c r="J79" s="325">
        <f t="shared" si="35"/>
        <v>0</v>
      </c>
      <c r="K79" s="154">
        <f t="shared" si="115"/>
        <v>0</v>
      </c>
      <c r="L79" s="199">
        <f t="shared" si="116"/>
        <v>145</v>
      </c>
      <c r="M79" s="151">
        <f t="shared" si="117"/>
        <v>146.70908188399321</v>
      </c>
      <c r="N79" s="225">
        <f t="shared" si="118"/>
        <v>0</v>
      </c>
      <c r="O79" s="200">
        <f t="shared" si="119"/>
        <v>0</v>
      </c>
      <c r="Q79" s="177">
        <f t="shared" si="120"/>
        <v>0.45699879006863808</v>
      </c>
      <c r="R79" s="330">
        <f t="shared" si="49"/>
        <v>0.45699879006863808</v>
      </c>
      <c r="S79" s="201">
        <f t="shared" si="42"/>
        <v>1.1927668420791453E-2</v>
      </c>
      <c r="T79" s="202">
        <f t="shared" si="121"/>
        <v>0.46892645848942954</v>
      </c>
      <c r="V79" s="201">
        <f t="shared" si="122"/>
        <v>19.788926458489431</v>
      </c>
      <c r="W79" s="332">
        <f t="shared" si="50"/>
        <v>0</v>
      </c>
      <c r="X79" s="332">
        <f t="shared" si="45"/>
        <v>0</v>
      </c>
      <c r="Y79" s="204">
        <f t="shared" si="123"/>
        <v>0</v>
      </c>
      <c r="AA79" s="205">
        <f t="shared" si="124"/>
        <v>0</v>
      </c>
      <c r="AB79" s="206">
        <f t="shared" si="125"/>
        <v>2.4271555822434232E-2</v>
      </c>
    </row>
    <row r="80" spans="1:28" ht="12">
      <c r="A80" s="300" t="str">
        <f>'Tariff Changes'!$A$114</f>
        <v>1 Yard Pickup Temp</v>
      </c>
      <c r="B80" s="209"/>
      <c r="C80" s="222">
        <f t="shared" si="55"/>
        <v>0</v>
      </c>
      <c r="D80" s="150">
        <v>1</v>
      </c>
      <c r="E80" s="157">
        <f t="shared" si="56"/>
        <v>0</v>
      </c>
      <c r="F80" s="339">
        <f t="shared" si="57"/>
        <v>0</v>
      </c>
      <c r="G80" s="150">
        <v>52</v>
      </c>
      <c r="I80" s="287">
        <v>21.9</v>
      </c>
      <c r="J80" s="325">
        <f t="shared" si="35"/>
        <v>0</v>
      </c>
      <c r="K80" s="154">
        <f t="shared" si="115"/>
        <v>0</v>
      </c>
      <c r="L80" s="199">
        <f t="shared" si="116"/>
        <v>145</v>
      </c>
      <c r="M80" s="151">
        <f t="shared" si="117"/>
        <v>146.70908188399321</v>
      </c>
      <c r="N80" s="225">
        <f t="shared" si="118"/>
        <v>0</v>
      </c>
      <c r="O80" s="200">
        <f t="shared" si="119"/>
        <v>0</v>
      </c>
      <c r="Q80" s="177">
        <f t="shared" si="120"/>
        <v>0.45699879006863808</v>
      </c>
      <c r="R80" s="330">
        <f t="shared" si="49"/>
        <v>0.45699879006863808</v>
      </c>
      <c r="S80" s="201">
        <f t="shared" si="42"/>
        <v>1.1927668420791453E-2</v>
      </c>
      <c r="T80" s="202">
        <f t="shared" si="121"/>
        <v>0.46892645848942954</v>
      </c>
      <c r="V80" s="201">
        <f t="shared" si="122"/>
        <v>22.36892645848943</v>
      </c>
      <c r="W80" s="332">
        <f t="shared" si="50"/>
        <v>0</v>
      </c>
      <c r="X80" s="332">
        <f t="shared" si="45"/>
        <v>0</v>
      </c>
      <c r="Y80" s="204">
        <f t="shared" si="123"/>
        <v>0</v>
      </c>
      <c r="AA80" s="205">
        <f t="shared" si="124"/>
        <v>0</v>
      </c>
      <c r="AB80" s="206">
        <f t="shared" si="125"/>
        <v>2.1412167054311926E-2</v>
      </c>
    </row>
    <row r="81" spans="1:28" ht="12">
      <c r="A81" s="221" t="s">
        <v>314</v>
      </c>
      <c r="B81" s="209"/>
      <c r="C81" s="222">
        <f t="shared" si="55"/>
        <v>0</v>
      </c>
      <c r="D81" s="150">
        <v>5</v>
      </c>
      <c r="E81" s="157">
        <f t="shared" si="56"/>
        <v>0</v>
      </c>
      <c r="F81" s="339">
        <f t="shared" si="57"/>
        <v>0</v>
      </c>
      <c r="G81" s="150">
        <v>52</v>
      </c>
      <c r="I81" s="287">
        <v>129.72999999999999</v>
      </c>
      <c r="J81" s="325">
        <f t="shared" si="35"/>
        <v>0</v>
      </c>
      <c r="K81" s="154">
        <f t="shared" si="115"/>
        <v>0</v>
      </c>
      <c r="L81" s="199">
        <f t="shared" si="116"/>
        <v>725</v>
      </c>
      <c r="M81" s="151">
        <f t="shared" si="117"/>
        <v>733.54540941996606</v>
      </c>
      <c r="N81" s="225">
        <f t="shared" si="118"/>
        <v>0</v>
      </c>
      <c r="O81" s="200">
        <f t="shared" si="119"/>
        <v>0</v>
      </c>
      <c r="Q81" s="177">
        <f t="shared" si="120"/>
        <v>2.2849939503431904</v>
      </c>
      <c r="R81" s="330">
        <f t="shared" si="49"/>
        <v>2.2849939503431904</v>
      </c>
      <c r="S81" s="201">
        <f t="shared" si="42"/>
        <v>5.9638342103957263E-2</v>
      </c>
      <c r="T81" s="202">
        <f t="shared" si="121"/>
        <v>2.3446322924471477</v>
      </c>
      <c r="V81" s="201">
        <f t="shared" si="122"/>
        <v>132.07463229244715</v>
      </c>
      <c r="W81" s="332">
        <f t="shared" si="50"/>
        <v>0</v>
      </c>
      <c r="X81" s="332">
        <f t="shared" si="45"/>
        <v>0</v>
      </c>
      <c r="Y81" s="204">
        <f t="shared" si="123"/>
        <v>0</v>
      </c>
      <c r="AA81" s="205">
        <f t="shared" si="124"/>
        <v>0</v>
      </c>
      <c r="AB81" s="206">
        <f t="shared" si="125"/>
        <v>1.8073169601843464E-2</v>
      </c>
    </row>
    <row r="82" spans="1:28" ht="12">
      <c r="A82" s="221" t="s">
        <v>235</v>
      </c>
      <c r="B82" s="209"/>
      <c r="C82" s="222">
        <f t="shared" si="55"/>
        <v>0</v>
      </c>
      <c r="D82" s="150">
        <v>1.5</v>
      </c>
      <c r="E82" s="157">
        <f t="shared" si="56"/>
        <v>0</v>
      </c>
      <c r="F82" s="339">
        <f t="shared" si="57"/>
        <v>0</v>
      </c>
      <c r="G82" s="150">
        <v>52</v>
      </c>
      <c r="I82" s="287">
        <v>28.7</v>
      </c>
      <c r="J82" s="325">
        <f t="shared" si="35"/>
        <v>0</v>
      </c>
      <c r="K82" s="154">
        <f t="shared" si="115"/>
        <v>0</v>
      </c>
      <c r="L82" s="199">
        <f t="shared" si="116"/>
        <v>217.5</v>
      </c>
      <c r="M82" s="151">
        <f t="shared" si="117"/>
        <v>220.06362282598982</v>
      </c>
      <c r="N82" s="225">
        <f t="shared" si="118"/>
        <v>0</v>
      </c>
      <c r="O82" s="200">
        <f t="shared" si="119"/>
        <v>0</v>
      </c>
      <c r="Q82" s="177">
        <f t="shared" si="120"/>
        <v>0.68549818510295724</v>
      </c>
      <c r="R82" s="330">
        <f t="shared" si="49"/>
        <v>0.68549818510295724</v>
      </c>
      <c r="S82" s="201">
        <f t="shared" si="42"/>
        <v>1.7891502631187182E-2</v>
      </c>
      <c r="T82" s="202">
        <f t="shared" si="121"/>
        <v>0.70338968773414445</v>
      </c>
      <c r="V82" s="201">
        <f t="shared" si="122"/>
        <v>29.403389687734144</v>
      </c>
      <c r="W82" s="332">
        <f t="shared" si="50"/>
        <v>0</v>
      </c>
      <c r="X82" s="332">
        <f t="shared" si="45"/>
        <v>0</v>
      </c>
      <c r="Y82" s="204">
        <f t="shared" si="123"/>
        <v>0</v>
      </c>
      <c r="AA82" s="205">
        <f t="shared" si="124"/>
        <v>0</v>
      </c>
      <c r="AB82" s="206">
        <f t="shared" si="125"/>
        <v>2.4508351488994551E-2</v>
      </c>
    </row>
    <row r="83" spans="1:28" ht="12">
      <c r="A83" s="221" t="s">
        <v>236</v>
      </c>
      <c r="B83" s="209">
        <v>15</v>
      </c>
      <c r="C83" s="222">
        <f>E83/12</f>
        <v>15.166666666666666</v>
      </c>
      <c r="D83" s="150">
        <v>1.5</v>
      </c>
      <c r="E83" s="157">
        <v>182</v>
      </c>
      <c r="F83" s="339">
        <v>182</v>
      </c>
      <c r="G83" s="150">
        <v>52</v>
      </c>
      <c r="I83" s="287">
        <v>26.05</v>
      </c>
      <c r="J83" s="325">
        <f t="shared" si="35"/>
        <v>4741.1000000000004</v>
      </c>
      <c r="K83" s="154">
        <f t="shared" si="115"/>
        <v>56893.200000000004</v>
      </c>
      <c r="L83" s="199">
        <f t="shared" si="116"/>
        <v>217.5</v>
      </c>
      <c r="M83" s="151">
        <f t="shared" si="117"/>
        <v>220.06362282598982</v>
      </c>
      <c r="N83" s="225">
        <f t="shared" si="118"/>
        <v>19.79</v>
      </c>
      <c r="O83" s="200">
        <f t="shared" si="119"/>
        <v>20.023260210236039</v>
      </c>
      <c r="Q83" s="177">
        <f t="shared" si="120"/>
        <v>0.68549818510295724</v>
      </c>
      <c r="R83" s="330">
        <f t="shared" si="49"/>
        <v>0.68549818510295724</v>
      </c>
      <c r="S83" s="201">
        <f t="shared" si="42"/>
        <v>1.7891502631187182E-2</v>
      </c>
      <c r="T83" s="202">
        <f t="shared" si="121"/>
        <v>0.70338968773414445</v>
      </c>
      <c r="V83" s="201">
        <f t="shared" si="122"/>
        <v>26.753389687734145</v>
      </c>
      <c r="W83" s="332">
        <f t="shared" si="50"/>
        <v>4869.1169231676149</v>
      </c>
      <c r="X83" s="332">
        <f t="shared" si="45"/>
        <v>128.01692316761455</v>
      </c>
      <c r="Y83" s="204">
        <f t="shared" si="123"/>
        <v>1536.2030780113746</v>
      </c>
      <c r="AA83" s="205">
        <f t="shared" si="124"/>
        <v>124.74491110977031</v>
      </c>
      <c r="AB83" s="206">
        <f t="shared" si="125"/>
        <v>2.7001523521464232E-2</v>
      </c>
    </row>
    <row r="84" spans="1:28" ht="12">
      <c r="A84" s="221" t="s">
        <v>237</v>
      </c>
      <c r="B84" s="209"/>
      <c r="C84" s="222">
        <f t="shared" si="55"/>
        <v>0</v>
      </c>
      <c r="D84" s="150">
        <v>1.5</v>
      </c>
      <c r="E84" s="157">
        <f t="shared" si="56"/>
        <v>0</v>
      </c>
      <c r="F84" s="339">
        <f t="shared" si="57"/>
        <v>0</v>
      </c>
      <c r="G84" s="150">
        <v>52</v>
      </c>
      <c r="I84" s="287">
        <v>26.05</v>
      </c>
      <c r="J84" s="325">
        <f t="shared" si="35"/>
        <v>0</v>
      </c>
      <c r="K84" s="154">
        <f t="shared" si="115"/>
        <v>0</v>
      </c>
      <c r="L84" s="199">
        <f t="shared" si="116"/>
        <v>217.5</v>
      </c>
      <c r="M84" s="151">
        <f t="shared" si="117"/>
        <v>220.06362282598982</v>
      </c>
      <c r="N84" s="225">
        <f t="shared" si="118"/>
        <v>0</v>
      </c>
      <c r="O84" s="200">
        <f t="shared" si="119"/>
        <v>0</v>
      </c>
      <c r="Q84" s="177">
        <f t="shared" si="120"/>
        <v>0.68549818510295724</v>
      </c>
      <c r="R84" s="330">
        <f t="shared" si="49"/>
        <v>0.68549818510295724</v>
      </c>
      <c r="S84" s="201">
        <f t="shared" si="42"/>
        <v>1.7891502631187182E-2</v>
      </c>
      <c r="T84" s="202">
        <f t="shared" si="121"/>
        <v>0.70338968773414445</v>
      </c>
      <c r="V84" s="201">
        <f t="shared" si="122"/>
        <v>26.753389687734145</v>
      </c>
      <c r="W84" s="332">
        <f t="shared" si="50"/>
        <v>0</v>
      </c>
      <c r="X84" s="332">
        <f t="shared" si="45"/>
        <v>0</v>
      </c>
      <c r="Y84" s="204">
        <f t="shared" si="123"/>
        <v>0</v>
      </c>
      <c r="AA84" s="205">
        <f t="shared" si="124"/>
        <v>0</v>
      </c>
      <c r="AB84" s="206">
        <f t="shared" si="125"/>
        <v>2.7001523521464232E-2</v>
      </c>
    </row>
    <row r="85" spans="1:28" ht="12">
      <c r="A85" s="221" t="s">
        <v>238</v>
      </c>
      <c r="B85" s="209"/>
      <c r="C85" s="222">
        <f t="shared" si="55"/>
        <v>0</v>
      </c>
      <c r="D85" s="150">
        <v>1.5</v>
      </c>
      <c r="E85" s="157">
        <f t="shared" si="56"/>
        <v>0</v>
      </c>
      <c r="F85" s="339">
        <f t="shared" si="57"/>
        <v>0</v>
      </c>
      <c r="G85" s="150">
        <v>52</v>
      </c>
      <c r="I85" s="287">
        <v>26.05</v>
      </c>
      <c r="J85" s="325">
        <f t="shared" si="35"/>
        <v>0</v>
      </c>
      <c r="K85" s="154">
        <f t="shared" si="115"/>
        <v>0</v>
      </c>
      <c r="L85" s="199">
        <f t="shared" si="116"/>
        <v>217.5</v>
      </c>
      <c r="M85" s="151">
        <f t="shared" si="117"/>
        <v>220.06362282598982</v>
      </c>
      <c r="N85" s="225">
        <f t="shared" si="118"/>
        <v>0</v>
      </c>
      <c r="O85" s="200">
        <f t="shared" si="119"/>
        <v>0</v>
      </c>
      <c r="Q85" s="177">
        <f t="shared" si="120"/>
        <v>0.68549818510295724</v>
      </c>
      <c r="R85" s="330">
        <f t="shared" si="49"/>
        <v>0.68549818510295724</v>
      </c>
      <c r="S85" s="201">
        <f t="shared" si="42"/>
        <v>1.7891502631187182E-2</v>
      </c>
      <c r="T85" s="202">
        <f t="shared" si="121"/>
        <v>0.70338968773414445</v>
      </c>
      <c r="V85" s="201">
        <f t="shared" si="122"/>
        <v>26.753389687734145</v>
      </c>
      <c r="W85" s="332">
        <f t="shared" si="50"/>
        <v>0</v>
      </c>
      <c r="X85" s="332">
        <f t="shared" si="45"/>
        <v>0</v>
      </c>
      <c r="Y85" s="204">
        <f t="shared" si="123"/>
        <v>0</v>
      </c>
      <c r="AA85" s="205">
        <f t="shared" si="124"/>
        <v>0</v>
      </c>
      <c r="AB85" s="206">
        <f t="shared" si="125"/>
        <v>2.7001523521464232E-2</v>
      </c>
    </row>
    <row r="86" spans="1:28" ht="12">
      <c r="A86" s="300" t="str">
        <f>'Tariff Changes'!$A$115</f>
        <v>1.5 Yard Pickup Temp</v>
      </c>
      <c r="B86" s="209"/>
      <c r="C86" s="222">
        <f t="shared" si="55"/>
        <v>0</v>
      </c>
      <c r="D86" s="150">
        <v>1.5</v>
      </c>
      <c r="E86" s="157">
        <f t="shared" si="56"/>
        <v>0</v>
      </c>
      <c r="F86" s="339">
        <f t="shared" si="57"/>
        <v>0</v>
      </c>
      <c r="G86" s="150">
        <v>52</v>
      </c>
      <c r="I86" s="287">
        <v>28.7</v>
      </c>
      <c r="J86" s="325">
        <f t="shared" si="35"/>
        <v>0</v>
      </c>
      <c r="K86" s="154">
        <f t="shared" si="115"/>
        <v>0</v>
      </c>
      <c r="L86" s="199">
        <f t="shared" si="116"/>
        <v>217.5</v>
      </c>
      <c r="M86" s="151">
        <f t="shared" si="117"/>
        <v>220.06362282598982</v>
      </c>
      <c r="N86" s="225">
        <f t="shared" si="118"/>
        <v>0</v>
      </c>
      <c r="O86" s="200">
        <f t="shared" si="119"/>
        <v>0</v>
      </c>
      <c r="Q86" s="177">
        <f t="shared" si="120"/>
        <v>0.68549818510295724</v>
      </c>
      <c r="R86" s="330">
        <f t="shared" si="49"/>
        <v>0.68549818510295724</v>
      </c>
      <c r="S86" s="201">
        <f t="shared" si="42"/>
        <v>1.7891502631187182E-2</v>
      </c>
      <c r="T86" s="202">
        <f t="shared" si="121"/>
        <v>0.70338968773414445</v>
      </c>
      <c r="V86" s="201">
        <f t="shared" si="122"/>
        <v>29.403389687734144</v>
      </c>
      <c r="W86" s="332">
        <f t="shared" si="50"/>
        <v>0</v>
      </c>
      <c r="X86" s="332">
        <f t="shared" si="45"/>
        <v>0</v>
      </c>
      <c r="Y86" s="204">
        <f t="shared" si="123"/>
        <v>0</v>
      </c>
      <c r="AA86" s="205">
        <f t="shared" si="124"/>
        <v>0</v>
      </c>
      <c r="AB86" s="206">
        <f t="shared" si="125"/>
        <v>2.4508351488994551E-2</v>
      </c>
    </row>
    <row r="87" spans="1:28" ht="12">
      <c r="A87" s="221" t="s">
        <v>239</v>
      </c>
      <c r="B87" s="209"/>
      <c r="C87" s="222">
        <f t="shared" si="55"/>
        <v>0</v>
      </c>
      <c r="D87" s="150">
        <f>2*5</f>
        <v>10</v>
      </c>
      <c r="E87" s="157">
        <f t="shared" si="56"/>
        <v>0</v>
      </c>
      <c r="F87" s="339">
        <f t="shared" si="57"/>
        <v>0</v>
      </c>
      <c r="G87" s="150">
        <v>52</v>
      </c>
      <c r="I87" s="287">
        <v>202.78</v>
      </c>
      <c r="J87" s="325">
        <f t="shared" si="35"/>
        <v>0</v>
      </c>
      <c r="K87" s="154">
        <f t="shared" si="115"/>
        <v>0</v>
      </c>
      <c r="L87" s="199">
        <f t="shared" si="116"/>
        <v>1450</v>
      </c>
      <c r="M87" s="151">
        <f t="shared" si="117"/>
        <v>1467.0908188399321</v>
      </c>
      <c r="N87" s="225">
        <f t="shared" si="118"/>
        <v>0</v>
      </c>
      <c r="O87" s="200">
        <f t="shared" si="119"/>
        <v>0</v>
      </c>
      <c r="Q87" s="177">
        <f t="shared" si="120"/>
        <v>4.5699879006863808</v>
      </c>
      <c r="R87" s="330">
        <f t="shared" si="49"/>
        <v>4.5699879006863808</v>
      </c>
      <c r="S87" s="201">
        <f t="shared" si="42"/>
        <v>0.11927668420791453</v>
      </c>
      <c r="T87" s="202">
        <f t="shared" si="121"/>
        <v>4.6892645848942953</v>
      </c>
      <c r="V87" s="201">
        <f t="shared" si="122"/>
        <v>207.46926458489429</v>
      </c>
      <c r="W87" s="332">
        <f t="shared" si="50"/>
        <v>0</v>
      </c>
      <c r="X87" s="332">
        <f t="shared" si="45"/>
        <v>0</v>
      </c>
      <c r="Y87" s="204">
        <f t="shared" si="123"/>
        <v>0</v>
      </c>
      <c r="AA87" s="205">
        <f t="shared" si="124"/>
        <v>0</v>
      </c>
      <c r="AB87" s="206">
        <f t="shared" si="125"/>
        <v>2.3124886995237626E-2</v>
      </c>
    </row>
    <row r="88" spans="1:28" ht="12">
      <c r="A88" s="221" t="s">
        <v>315</v>
      </c>
      <c r="B88" s="209"/>
      <c r="C88" s="222">
        <f t="shared" si="55"/>
        <v>0</v>
      </c>
      <c r="D88" s="150">
        <f>2*5</f>
        <v>10</v>
      </c>
      <c r="E88" s="157">
        <f t="shared" si="56"/>
        <v>0</v>
      </c>
      <c r="F88" s="339">
        <f t="shared" si="57"/>
        <v>0</v>
      </c>
      <c r="G88" s="150">
        <v>52</v>
      </c>
      <c r="I88" s="287">
        <v>202.78</v>
      </c>
      <c r="J88" s="325">
        <f t="shared" si="35"/>
        <v>0</v>
      </c>
      <c r="K88" s="154">
        <f t="shared" si="115"/>
        <v>0</v>
      </c>
      <c r="L88" s="199">
        <f t="shared" si="116"/>
        <v>1450</v>
      </c>
      <c r="M88" s="151">
        <f t="shared" si="117"/>
        <v>1467.0908188399321</v>
      </c>
      <c r="N88" s="225">
        <f t="shared" si="118"/>
        <v>0</v>
      </c>
      <c r="O88" s="200">
        <f t="shared" si="119"/>
        <v>0</v>
      </c>
      <c r="Q88" s="177">
        <f t="shared" si="120"/>
        <v>4.5699879006863808</v>
      </c>
      <c r="R88" s="330">
        <f t="shared" si="49"/>
        <v>4.5699879006863808</v>
      </c>
      <c r="S88" s="201">
        <f t="shared" si="42"/>
        <v>0.11927668420791453</v>
      </c>
      <c r="T88" s="202">
        <f t="shared" si="121"/>
        <v>4.6892645848942953</v>
      </c>
      <c r="V88" s="201">
        <f t="shared" si="122"/>
        <v>207.46926458489429</v>
      </c>
      <c r="W88" s="332">
        <f t="shared" si="50"/>
        <v>0</v>
      </c>
      <c r="X88" s="332">
        <f t="shared" si="45"/>
        <v>0</v>
      </c>
      <c r="Y88" s="204">
        <f t="shared" si="123"/>
        <v>0</v>
      </c>
      <c r="AA88" s="205">
        <f t="shared" si="124"/>
        <v>0</v>
      </c>
      <c r="AB88" s="206">
        <f t="shared" si="125"/>
        <v>2.3124886995237626E-2</v>
      </c>
    </row>
    <row r="89" spans="1:28" ht="12">
      <c r="A89" s="221" t="s">
        <v>134</v>
      </c>
      <c r="B89" s="209"/>
      <c r="C89" s="222">
        <f t="shared" si="55"/>
        <v>0</v>
      </c>
      <c r="D89" s="150">
        <v>2</v>
      </c>
      <c r="E89" s="157">
        <f t="shared" si="56"/>
        <v>0</v>
      </c>
      <c r="F89" s="339">
        <f t="shared" si="57"/>
        <v>0</v>
      </c>
      <c r="G89" s="150">
        <v>52</v>
      </c>
      <c r="I89" s="287">
        <v>37.99</v>
      </c>
      <c r="J89" s="325">
        <f t="shared" si="35"/>
        <v>0</v>
      </c>
      <c r="K89" s="154">
        <f t="shared" si="115"/>
        <v>0</v>
      </c>
      <c r="L89" s="199">
        <f t="shared" si="116"/>
        <v>290</v>
      </c>
      <c r="M89" s="151">
        <f t="shared" si="117"/>
        <v>293.41816376798641</v>
      </c>
      <c r="N89" s="225">
        <f t="shared" si="118"/>
        <v>0</v>
      </c>
      <c r="O89" s="200">
        <f t="shared" si="119"/>
        <v>0</v>
      </c>
      <c r="Q89" s="177">
        <f t="shared" si="120"/>
        <v>0.91399758013727617</v>
      </c>
      <c r="R89" s="330">
        <f t="shared" si="49"/>
        <v>0.91399758013727617</v>
      </c>
      <c r="S89" s="201">
        <f t="shared" si="42"/>
        <v>2.3855336841582905E-2</v>
      </c>
      <c r="T89" s="202">
        <f t="shared" si="121"/>
        <v>0.93785291697885909</v>
      </c>
      <c r="V89" s="201">
        <f t="shared" si="122"/>
        <v>38.927852916978864</v>
      </c>
      <c r="W89" s="332">
        <f t="shared" si="50"/>
        <v>0</v>
      </c>
      <c r="X89" s="332">
        <f t="shared" si="45"/>
        <v>0</v>
      </c>
      <c r="Y89" s="204">
        <f t="shared" si="123"/>
        <v>0</v>
      </c>
      <c r="AA89" s="205">
        <f t="shared" si="124"/>
        <v>0</v>
      </c>
      <c r="AB89" s="206">
        <f t="shared" si="125"/>
        <v>2.4686836456405903E-2</v>
      </c>
    </row>
    <row r="90" spans="1:28" ht="12">
      <c r="A90" s="221" t="s">
        <v>135</v>
      </c>
      <c r="B90" s="209">
        <v>68</v>
      </c>
      <c r="C90" s="222">
        <f>E90/12</f>
        <v>68.25</v>
      </c>
      <c r="D90" s="150">
        <v>2</v>
      </c>
      <c r="E90" s="157">
        <v>819</v>
      </c>
      <c r="F90" s="339">
        <f t="shared" si="57"/>
        <v>68</v>
      </c>
      <c r="G90" s="150">
        <v>52</v>
      </c>
      <c r="I90" s="287">
        <v>34.01</v>
      </c>
      <c r="J90" s="325">
        <f t="shared" si="35"/>
        <v>27854.19</v>
      </c>
      <c r="K90" s="154">
        <f t="shared" si="115"/>
        <v>334250.27999999997</v>
      </c>
      <c r="L90" s="199">
        <f t="shared" si="116"/>
        <v>290</v>
      </c>
      <c r="M90" s="151">
        <f t="shared" si="117"/>
        <v>293.41816376798641</v>
      </c>
      <c r="N90" s="225">
        <f t="shared" si="118"/>
        <v>118.76</v>
      </c>
      <c r="O90" s="200">
        <f t="shared" si="119"/>
        <v>120.15979699684851</v>
      </c>
      <c r="Q90" s="177">
        <f t="shared" si="120"/>
        <v>0.91399758013727617</v>
      </c>
      <c r="R90" s="330">
        <f t="shared" si="49"/>
        <v>0.91399758013727617</v>
      </c>
      <c r="S90" s="201">
        <f t="shared" si="42"/>
        <v>2.3855336841582905E-2</v>
      </c>
      <c r="T90" s="202">
        <f t="shared" si="121"/>
        <v>0.93785291697885909</v>
      </c>
      <c r="V90" s="201">
        <f t="shared" si="122"/>
        <v>34.94785291697886</v>
      </c>
      <c r="W90" s="332">
        <f t="shared" si="50"/>
        <v>28622.291539005688</v>
      </c>
      <c r="X90" s="332">
        <f t="shared" si="45"/>
        <v>768.10153900568912</v>
      </c>
      <c r="Y90" s="204">
        <f t="shared" si="123"/>
        <v>9217.2184680682694</v>
      </c>
      <c r="AA90" s="205">
        <f t="shared" si="124"/>
        <v>748.59553529036498</v>
      </c>
      <c r="AB90" s="206">
        <f t="shared" si="125"/>
        <v>2.7575798793850748E-2</v>
      </c>
    </row>
    <row r="91" spans="1:28" ht="12">
      <c r="A91" s="221" t="s">
        <v>136</v>
      </c>
      <c r="B91" s="209"/>
      <c r="C91" s="222">
        <f t="shared" si="55"/>
        <v>0</v>
      </c>
      <c r="D91" s="150">
        <v>2</v>
      </c>
      <c r="E91" s="157">
        <f t="shared" si="56"/>
        <v>0</v>
      </c>
      <c r="F91" s="339">
        <f t="shared" si="57"/>
        <v>0</v>
      </c>
      <c r="G91" s="150">
        <v>52</v>
      </c>
      <c r="I91" s="287">
        <v>34.01</v>
      </c>
      <c r="J91" s="325">
        <f t="shared" si="35"/>
        <v>0</v>
      </c>
      <c r="K91" s="154">
        <f t="shared" si="115"/>
        <v>0</v>
      </c>
      <c r="L91" s="199">
        <f t="shared" si="116"/>
        <v>290</v>
      </c>
      <c r="M91" s="151">
        <f t="shared" si="117"/>
        <v>293.41816376798641</v>
      </c>
      <c r="N91" s="225">
        <f t="shared" si="118"/>
        <v>0</v>
      </c>
      <c r="O91" s="200">
        <f t="shared" si="119"/>
        <v>0</v>
      </c>
      <c r="Q91" s="177">
        <f t="shared" si="120"/>
        <v>0.91399758013727617</v>
      </c>
      <c r="R91" s="330">
        <f t="shared" si="49"/>
        <v>0.91399758013727617</v>
      </c>
      <c r="S91" s="201">
        <f t="shared" si="42"/>
        <v>2.3855336841582905E-2</v>
      </c>
      <c r="T91" s="202">
        <f t="shared" si="121"/>
        <v>0.93785291697885909</v>
      </c>
      <c r="V91" s="201">
        <f t="shared" si="122"/>
        <v>34.94785291697886</v>
      </c>
      <c r="W91" s="332">
        <f t="shared" si="50"/>
        <v>0</v>
      </c>
      <c r="X91" s="332">
        <f t="shared" si="45"/>
        <v>0</v>
      </c>
      <c r="Y91" s="204">
        <f t="shared" si="123"/>
        <v>0</v>
      </c>
      <c r="AA91" s="205">
        <f t="shared" si="124"/>
        <v>0</v>
      </c>
      <c r="AB91" s="206">
        <f t="shared" si="125"/>
        <v>2.7575798793850748E-2</v>
      </c>
    </row>
    <row r="92" spans="1:28" ht="12">
      <c r="A92" s="221" t="s">
        <v>240</v>
      </c>
      <c r="B92" s="209"/>
      <c r="C92" s="222">
        <f t="shared" si="55"/>
        <v>0</v>
      </c>
      <c r="D92" s="150">
        <v>2</v>
      </c>
      <c r="E92" s="157">
        <f t="shared" si="56"/>
        <v>0</v>
      </c>
      <c r="F92" s="339">
        <f t="shared" si="57"/>
        <v>0</v>
      </c>
      <c r="G92" s="150">
        <v>52</v>
      </c>
      <c r="I92" s="287">
        <v>34.01</v>
      </c>
      <c r="J92" s="325">
        <f t="shared" si="35"/>
        <v>0</v>
      </c>
      <c r="K92" s="154">
        <f t="shared" si="115"/>
        <v>0</v>
      </c>
      <c r="L92" s="199">
        <f t="shared" si="116"/>
        <v>290</v>
      </c>
      <c r="M92" s="151">
        <f t="shared" si="117"/>
        <v>293.41816376798641</v>
      </c>
      <c r="N92" s="225">
        <f t="shared" si="118"/>
        <v>0</v>
      </c>
      <c r="O92" s="200">
        <f t="shared" si="119"/>
        <v>0</v>
      </c>
      <c r="Q92" s="177">
        <f t="shared" si="120"/>
        <v>0.91399758013727617</v>
      </c>
      <c r="R92" s="330">
        <f t="shared" si="49"/>
        <v>0.91399758013727617</v>
      </c>
      <c r="S92" s="201">
        <f t="shared" si="42"/>
        <v>2.3855336841582905E-2</v>
      </c>
      <c r="T92" s="202">
        <f t="shared" si="121"/>
        <v>0.93785291697885909</v>
      </c>
      <c r="V92" s="201">
        <f t="shared" si="122"/>
        <v>34.94785291697886</v>
      </c>
      <c r="W92" s="332">
        <f t="shared" si="50"/>
        <v>0</v>
      </c>
      <c r="X92" s="332">
        <f t="shared" si="45"/>
        <v>0</v>
      </c>
      <c r="Y92" s="204">
        <f t="shared" si="123"/>
        <v>0</v>
      </c>
      <c r="AA92" s="205">
        <f t="shared" si="124"/>
        <v>0</v>
      </c>
      <c r="AB92" s="206">
        <f t="shared" si="125"/>
        <v>2.7575798793850748E-2</v>
      </c>
    </row>
    <row r="93" spans="1:28" ht="12">
      <c r="A93" s="221" t="s">
        <v>241</v>
      </c>
      <c r="B93" s="209"/>
      <c r="C93" s="222">
        <f t="shared" si="55"/>
        <v>0</v>
      </c>
      <c r="D93" s="150">
        <v>2</v>
      </c>
      <c r="E93" s="157">
        <f t="shared" si="56"/>
        <v>0</v>
      </c>
      <c r="F93" s="339">
        <f t="shared" si="57"/>
        <v>0</v>
      </c>
      <c r="G93" s="150">
        <v>52</v>
      </c>
      <c r="I93" s="287">
        <v>34.01</v>
      </c>
      <c r="J93" s="325">
        <f t="shared" si="35"/>
        <v>0</v>
      </c>
      <c r="K93" s="154">
        <f t="shared" si="115"/>
        <v>0</v>
      </c>
      <c r="L93" s="199">
        <f t="shared" si="116"/>
        <v>290</v>
      </c>
      <c r="M93" s="151">
        <f t="shared" si="117"/>
        <v>293.41816376798641</v>
      </c>
      <c r="N93" s="225">
        <f t="shared" si="118"/>
        <v>0</v>
      </c>
      <c r="O93" s="200">
        <f t="shared" si="119"/>
        <v>0</v>
      </c>
      <c r="Q93" s="177">
        <f t="shared" si="120"/>
        <v>0.91399758013727617</v>
      </c>
      <c r="R93" s="330">
        <f t="shared" si="49"/>
        <v>0.91399758013727617</v>
      </c>
      <c r="S93" s="201">
        <f t="shared" si="42"/>
        <v>2.3855336841582905E-2</v>
      </c>
      <c r="T93" s="202">
        <f t="shared" si="121"/>
        <v>0.93785291697885909</v>
      </c>
      <c r="V93" s="201">
        <f t="shared" si="122"/>
        <v>34.94785291697886</v>
      </c>
      <c r="W93" s="332">
        <f t="shared" si="50"/>
        <v>0</v>
      </c>
      <c r="X93" s="332">
        <f t="shared" si="45"/>
        <v>0</v>
      </c>
      <c r="Y93" s="204">
        <f t="shared" si="123"/>
        <v>0</v>
      </c>
      <c r="AA93" s="205">
        <f t="shared" si="124"/>
        <v>0</v>
      </c>
      <c r="AB93" s="206">
        <f t="shared" si="125"/>
        <v>2.7575798793850748E-2</v>
      </c>
    </row>
    <row r="94" spans="1:28" ht="12">
      <c r="A94" s="221" t="s">
        <v>242</v>
      </c>
      <c r="B94" s="209"/>
      <c r="C94" s="222">
        <f t="shared" si="55"/>
        <v>0</v>
      </c>
      <c r="D94" s="150">
        <v>2</v>
      </c>
      <c r="E94" s="157">
        <f t="shared" si="56"/>
        <v>0</v>
      </c>
      <c r="F94" s="339">
        <f t="shared" si="57"/>
        <v>0</v>
      </c>
      <c r="G94" s="150">
        <v>52</v>
      </c>
      <c r="I94" s="287">
        <v>34.01</v>
      </c>
      <c r="J94" s="325">
        <f t="shared" si="35"/>
        <v>0</v>
      </c>
      <c r="K94" s="154">
        <f t="shared" si="115"/>
        <v>0</v>
      </c>
      <c r="L94" s="199">
        <f t="shared" si="116"/>
        <v>290</v>
      </c>
      <c r="M94" s="151">
        <f t="shared" si="117"/>
        <v>293.41816376798641</v>
      </c>
      <c r="N94" s="225">
        <f t="shared" si="118"/>
        <v>0</v>
      </c>
      <c r="O94" s="200">
        <f t="shared" si="119"/>
        <v>0</v>
      </c>
      <c r="Q94" s="177">
        <f t="shared" si="120"/>
        <v>0.91399758013727617</v>
      </c>
      <c r="R94" s="330">
        <f t="shared" si="49"/>
        <v>0.91399758013727617</v>
      </c>
      <c r="S94" s="201">
        <f t="shared" ref="S94:S125" si="126">Q94*$U$12</f>
        <v>2.3855336841582905E-2</v>
      </c>
      <c r="T94" s="202">
        <f t="shared" si="121"/>
        <v>0.93785291697885909</v>
      </c>
      <c r="V94" s="201">
        <f t="shared" si="122"/>
        <v>34.94785291697886</v>
      </c>
      <c r="W94" s="332">
        <f t="shared" si="50"/>
        <v>0</v>
      </c>
      <c r="X94" s="332">
        <f t="shared" si="45"/>
        <v>0</v>
      </c>
      <c r="Y94" s="204">
        <f t="shared" si="123"/>
        <v>0</v>
      </c>
      <c r="AA94" s="205">
        <f t="shared" si="124"/>
        <v>0</v>
      </c>
      <c r="AB94" s="206">
        <f t="shared" si="125"/>
        <v>2.7575798793850748E-2</v>
      </c>
    </row>
    <row r="95" spans="1:28" ht="12">
      <c r="A95" s="221" t="s">
        <v>243</v>
      </c>
      <c r="B95" s="209"/>
      <c r="C95" s="222">
        <f t="shared" si="55"/>
        <v>0</v>
      </c>
      <c r="D95" s="150">
        <v>2</v>
      </c>
      <c r="E95" s="157">
        <f t="shared" si="56"/>
        <v>0</v>
      </c>
      <c r="F95" s="339">
        <f t="shared" si="57"/>
        <v>0</v>
      </c>
      <c r="G95" s="150">
        <v>52</v>
      </c>
      <c r="I95" s="287">
        <v>34.01</v>
      </c>
      <c r="J95" s="325">
        <f t="shared" si="35"/>
        <v>0</v>
      </c>
      <c r="K95" s="154">
        <f t="shared" si="115"/>
        <v>0</v>
      </c>
      <c r="L95" s="199">
        <f t="shared" si="116"/>
        <v>290</v>
      </c>
      <c r="M95" s="151">
        <f t="shared" si="117"/>
        <v>293.41816376798641</v>
      </c>
      <c r="N95" s="225">
        <f t="shared" si="118"/>
        <v>0</v>
      </c>
      <c r="O95" s="200">
        <f t="shared" si="119"/>
        <v>0</v>
      </c>
      <c r="Q95" s="177">
        <f t="shared" si="120"/>
        <v>0.91399758013727617</v>
      </c>
      <c r="R95" s="330">
        <f t="shared" si="49"/>
        <v>0.91399758013727617</v>
      </c>
      <c r="S95" s="201">
        <f t="shared" si="126"/>
        <v>2.3855336841582905E-2</v>
      </c>
      <c r="T95" s="202">
        <f t="shared" si="121"/>
        <v>0.93785291697885909</v>
      </c>
      <c r="V95" s="201">
        <f t="shared" si="122"/>
        <v>34.94785291697886</v>
      </c>
      <c r="W95" s="332">
        <f t="shared" si="50"/>
        <v>0</v>
      </c>
      <c r="X95" s="332">
        <f t="shared" si="45"/>
        <v>0</v>
      </c>
      <c r="Y95" s="204">
        <f t="shared" si="123"/>
        <v>0</v>
      </c>
      <c r="AA95" s="205">
        <f t="shared" si="124"/>
        <v>0</v>
      </c>
      <c r="AB95" s="206">
        <f t="shared" si="125"/>
        <v>2.7575798793850748E-2</v>
      </c>
    </row>
    <row r="96" spans="1:28" ht="12">
      <c r="A96" s="300" t="str">
        <f>'Tariff Changes'!A116</f>
        <v>2 Yard Pickup Temp</v>
      </c>
      <c r="B96" s="209"/>
      <c r="C96" s="222">
        <f t="shared" si="55"/>
        <v>0</v>
      </c>
      <c r="D96" s="150">
        <v>2</v>
      </c>
      <c r="E96" s="157">
        <f t="shared" si="56"/>
        <v>0</v>
      </c>
      <c r="F96" s="339">
        <f t="shared" si="57"/>
        <v>0</v>
      </c>
      <c r="G96" s="150">
        <v>52</v>
      </c>
      <c r="I96" s="287">
        <v>37.99</v>
      </c>
      <c r="J96" s="325">
        <f t="shared" si="35"/>
        <v>0</v>
      </c>
      <c r="K96" s="154">
        <f t="shared" si="115"/>
        <v>0</v>
      </c>
      <c r="L96" s="199">
        <f t="shared" si="116"/>
        <v>290</v>
      </c>
      <c r="M96" s="151">
        <f t="shared" si="117"/>
        <v>293.41816376798641</v>
      </c>
      <c r="N96" s="225">
        <f t="shared" si="118"/>
        <v>0</v>
      </c>
      <c r="O96" s="200">
        <f t="shared" si="119"/>
        <v>0</v>
      </c>
      <c r="Q96" s="177">
        <f t="shared" si="120"/>
        <v>0.91399758013727617</v>
      </c>
      <c r="R96" s="330">
        <f t="shared" si="49"/>
        <v>0.91399758013727617</v>
      </c>
      <c r="S96" s="201">
        <f t="shared" si="126"/>
        <v>2.3855336841582905E-2</v>
      </c>
      <c r="T96" s="202">
        <f t="shared" si="121"/>
        <v>0.93785291697885909</v>
      </c>
      <c r="V96" s="201">
        <f t="shared" si="122"/>
        <v>38.927852916978864</v>
      </c>
      <c r="W96" s="332">
        <f t="shared" si="50"/>
        <v>0</v>
      </c>
      <c r="X96" s="332">
        <f t="shared" si="45"/>
        <v>0</v>
      </c>
      <c r="Y96" s="204">
        <f t="shared" si="123"/>
        <v>0</v>
      </c>
      <c r="AA96" s="205">
        <f t="shared" si="124"/>
        <v>0</v>
      </c>
      <c r="AB96" s="206">
        <f t="shared" si="125"/>
        <v>2.4686836456405903E-2</v>
      </c>
    </row>
    <row r="97" spans="1:28" ht="12">
      <c r="A97" s="221" t="s">
        <v>244</v>
      </c>
      <c r="B97" s="209"/>
      <c r="C97" s="222">
        <f t="shared" si="55"/>
        <v>0</v>
      </c>
      <c r="D97" s="150">
        <f>3*3.5</f>
        <v>10.5</v>
      </c>
      <c r="E97" s="157">
        <f t="shared" si="56"/>
        <v>0</v>
      </c>
      <c r="F97" s="339">
        <f t="shared" si="57"/>
        <v>0</v>
      </c>
      <c r="G97" s="150">
        <v>52</v>
      </c>
      <c r="I97" s="287">
        <v>220.07</v>
      </c>
      <c r="J97" s="325">
        <f t="shared" si="35"/>
        <v>0</v>
      </c>
      <c r="K97" s="154">
        <f t="shared" si="115"/>
        <v>0</v>
      </c>
      <c r="L97" s="199">
        <f t="shared" si="116"/>
        <v>1522.5</v>
      </c>
      <c r="M97" s="151">
        <f t="shared" si="117"/>
        <v>1540.4453597819288</v>
      </c>
      <c r="N97" s="225">
        <f t="shared" si="118"/>
        <v>0</v>
      </c>
      <c r="O97" s="200">
        <f t="shared" si="119"/>
        <v>0</v>
      </c>
      <c r="Q97" s="177">
        <f t="shared" si="120"/>
        <v>4.7984872957207001</v>
      </c>
      <c r="R97" s="330">
        <f t="shared" si="49"/>
        <v>4.7984872957207001</v>
      </c>
      <c r="S97" s="201">
        <f t="shared" si="126"/>
        <v>0.12524051841831027</v>
      </c>
      <c r="T97" s="202">
        <f t="shared" si="121"/>
        <v>4.92372781413901</v>
      </c>
      <c r="V97" s="201">
        <f t="shared" si="122"/>
        <v>224.99372781413899</v>
      </c>
      <c r="W97" s="332">
        <f t="shared" si="50"/>
        <v>0</v>
      </c>
      <c r="X97" s="332">
        <f t="shared" si="45"/>
        <v>0</v>
      </c>
      <c r="Y97" s="204">
        <f t="shared" si="123"/>
        <v>0</v>
      </c>
      <c r="AA97" s="205">
        <f t="shared" si="124"/>
        <v>0</v>
      </c>
      <c r="AB97" s="206">
        <f t="shared" si="125"/>
        <v>2.2373462144494871E-2</v>
      </c>
    </row>
    <row r="98" spans="1:28" ht="12">
      <c r="A98" s="221" t="s">
        <v>310</v>
      </c>
      <c r="B98" s="209"/>
      <c r="C98" s="222">
        <f t="shared" si="55"/>
        <v>0</v>
      </c>
      <c r="D98" s="150">
        <f>3*3.5</f>
        <v>10.5</v>
      </c>
      <c r="E98" s="157">
        <f t="shared" si="56"/>
        <v>0</v>
      </c>
      <c r="F98" s="339">
        <f t="shared" si="57"/>
        <v>0</v>
      </c>
      <c r="G98" s="150">
        <v>52</v>
      </c>
      <c r="I98" s="287">
        <v>220.07</v>
      </c>
      <c r="J98" s="325">
        <f t="shared" si="35"/>
        <v>0</v>
      </c>
      <c r="K98" s="154">
        <f t="shared" si="115"/>
        <v>0</v>
      </c>
      <c r="L98" s="199">
        <f t="shared" si="116"/>
        <v>1522.5</v>
      </c>
      <c r="M98" s="151">
        <f t="shared" si="117"/>
        <v>1540.4453597819288</v>
      </c>
      <c r="N98" s="225">
        <f t="shared" si="118"/>
        <v>0</v>
      </c>
      <c r="O98" s="200">
        <f t="shared" si="119"/>
        <v>0</v>
      </c>
      <c r="Q98" s="177">
        <f t="shared" si="120"/>
        <v>4.7984872957207001</v>
      </c>
      <c r="R98" s="330">
        <f t="shared" si="49"/>
        <v>4.7984872957207001</v>
      </c>
      <c r="S98" s="201">
        <f t="shared" si="126"/>
        <v>0.12524051841831027</v>
      </c>
      <c r="T98" s="202">
        <f t="shared" si="121"/>
        <v>4.92372781413901</v>
      </c>
      <c r="V98" s="201">
        <f t="shared" si="122"/>
        <v>224.99372781413899</v>
      </c>
      <c r="W98" s="332">
        <f t="shared" si="50"/>
        <v>0</v>
      </c>
      <c r="X98" s="332">
        <f t="shared" si="45"/>
        <v>0</v>
      </c>
      <c r="Y98" s="204">
        <f t="shared" si="123"/>
        <v>0</v>
      </c>
      <c r="AA98" s="205">
        <f t="shared" si="124"/>
        <v>0</v>
      </c>
      <c r="AB98" s="206">
        <f t="shared" si="125"/>
        <v>2.2373462144494871E-2</v>
      </c>
    </row>
    <row r="99" spans="1:28" ht="12">
      <c r="A99" s="221" t="s">
        <v>245</v>
      </c>
      <c r="B99" s="209"/>
      <c r="C99" s="222">
        <f t="shared" si="55"/>
        <v>0</v>
      </c>
      <c r="D99" s="150">
        <f>3*5</f>
        <v>15</v>
      </c>
      <c r="E99" s="157">
        <f t="shared" si="56"/>
        <v>0</v>
      </c>
      <c r="F99" s="339">
        <f t="shared" si="57"/>
        <v>0</v>
      </c>
      <c r="G99" s="150">
        <v>52</v>
      </c>
      <c r="I99" s="287">
        <v>258.32</v>
      </c>
      <c r="J99" s="325">
        <f t="shared" si="35"/>
        <v>0</v>
      </c>
      <c r="K99" s="154">
        <f t="shared" si="115"/>
        <v>0</v>
      </c>
      <c r="L99" s="199">
        <f t="shared" si="116"/>
        <v>2175</v>
      </c>
      <c r="M99" s="151">
        <f t="shared" si="117"/>
        <v>2200.6362282598984</v>
      </c>
      <c r="N99" s="225">
        <f t="shared" si="118"/>
        <v>0</v>
      </c>
      <c r="O99" s="200">
        <f t="shared" si="119"/>
        <v>0</v>
      </c>
      <c r="Q99" s="177">
        <f t="shared" si="120"/>
        <v>6.8549818510295726</v>
      </c>
      <c r="R99" s="330">
        <f t="shared" si="49"/>
        <v>6.8549818510295726</v>
      </c>
      <c r="S99" s="201">
        <f t="shared" si="126"/>
        <v>0.17891502631187184</v>
      </c>
      <c r="T99" s="202">
        <f t="shared" si="121"/>
        <v>7.0338968773414443</v>
      </c>
      <c r="V99" s="201">
        <f t="shared" si="122"/>
        <v>265.35389687734141</v>
      </c>
      <c r="W99" s="332">
        <f t="shared" si="50"/>
        <v>0</v>
      </c>
      <c r="X99" s="332">
        <f t="shared" si="45"/>
        <v>0</v>
      </c>
      <c r="Y99" s="204">
        <f t="shared" si="123"/>
        <v>0</v>
      </c>
      <c r="AA99" s="205">
        <f t="shared" si="124"/>
        <v>0</v>
      </c>
      <c r="AB99" s="206">
        <f t="shared" si="125"/>
        <v>2.7229393300330695E-2</v>
      </c>
    </row>
    <row r="100" spans="1:28" ht="12">
      <c r="A100" s="221" t="s">
        <v>316</v>
      </c>
      <c r="B100" s="209"/>
      <c r="C100" s="222">
        <f t="shared" si="55"/>
        <v>0</v>
      </c>
      <c r="D100" s="150">
        <f>3*5</f>
        <v>15</v>
      </c>
      <c r="E100" s="157">
        <f t="shared" si="56"/>
        <v>0</v>
      </c>
      <c r="F100" s="339">
        <f t="shared" si="57"/>
        <v>0</v>
      </c>
      <c r="G100" s="150">
        <v>52</v>
      </c>
      <c r="I100" s="287">
        <v>258.32</v>
      </c>
      <c r="J100" s="325">
        <f t="shared" si="35"/>
        <v>0</v>
      </c>
      <c r="K100" s="154">
        <f t="shared" si="115"/>
        <v>0</v>
      </c>
      <c r="L100" s="199">
        <f t="shared" si="116"/>
        <v>2175</v>
      </c>
      <c r="M100" s="151">
        <f t="shared" si="117"/>
        <v>2200.6362282598984</v>
      </c>
      <c r="N100" s="225">
        <f t="shared" si="118"/>
        <v>0</v>
      </c>
      <c r="O100" s="200">
        <f t="shared" si="119"/>
        <v>0</v>
      </c>
      <c r="Q100" s="177">
        <f t="shared" si="120"/>
        <v>6.8549818510295726</v>
      </c>
      <c r="R100" s="330">
        <f t="shared" si="49"/>
        <v>6.8549818510295726</v>
      </c>
      <c r="S100" s="201">
        <f t="shared" si="126"/>
        <v>0.17891502631187184</v>
      </c>
      <c r="T100" s="202">
        <f t="shared" si="121"/>
        <v>7.0338968773414443</v>
      </c>
      <c r="V100" s="201">
        <f t="shared" si="122"/>
        <v>265.35389687734141</v>
      </c>
      <c r="W100" s="332">
        <f t="shared" si="50"/>
        <v>0</v>
      </c>
      <c r="X100" s="332">
        <f t="shared" si="45"/>
        <v>0</v>
      </c>
      <c r="Y100" s="204">
        <f t="shared" si="123"/>
        <v>0</v>
      </c>
      <c r="AA100" s="205">
        <f t="shared" si="124"/>
        <v>0</v>
      </c>
      <c r="AB100" s="206">
        <f t="shared" si="125"/>
        <v>2.7229393300330695E-2</v>
      </c>
    </row>
    <row r="101" spans="1:28" ht="12">
      <c r="A101" s="221" t="s">
        <v>137</v>
      </c>
      <c r="B101" s="209"/>
      <c r="C101" s="222">
        <f t="shared" si="55"/>
        <v>0</v>
      </c>
      <c r="D101" s="150">
        <v>3</v>
      </c>
      <c r="E101" s="157">
        <f t="shared" si="56"/>
        <v>0</v>
      </c>
      <c r="F101" s="339">
        <f t="shared" si="57"/>
        <v>0</v>
      </c>
      <c r="G101" s="150">
        <v>52</v>
      </c>
      <c r="I101" s="287">
        <v>53.02</v>
      </c>
      <c r="J101" s="325">
        <f t="shared" si="35"/>
        <v>0</v>
      </c>
      <c r="K101" s="154">
        <f t="shared" si="115"/>
        <v>0</v>
      </c>
      <c r="L101" s="199">
        <f t="shared" si="116"/>
        <v>435</v>
      </c>
      <c r="M101" s="151">
        <f t="shared" si="117"/>
        <v>440.12724565197965</v>
      </c>
      <c r="N101" s="225">
        <f t="shared" si="118"/>
        <v>0</v>
      </c>
      <c r="O101" s="200">
        <f t="shared" si="119"/>
        <v>0</v>
      </c>
      <c r="Q101" s="177">
        <f t="shared" si="120"/>
        <v>1.3709963702059145</v>
      </c>
      <c r="R101" s="330">
        <f t="shared" si="49"/>
        <v>1.3709963702059145</v>
      </c>
      <c r="S101" s="201">
        <f t="shared" si="126"/>
        <v>3.5783005262374365E-2</v>
      </c>
      <c r="T101" s="202">
        <f t="shared" si="121"/>
        <v>1.4067793754682889</v>
      </c>
      <c r="V101" s="201">
        <f t="shared" si="122"/>
        <v>54.426779375468293</v>
      </c>
      <c r="W101" s="332">
        <f t="shared" si="50"/>
        <v>0</v>
      </c>
      <c r="X101" s="332">
        <f t="shared" si="45"/>
        <v>0</v>
      </c>
      <c r="Y101" s="204">
        <f t="shared" si="123"/>
        <v>0</v>
      </c>
      <c r="AA101" s="205">
        <f t="shared" si="124"/>
        <v>0</v>
      </c>
      <c r="AB101" s="206">
        <f t="shared" si="125"/>
        <v>2.6532994633502227E-2</v>
      </c>
    </row>
    <row r="102" spans="1:28" ht="12">
      <c r="A102" s="221" t="s">
        <v>138</v>
      </c>
      <c r="B102" s="209">
        <v>46</v>
      </c>
      <c r="C102" s="222">
        <f>E102/12</f>
        <v>45.5</v>
      </c>
      <c r="D102" s="150">
        <v>3</v>
      </c>
      <c r="E102" s="157">
        <v>546</v>
      </c>
      <c r="F102" s="339">
        <f t="shared" si="57"/>
        <v>46</v>
      </c>
      <c r="G102" s="150">
        <v>52</v>
      </c>
      <c r="I102" s="287">
        <v>47.71</v>
      </c>
      <c r="J102" s="325">
        <f t="shared" si="35"/>
        <v>26049.66</v>
      </c>
      <c r="K102" s="154">
        <f t="shared" si="115"/>
        <v>312595.92</v>
      </c>
      <c r="L102" s="199">
        <f t="shared" si="116"/>
        <v>435</v>
      </c>
      <c r="M102" s="151">
        <f t="shared" si="117"/>
        <v>440.12724565197965</v>
      </c>
      <c r="N102" s="225">
        <f t="shared" si="118"/>
        <v>118.76</v>
      </c>
      <c r="O102" s="200">
        <f t="shared" si="119"/>
        <v>120.15979699684851</v>
      </c>
      <c r="Q102" s="177">
        <f t="shared" si="120"/>
        <v>1.3709963702059145</v>
      </c>
      <c r="R102" s="330">
        <f t="shared" si="49"/>
        <v>1.3709963702059145</v>
      </c>
      <c r="S102" s="201">
        <f t="shared" si="126"/>
        <v>3.5783005262374365E-2</v>
      </c>
      <c r="T102" s="202">
        <f t="shared" si="121"/>
        <v>1.4067793754682889</v>
      </c>
      <c r="V102" s="201">
        <f t="shared" si="122"/>
        <v>49.11677937546829</v>
      </c>
      <c r="W102" s="332">
        <f t="shared" si="50"/>
        <v>26817.761539005685</v>
      </c>
      <c r="X102" s="332">
        <f t="shared" si="45"/>
        <v>768.10153900568548</v>
      </c>
      <c r="Y102" s="204">
        <f t="shared" si="123"/>
        <v>9217.2184680682258</v>
      </c>
      <c r="AA102" s="205">
        <f t="shared" si="124"/>
        <v>748.59553529036498</v>
      </c>
      <c r="AB102" s="206">
        <f t="shared" si="125"/>
        <v>2.9486048532137765E-2</v>
      </c>
    </row>
    <row r="103" spans="1:28" ht="12">
      <c r="A103" s="221" t="s">
        <v>139</v>
      </c>
      <c r="B103" s="209"/>
      <c r="C103" s="222">
        <f t="shared" si="55"/>
        <v>0</v>
      </c>
      <c r="D103" s="150">
        <v>3</v>
      </c>
      <c r="E103" s="157">
        <f t="shared" si="56"/>
        <v>0</v>
      </c>
      <c r="F103" s="339">
        <f t="shared" si="57"/>
        <v>0</v>
      </c>
      <c r="G103" s="150">
        <v>52</v>
      </c>
      <c r="I103" s="287">
        <v>47.71</v>
      </c>
      <c r="J103" s="325">
        <f t="shared" si="35"/>
        <v>0</v>
      </c>
      <c r="K103" s="154">
        <f t="shared" si="115"/>
        <v>0</v>
      </c>
      <c r="L103" s="199">
        <f t="shared" si="116"/>
        <v>435</v>
      </c>
      <c r="M103" s="151">
        <f t="shared" si="117"/>
        <v>440.12724565197965</v>
      </c>
      <c r="N103" s="225">
        <f t="shared" si="118"/>
        <v>0</v>
      </c>
      <c r="O103" s="200">
        <f t="shared" si="119"/>
        <v>0</v>
      </c>
      <c r="Q103" s="177">
        <f t="shared" si="120"/>
        <v>1.3709963702059145</v>
      </c>
      <c r="R103" s="330">
        <f t="shared" si="49"/>
        <v>1.3709963702059145</v>
      </c>
      <c r="S103" s="201">
        <f t="shared" si="126"/>
        <v>3.5783005262374365E-2</v>
      </c>
      <c r="T103" s="202">
        <f t="shared" si="121"/>
        <v>1.4067793754682889</v>
      </c>
      <c r="V103" s="201">
        <f t="shared" si="122"/>
        <v>49.11677937546829</v>
      </c>
      <c r="W103" s="332">
        <f t="shared" si="50"/>
        <v>0</v>
      </c>
      <c r="X103" s="332">
        <f t="shared" si="45"/>
        <v>0</v>
      </c>
      <c r="Y103" s="204">
        <f t="shared" si="123"/>
        <v>0</v>
      </c>
      <c r="AA103" s="205">
        <f t="shared" si="124"/>
        <v>0</v>
      </c>
      <c r="AB103" s="206">
        <f t="shared" si="125"/>
        <v>2.9486048532137765E-2</v>
      </c>
    </row>
    <row r="104" spans="1:28" ht="12">
      <c r="A104" s="221" t="s">
        <v>140</v>
      </c>
      <c r="B104" s="209"/>
      <c r="C104" s="222">
        <f t="shared" si="55"/>
        <v>0</v>
      </c>
      <c r="D104" s="150">
        <v>3</v>
      </c>
      <c r="E104" s="157">
        <f t="shared" si="56"/>
        <v>0</v>
      </c>
      <c r="F104" s="339">
        <f t="shared" si="57"/>
        <v>0</v>
      </c>
      <c r="G104" s="150">
        <v>52</v>
      </c>
      <c r="I104" s="287">
        <v>47.71</v>
      </c>
      <c r="J104" s="325">
        <f t="shared" si="35"/>
        <v>0</v>
      </c>
      <c r="K104" s="154">
        <f t="shared" si="115"/>
        <v>0</v>
      </c>
      <c r="L104" s="199">
        <f t="shared" si="116"/>
        <v>435</v>
      </c>
      <c r="M104" s="151">
        <f t="shared" si="117"/>
        <v>440.12724565197965</v>
      </c>
      <c r="N104" s="225">
        <f t="shared" si="118"/>
        <v>0</v>
      </c>
      <c r="O104" s="200">
        <f t="shared" si="119"/>
        <v>0</v>
      </c>
      <c r="Q104" s="177">
        <f t="shared" si="120"/>
        <v>1.3709963702059145</v>
      </c>
      <c r="R104" s="330">
        <f t="shared" si="49"/>
        <v>1.3709963702059145</v>
      </c>
      <c r="S104" s="201">
        <f t="shared" si="126"/>
        <v>3.5783005262374365E-2</v>
      </c>
      <c r="T104" s="202">
        <f t="shared" si="121"/>
        <v>1.4067793754682889</v>
      </c>
      <c r="V104" s="201">
        <f t="shared" si="122"/>
        <v>49.11677937546829</v>
      </c>
      <c r="W104" s="332">
        <f t="shared" si="50"/>
        <v>0</v>
      </c>
      <c r="X104" s="332">
        <f t="shared" si="45"/>
        <v>0</v>
      </c>
      <c r="Y104" s="204">
        <f t="shared" si="123"/>
        <v>0</v>
      </c>
      <c r="AA104" s="205">
        <f t="shared" si="124"/>
        <v>0</v>
      </c>
      <c r="AB104" s="206">
        <f t="shared" si="125"/>
        <v>2.9486048532137765E-2</v>
      </c>
    </row>
    <row r="105" spans="1:28" ht="12">
      <c r="A105" s="221" t="s">
        <v>246</v>
      </c>
      <c r="B105" s="209"/>
      <c r="C105" s="222">
        <f t="shared" si="55"/>
        <v>0</v>
      </c>
      <c r="D105" s="150">
        <v>3</v>
      </c>
      <c r="E105" s="157">
        <f t="shared" si="56"/>
        <v>0</v>
      </c>
      <c r="F105" s="339">
        <f t="shared" si="57"/>
        <v>0</v>
      </c>
      <c r="G105" s="150">
        <v>52</v>
      </c>
      <c r="I105" s="287">
        <v>47.71</v>
      </c>
      <c r="J105" s="325">
        <f t="shared" si="35"/>
        <v>0</v>
      </c>
      <c r="K105" s="154">
        <f t="shared" si="115"/>
        <v>0</v>
      </c>
      <c r="L105" s="199">
        <f t="shared" si="116"/>
        <v>435</v>
      </c>
      <c r="M105" s="151">
        <f t="shared" si="117"/>
        <v>440.12724565197965</v>
      </c>
      <c r="N105" s="225">
        <f t="shared" si="118"/>
        <v>0</v>
      </c>
      <c r="O105" s="200">
        <f t="shared" si="119"/>
        <v>0</v>
      </c>
      <c r="Q105" s="177">
        <f t="shared" si="120"/>
        <v>1.3709963702059145</v>
      </c>
      <c r="R105" s="330">
        <f t="shared" si="49"/>
        <v>1.3709963702059145</v>
      </c>
      <c r="S105" s="201">
        <f t="shared" si="126"/>
        <v>3.5783005262374365E-2</v>
      </c>
      <c r="T105" s="202">
        <f t="shared" si="121"/>
        <v>1.4067793754682889</v>
      </c>
      <c r="V105" s="201">
        <f t="shared" si="122"/>
        <v>49.11677937546829</v>
      </c>
      <c r="W105" s="332">
        <f t="shared" si="50"/>
        <v>0</v>
      </c>
      <c r="X105" s="332">
        <f t="shared" si="45"/>
        <v>0</v>
      </c>
      <c r="Y105" s="204">
        <f t="shared" si="123"/>
        <v>0</v>
      </c>
      <c r="AA105" s="205">
        <f t="shared" si="124"/>
        <v>0</v>
      </c>
      <c r="AB105" s="206">
        <f t="shared" si="125"/>
        <v>2.9486048532137765E-2</v>
      </c>
    </row>
    <row r="106" spans="1:28" ht="12">
      <c r="A106" s="300" t="str">
        <f>'Tariff Changes'!A117</f>
        <v>3 Yard Pickup Temp</v>
      </c>
      <c r="B106" s="209">
        <v>1</v>
      </c>
      <c r="C106" s="222">
        <f>E106/12</f>
        <v>1</v>
      </c>
      <c r="D106" s="150">
        <v>3</v>
      </c>
      <c r="E106" s="157">
        <v>12</v>
      </c>
      <c r="F106" s="339">
        <f t="shared" si="57"/>
        <v>1</v>
      </c>
      <c r="G106" s="150">
        <v>52</v>
      </c>
      <c r="I106" s="287">
        <v>53.02</v>
      </c>
      <c r="J106" s="325">
        <f t="shared" si="35"/>
        <v>636.24</v>
      </c>
      <c r="K106" s="154">
        <f t="shared" si="115"/>
        <v>7634.88</v>
      </c>
      <c r="L106" s="199">
        <f t="shared" si="116"/>
        <v>435</v>
      </c>
      <c r="M106" s="151">
        <f t="shared" si="117"/>
        <v>440.12724565197965</v>
      </c>
      <c r="N106" s="225">
        <f t="shared" si="118"/>
        <v>2.61</v>
      </c>
      <c r="O106" s="200">
        <f t="shared" si="119"/>
        <v>2.6407634739118779</v>
      </c>
      <c r="Q106" s="177">
        <f t="shared" si="120"/>
        <v>1.3709963702059145</v>
      </c>
      <c r="R106" s="330">
        <f t="shared" si="49"/>
        <v>1.3709963702059145</v>
      </c>
      <c r="S106" s="201">
        <f t="shared" si="126"/>
        <v>3.5783005262374365E-2</v>
      </c>
      <c r="T106" s="202">
        <f t="shared" si="121"/>
        <v>1.4067793754682889</v>
      </c>
      <c r="V106" s="201">
        <f t="shared" si="122"/>
        <v>54.426779375468293</v>
      </c>
      <c r="W106" s="332">
        <f t="shared" si="50"/>
        <v>653.12135250561948</v>
      </c>
      <c r="X106" s="332">
        <f t="shared" si="45"/>
        <v>16.881352505619475</v>
      </c>
      <c r="Y106" s="204">
        <f t="shared" si="123"/>
        <v>202.5762300674337</v>
      </c>
      <c r="AA106" s="205">
        <f t="shared" si="124"/>
        <v>16.451956442470973</v>
      </c>
      <c r="AB106" s="206">
        <f t="shared" si="125"/>
        <v>2.6532994633502227E-2</v>
      </c>
    </row>
    <row r="107" spans="1:28" ht="12">
      <c r="A107" s="221" t="s">
        <v>247</v>
      </c>
      <c r="B107" s="209"/>
      <c r="C107" s="222">
        <f t="shared" si="55"/>
        <v>0</v>
      </c>
      <c r="D107" s="150">
        <f>4*3.5</f>
        <v>14</v>
      </c>
      <c r="E107" s="157">
        <f t="shared" si="56"/>
        <v>0</v>
      </c>
      <c r="F107" s="339">
        <f t="shared" si="57"/>
        <v>0</v>
      </c>
      <c r="G107" s="150">
        <v>52</v>
      </c>
      <c r="I107" s="287">
        <v>270.04000000000002</v>
      </c>
      <c r="J107" s="325">
        <f t="shared" si="35"/>
        <v>0</v>
      </c>
      <c r="K107" s="154">
        <f t="shared" si="115"/>
        <v>0</v>
      </c>
      <c r="L107" s="199">
        <f t="shared" si="116"/>
        <v>2030</v>
      </c>
      <c r="M107" s="151">
        <f t="shared" si="117"/>
        <v>2053.9271463759051</v>
      </c>
      <c r="N107" s="225">
        <f t="shared" si="118"/>
        <v>0</v>
      </c>
      <c r="O107" s="200">
        <f t="shared" si="119"/>
        <v>0</v>
      </c>
      <c r="Q107" s="177">
        <f t="shared" si="120"/>
        <v>6.3979830609609341</v>
      </c>
      <c r="R107" s="330">
        <f t="shared" si="49"/>
        <v>6.3979830609609341</v>
      </c>
      <c r="S107" s="201">
        <f t="shared" si="126"/>
        <v>0.16698735789108038</v>
      </c>
      <c r="T107" s="202">
        <f t="shared" si="121"/>
        <v>6.5649704188520142</v>
      </c>
      <c r="V107" s="201">
        <f t="shared" si="122"/>
        <v>276.60497041885202</v>
      </c>
      <c r="W107" s="332">
        <f t="shared" si="50"/>
        <v>0</v>
      </c>
      <c r="X107" s="332">
        <f t="shared" si="45"/>
        <v>0</v>
      </c>
      <c r="Y107" s="204">
        <f t="shared" si="123"/>
        <v>0</v>
      </c>
      <c r="AA107" s="205">
        <f t="shared" si="124"/>
        <v>0</v>
      </c>
      <c r="AB107" s="206">
        <f t="shared" si="125"/>
        <v>2.4311103610028084E-2</v>
      </c>
    </row>
    <row r="108" spans="1:28" ht="12">
      <c r="A108" s="221" t="s">
        <v>311</v>
      </c>
      <c r="B108" s="209"/>
      <c r="C108" s="222">
        <f t="shared" si="55"/>
        <v>0</v>
      </c>
      <c r="D108" s="150">
        <f>4*3.5</f>
        <v>14</v>
      </c>
      <c r="E108" s="157">
        <f t="shared" si="56"/>
        <v>0</v>
      </c>
      <c r="F108" s="339">
        <f t="shared" si="57"/>
        <v>0</v>
      </c>
      <c r="G108" s="150">
        <v>52</v>
      </c>
      <c r="I108" s="287">
        <v>270.04000000000002</v>
      </c>
      <c r="J108" s="325">
        <f t="shared" si="35"/>
        <v>0</v>
      </c>
      <c r="K108" s="154">
        <f t="shared" si="115"/>
        <v>0</v>
      </c>
      <c r="L108" s="199">
        <f t="shared" si="116"/>
        <v>2030</v>
      </c>
      <c r="M108" s="151">
        <f t="shared" si="117"/>
        <v>2053.9271463759051</v>
      </c>
      <c r="N108" s="225">
        <f t="shared" si="118"/>
        <v>0</v>
      </c>
      <c r="O108" s="200">
        <f t="shared" si="119"/>
        <v>0</v>
      </c>
      <c r="Q108" s="177">
        <f t="shared" si="120"/>
        <v>6.3979830609609341</v>
      </c>
      <c r="R108" s="330">
        <f t="shared" si="49"/>
        <v>6.3979830609609341</v>
      </c>
      <c r="S108" s="201">
        <f t="shared" si="126"/>
        <v>0.16698735789108038</v>
      </c>
      <c r="T108" s="202">
        <f t="shared" si="121"/>
        <v>6.5649704188520142</v>
      </c>
      <c r="V108" s="201">
        <f t="shared" si="122"/>
        <v>276.60497041885202</v>
      </c>
      <c r="W108" s="332">
        <f t="shared" si="50"/>
        <v>0</v>
      </c>
      <c r="X108" s="332">
        <f t="shared" si="45"/>
        <v>0</v>
      </c>
      <c r="Y108" s="204">
        <f t="shared" si="123"/>
        <v>0</v>
      </c>
      <c r="AA108" s="205">
        <f t="shared" si="124"/>
        <v>0</v>
      </c>
      <c r="AB108" s="206">
        <f t="shared" si="125"/>
        <v>2.4311103610028084E-2</v>
      </c>
    </row>
    <row r="109" spans="1:28" ht="12">
      <c r="A109" s="221" t="s">
        <v>248</v>
      </c>
      <c r="B109" s="209"/>
      <c r="C109" s="222">
        <f t="shared" si="55"/>
        <v>0</v>
      </c>
      <c r="D109" s="150">
        <f>4*5</f>
        <v>20</v>
      </c>
      <c r="E109" s="157">
        <f t="shared" si="56"/>
        <v>0</v>
      </c>
      <c r="F109" s="339">
        <f t="shared" si="57"/>
        <v>0</v>
      </c>
      <c r="G109" s="150">
        <v>52</v>
      </c>
      <c r="I109" s="287">
        <v>323.20999999999998</v>
      </c>
      <c r="J109" s="325">
        <f t="shared" si="35"/>
        <v>0</v>
      </c>
      <c r="K109" s="154">
        <f t="shared" si="115"/>
        <v>0</v>
      </c>
      <c r="L109" s="199">
        <f t="shared" si="116"/>
        <v>2900</v>
      </c>
      <c r="M109" s="151">
        <f t="shared" si="117"/>
        <v>2934.1816376798643</v>
      </c>
      <c r="N109" s="225">
        <f t="shared" si="118"/>
        <v>0</v>
      </c>
      <c r="O109" s="200">
        <f t="shared" si="119"/>
        <v>0</v>
      </c>
      <c r="Q109" s="177">
        <f t="shared" si="120"/>
        <v>9.1399758013727617</v>
      </c>
      <c r="R109" s="330">
        <f t="shared" si="49"/>
        <v>9.1399758013727617</v>
      </c>
      <c r="S109" s="201">
        <f t="shared" si="126"/>
        <v>0.23855336841582905</v>
      </c>
      <c r="T109" s="202">
        <f t="shared" si="121"/>
        <v>9.3785291697885906</v>
      </c>
      <c r="V109" s="201">
        <f t="shared" si="122"/>
        <v>332.58852916978856</v>
      </c>
      <c r="W109" s="332">
        <f t="shared" si="50"/>
        <v>0</v>
      </c>
      <c r="X109" s="332">
        <f t="shared" si="45"/>
        <v>0</v>
      </c>
      <c r="Y109" s="204">
        <f t="shared" si="123"/>
        <v>0</v>
      </c>
      <c r="AA109" s="205">
        <f t="shared" si="124"/>
        <v>0</v>
      </c>
      <c r="AB109" s="206">
        <f t="shared" si="125"/>
        <v>2.9016828593758204E-2</v>
      </c>
    </row>
    <row r="110" spans="1:28" ht="12">
      <c r="A110" s="221" t="s">
        <v>317</v>
      </c>
      <c r="B110" s="209"/>
      <c r="C110" s="222">
        <f t="shared" si="55"/>
        <v>0</v>
      </c>
      <c r="D110" s="150">
        <f>4*5</f>
        <v>20</v>
      </c>
      <c r="E110" s="157">
        <f t="shared" si="56"/>
        <v>0</v>
      </c>
      <c r="F110" s="339">
        <f t="shared" si="57"/>
        <v>0</v>
      </c>
      <c r="G110" s="150">
        <v>52</v>
      </c>
      <c r="I110" s="287">
        <v>323.20999999999998</v>
      </c>
      <c r="J110" s="325">
        <f t="shared" si="35"/>
        <v>0</v>
      </c>
      <c r="K110" s="154">
        <f t="shared" si="115"/>
        <v>0</v>
      </c>
      <c r="L110" s="199">
        <f t="shared" si="116"/>
        <v>2900</v>
      </c>
      <c r="M110" s="151">
        <f t="shared" si="117"/>
        <v>2934.1816376798643</v>
      </c>
      <c r="N110" s="225">
        <f t="shared" si="118"/>
        <v>0</v>
      </c>
      <c r="O110" s="200">
        <f t="shared" si="119"/>
        <v>0</v>
      </c>
      <c r="Q110" s="177">
        <f t="shared" si="120"/>
        <v>9.1399758013727617</v>
      </c>
      <c r="R110" s="330">
        <f t="shared" si="49"/>
        <v>9.1399758013727617</v>
      </c>
      <c r="S110" s="201">
        <f t="shared" si="126"/>
        <v>0.23855336841582905</v>
      </c>
      <c r="T110" s="202">
        <f t="shared" si="121"/>
        <v>9.3785291697885906</v>
      </c>
      <c r="V110" s="201">
        <f t="shared" si="122"/>
        <v>332.58852916978856</v>
      </c>
      <c r="W110" s="332">
        <f t="shared" si="50"/>
        <v>0</v>
      </c>
      <c r="X110" s="332">
        <f t="shared" si="45"/>
        <v>0</v>
      </c>
      <c r="Y110" s="204">
        <f t="shared" si="123"/>
        <v>0</v>
      </c>
      <c r="AA110" s="205">
        <f t="shared" si="124"/>
        <v>0</v>
      </c>
      <c r="AB110" s="206">
        <f t="shared" si="125"/>
        <v>2.9016828593758204E-2</v>
      </c>
    </row>
    <row r="111" spans="1:28" ht="12">
      <c r="A111" s="221" t="s">
        <v>141</v>
      </c>
      <c r="B111" s="209"/>
      <c r="C111" s="222">
        <f t="shared" si="55"/>
        <v>0</v>
      </c>
      <c r="D111" s="150">
        <v>4</v>
      </c>
      <c r="E111" s="157">
        <f t="shared" si="56"/>
        <v>0</v>
      </c>
      <c r="F111" s="339">
        <f t="shared" si="57"/>
        <v>0</v>
      </c>
      <c r="G111" s="150">
        <v>52</v>
      </c>
      <c r="I111" s="287">
        <v>69.05</v>
      </c>
      <c r="J111" s="325">
        <f t="shared" si="35"/>
        <v>0</v>
      </c>
      <c r="K111" s="154">
        <f t="shared" si="115"/>
        <v>0</v>
      </c>
      <c r="L111" s="199">
        <f t="shared" si="116"/>
        <v>580</v>
      </c>
      <c r="M111" s="151">
        <f t="shared" si="117"/>
        <v>586.83632753597283</v>
      </c>
      <c r="N111" s="225">
        <f t="shared" si="118"/>
        <v>0</v>
      </c>
      <c r="O111" s="200">
        <f t="shared" si="119"/>
        <v>0</v>
      </c>
      <c r="Q111" s="177">
        <f t="shared" si="120"/>
        <v>1.8279951602745523</v>
      </c>
      <c r="R111" s="330">
        <f t="shared" si="49"/>
        <v>1.8279951602745523</v>
      </c>
      <c r="S111" s="201">
        <f t="shared" si="126"/>
        <v>4.7710673683165811E-2</v>
      </c>
      <c r="T111" s="202">
        <f t="shared" si="121"/>
        <v>1.8757058339577182</v>
      </c>
      <c r="V111" s="201">
        <f t="shared" si="122"/>
        <v>70.925705833957721</v>
      </c>
      <c r="W111" s="332">
        <f t="shared" si="50"/>
        <v>0</v>
      </c>
      <c r="X111" s="332">
        <f t="shared" si="45"/>
        <v>0</v>
      </c>
      <c r="Y111" s="204">
        <f t="shared" si="123"/>
        <v>0</v>
      </c>
      <c r="AA111" s="205">
        <f t="shared" si="124"/>
        <v>0</v>
      </c>
      <c r="AB111" s="206">
        <f t="shared" si="125"/>
        <v>2.7164458131176294E-2</v>
      </c>
    </row>
    <row r="112" spans="1:28" ht="12">
      <c r="A112" s="221" t="s">
        <v>142</v>
      </c>
      <c r="B112" s="209">
        <v>30</v>
      </c>
      <c r="C112" s="222">
        <f>E112/12</f>
        <v>65</v>
      </c>
      <c r="D112" s="150">
        <v>4</v>
      </c>
      <c r="E112" s="157">
        <v>780</v>
      </c>
      <c r="F112" s="339">
        <f t="shared" si="57"/>
        <v>30</v>
      </c>
      <c r="G112" s="150">
        <v>52</v>
      </c>
      <c r="I112" s="287">
        <v>63.76</v>
      </c>
      <c r="J112" s="325">
        <f t="shared" si="35"/>
        <v>49732.799999999996</v>
      </c>
      <c r="K112" s="154">
        <f t="shared" si="115"/>
        <v>596793.59999999998</v>
      </c>
      <c r="L112" s="199">
        <f t="shared" si="116"/>
        <v>580</v>
      </c>
      <c r="M112" s="151">
        <f t="shared" si="117"/>
        <v>586.83632753597283</v>
      </c>
      <c r="N112" s="225">
        <f t="shared" si="118"/>
        <v>226.2</v>
      </c>
      <c r="O112" s="200">
        <f t="shared" si="119"/>
        <v>228.86616773902941</v>
      </c>
      <c r="Q112" s="177">
        <f t="shared" si="120"/>
        <v>1.8279951602745523</v>
      </c>
      <c r="R112" s="330">
        <f t="shared" si="49"/>
        <v>1.8279951602745523</v>
      </c>
      <c r="S112" s="201">
        <f t="shared" si="126"/>
        <v>4.7710673683165811E-2</v>
      </c>
      <c r="T112" s="202">
        <f t="shared" si="121"/>
        <v>1.8757058339577182</v>
      </c>
      <c r="V112" s="201">
        <f t="shared" si="122"/>
        <v>65.635705833957715</v>
      </c>
      <c r="W112" s="332">
        <f t="shared" si="50"/>
        <v>51195.850550487019</v>
      </c>
      <c r="X112" s="332">
        <f t="shared" si="45"/>
        <v>1463.0505504870234</v>
      </c>
      <c r="Y112" s="204">
        <f t="shared" si="123"/>
        <v>17556.606605844281</v>
      </c>
      <c r="AA112" s="205">
        <f t="shared" si="124"/>
        <v>1425.8362250141508</v>
      </c>
      <c r="AB112" s="206">
        <f t="shared" si="125"/>
        <v>2.9418221988044557E-2</v>
      </c>
    </row>
    <row r="113" spans="1:28" ht="12">
      <c r="A113" s="221" t="s">
        <v>143</v>
      </c>
      <c r="B113" s="209"/>
      <c r="C113" s="222">
        <f t="shared" si="55"/>
        <v>0</v>
      </c>
      <c r="D113" s="150">
        <v>4</v>
      </c>
      <c r="E113" s="157">
        <f t="shared" si="56"/>
        <v>0</v>
      </c>
      <c r="F113" s="339">
        <f t="shared" si="57"/>
        <v>0</v>
      </c>
      <c r="G113" s="150">
        <v>52</v>
      </c>
      <c r="I113" s="287">
        <v>63.76</v>
      </c>
      <c r="J113" s="325">
        <f t="shared" si="35"/>
        <v>0</v>
      </c>
      <c r="K113" s="154">
        <f t="shared" si="115"/>
        <v>0</v>
      </c>
      <c r="L113" s="199">
        <f t="shared" si="116"/>
        <v>580</v>
      </c>
      <c r="M113" s="151">
        <f t="shared" si="117"/>
        <v>586.83632753597283</v>
      </c>
      <c r="N113" s="225">
        <f t="shared" si="118"/>
        <v>0</v>
      </c>
      <c r="O113" s="200">
        <f t="shared" si="119"/>
        <v>0</v>
      </c>
      <c r="Q113" s="177">
        <f t="shared" si="120"/>
        <v>1.8279951602745523</v>
      </c>
      <c r="R113" s="330">
        <f t="shared" si="49"/>
        <v>1.8279951602745523</v>
      </c>
      <c r="S113" s="201">
        <f t="shared" si="126"/>
        <v>4.7710673683165811E-2</v>
      </c>
      <c r="T113" s="202">
        <f t="shared" si="121"/>
        <v>1.8757058339577182</v>
      </c>
      <c r="V113" s="201">
        <f t="shared" si="122"/>
        <v>65.635705833957715</v>
      </c>
      <c r="W113" s="332">
        <f t="shared" si="50"/>
        <v>0</v>
      </c>
      <c r="X113" s="332">
        <f t="shared" si="45"/>
        <v>0</v>
      </c>
      <c r="Y113" s="204">
        <f t="shared" si="123"/>
        <v>0</v>
      </c>
      <c r="AA113" s="205">
        <f t="shared" si="124"/>
        <v>0</v>
      </c>
      <c r="AB113" s="206">
        <f t="shared" si="125"/>
        <v>2.9418221988044557E-2</v>
      </c>
    </row>
    <row r="114" spans="1:28" ht="12">
      <c r="A114" s="221" t="s">
        <v>144</v>
      </c>
      <c r="B114" s="209"/>
      <c r="C114" s="222">
        <f t="shared" si="55"/>
        <v>0</v>
      </c>
      <c r="D114" s="150">
        <v>4</v>
      </c>
      <c r="E114" s="157">
        <f t="shared" si="56"/>
        <v>0</v>
      </c>
      <c r="F114" s="339">
        <f t="shared" si="57"/>
        <v>0</v>
      </c>
      <c r="G114" s="150">
        <v>52</v>
      </c>
      <c r="I114" s="287">
        <v>63.76</v>
      </c>
      <c r="J114" s="325">
        <f t="shared" si="35"/>
        <v>0</v>
      </c>
      <c r="K114" s="154">
        <f t="shared" si="115"/>
        <v>0</v>
      </c>
      <c r="L114" s="199">
        <f t="shared" si="116"/>
        <v>580</v>
      </c>
      <c r="M114" s="151">
        <f t="shared" si="117"/>
        <v>586.83632753597283</v>
      </c>
      <c r="N114" s="225">
        <f t="shared" si="118"/>
        <v>0</v>
      </c>
      <c r="O114" s="200">
        <f t="shared" si="119"/>
        <v>0</v>
      </c>
      <c r="Q114" s="177">
        <f t="shared" si="120"/>
        <v>1.8279951602745523</v>
      </c>
      <c r="R114" s="330">
        <f t="shared" si="49"/>
        <v>1.8279951602745523</v>
      </c>
      <c r="S114" s="201">
        <f t="shared" si="126"/>
        <v>4.7710673683165811E-2</v>
      </c>
      <c r="T114" s="202">
        <f t="shared" si="121"/>
        <v>1.8757058339577182</v>
      </c>
      <c r="V114" s="201">
        <f t="shared" si="122"/>
        <v>65.635705833957715</v>
      </c>
      <c r="W114" s="332">
        <f t="shared" si="50"/>
        <v>0</v>
      </c>
      <c r="X114" s="332">
        <f t="shared" si="45"/>
        <v>0</v>
      </c>
      <c r="Y114" s="204">
        <f t="shared" si="123"/>
        <v>0</v>
      </c>
      <c r="AA114" s="205">
        <f t="shared" si="124"/>
        <v>0</v>
      </c>
      <c r="AB114" s="206">
        <f t="shared" si="125"/>
        <v>2.9418221988044557E-2</v>
      </c>
    </row>
    <row r="115" spans="1:28" ht="12">
      <c r="A115" s="221" t="s">
        <v>249</v>
      </c>
      <c r="B115" s="209"/>
      <c r="C115" s="222">
        <f t="shared" si="55"/>
        <v>0</v>
      </c>
      <c r="D115" s="150">
        <v>4</v>
      </c>
      <c r="E115" s="157">
        <f t="shared" si="56"/>
        <v>0</v>
      </c>
      <c r="F115" s="339">
        <f t="shared" si="57"/>
        <v>0</v>
      </c>
      <c r="G115" s="150">
        <v>52</v>
      </c>
      <c r="I115" s="287">
        <v>63.76</v>
      </c>
      <c r="J115" s="325">
        <f t="shared" si="35"/>
        <v>0</v>
      </c>
      <c r="K115" s="154">
        <f t="shared" si="115"/>
        <v>0</v>
      </c>
      <c r="L115" s="199">
        <f t="shared" si="116"/>
        <v>580</v>
      </c>
      <c r="M115" s="151">
        <f t="shared" si="117"/>
        <v>586.83632753597283</v>
      </c>
      <c r="N115" s="225">
        <f t="shared" si="118"/>
        <v>0</v>
      </c>
      <c r="O115" s="200">
        <f t="shared" si="119"/>
        <v>0</v>
      </c>
      <c r="Q115" s="177">
        <f t="shared" si="120"/>
        <v>1.8279951602745523</v>
      </c>
      <c r="R115" s="330">
        <f t="shared" si="49"/>
        <v>1.8279951602745523</v>
      </c>
      <c r="S115" s="201">
        <f t="shared" si="126"/>
        <v>4.7710673683165811E-2</v>
      </c>
      <c r="T115" s="202">
        <f t="shared" si="121"/>
        <v>1.8757058339577182</v>
      </c>
      <c r="V115" s="201">
        <f t="shared" si="122"/>
        <v>65.635705833957715</v>
      </c>
      <c r="W115" s="332">
        <f t="shared" si="50"/>
        <v>0</v>
      </c>
      <c r="X115" s="332">
        <f t="shared" si="45"/>
        <v>0</v>
      </c>
      <c r="Y115" s="204">
        <f t="shared" si="123"/>
        <v>0</v>
      </c>
      <c r="AA115" s="205">
        <f t="shared" si="124"/>
        <v>0</v>
      </c>
      <c r="AB115" s="206">
        <f t="shared" si="125"/>
        <v>2.9418221988044557E-2</v>
      </c>
    </row>
    <row r="116" spans="1:28" ht="12">
      <c r="A116" s="221" t="s">
        <v>250</v>
      </c>
      <c r="B116" s="209"/>
      <c r="C116" s="222">
        <f t="shared" si="55"/>
        <v>0</v>
      </c>
      <c r="D116" s="150">
        <v>4</v>
      </c>
      <c r="E116" s="157">
        <f t="shared" si="56"/>
        <v>0</v>
      </c>
      <c r="F116" s="339">
        <f t="shared" si="57"/>
        <v>0</v>
      </c>
      <c r="G116" s="150">
        <v>52</v>
      </c>
      <c r="I116" s="287">
        <v>63.76</v>
      </c>
      <c r="J116" s="325">
        <f t="shared" si="35"/>
        <v>0</v>
      </c>
      <c r="K116" s="154">
        <f t="shared" si="115"/>
        <v>0</v>
      </c>
      <c r="L116" s="199">
        <f t="shared" si="116"/>
        <v>580</v>
      </c>
      <c r="M116" s="151">
        <f t="shared" si="117"/>
        <v>586.83632753597283</v>
      </c>
      <c r="N116" s="225">
        <f t="shared" si="118"/>
        <v>0</v>
      </c>
      <c r="O116" s="200">
        <f t="shared" si="119"/>
        <v>0</v>
      </c>
      <c r="Q116" s="177">
        <f t="shared" si="120"/>
        <v>1.8279951602745523</v>
      </c>
      <c r="R116" s="330">
        <f t="shared" si="49"/>
        <v>1.8279951602745523</v>
      </c>
      <c r="S116" s="201">
        <f t="shared" si="126"/>
        <v>4.7710673683165811E-2</v>
      </c>
      <c r="T116" s="202">
        <f t="shared" si="121"/>
        <v>1.8757058339577182</v>
      </c>
      <c r="V116" s="201">
        <f t="shared" si="122"/>
        <v>65.635705833957715</v>
      </c>
      <c r="W116" s="332">
        <f t="shared" si="50"/>
        <v>0</v>
      </c>
      <c r="X116" s="332">
        <f t="shared" si="45"/>
        <v>0</v>
      </c>
      <c r="Y116" s="204">
        <f t="shared" si="123"/>
        <v>0</v>
      </c>
      <c r="AA116" s="205">
        <f t="shared" si="124"/>
        <v>0</v>
      </c>
      <c r="AB116" s="206">
        <f t="shared" si="125"/>
        <v>2.9418221988044557E-2</v>
      </c>
    </row>
    <row r="117" spans="1:28" ht="12">
      <c r="A117" s="300" t="str">
        <f>'Tariff Changes'!A118</f>
        <v>4 Yard Pickup Temp</v>
      </c>
      <c r="B117" s="209"/>
      <c r="C117" s="222">
        <f t="shared" si="55"/>
        <v>0</v>
      </c>
      <c r="D117" s="150">
        <v>4</v>
      </c>
      <c r="E117" s="157">
        <f t="shared" si="56"/>
        <v>0</v>
      </c>
      <c r="F117" s="339">
        <f t="shared" si="57"/>
        <v>0</v>
      </c>
      <c r="G117" s="150">
        <v>52</v>
      </c>
      <c r="I117" s="287">
        <v>69.05</v>
      </c>
      <c r="J117" s="325">
        <f t="shared" si="35"/>
        <v>0</v>
      </c>
      <c r="K117" s="154">
        <f t="shared" si="115"/>
        <v>0</v>
      </c>
      <c r="L117" s="199">
        <f t="shared" si="116"/>
        <v>580</v>
      </c>
      <c r="M117" s="151">
        <f t="shared" si="117"/>
        <v>586.83632753597283</v>
      </c>
      <c r="N117" s="225">
        <f t="shared" si="118"/>
        <v>0</v>
      </c>
      <c r="O117" s="200">
        <f t="shared" si="119"/>
        <v>0</v>
      </c>
      <c r="Q117" s="177">
        <f t="shared" si="120"/>
        <v>1.8279951602745523</v>
      </c>
      <c r="R117" s="330">
        <f t="shared" si="49"/>
        <v>1.8279951602745523</v>
      </c>
      <c r="S117" s="201">
        <f t="shared" si="126"/>
        <v>4.7710673683165811E-2</v>
      </c>
      <c r="T117" s="202">
        <f t="shared" si="121"/>
        <v>1.8757058339577182</v>
      </c>
      <c r="V117" s="201">
        <f t="shared" si="122"/>
        <v>70.925705833957721</v>
      </c>
      <c r="W117" s="332">
        <f t="shared" si="50"/>
        <v>0</v>
      </c>
      <c r="X117" s="332">
        <f t="shared" si="45"/>
        <v>0</v>
      </c>
      <c r="Y117" s="204">
        <f t="shared" si="123"/>
        <v>0</v>
      </c>
      <c r="AA117" s="205">
        <f t="shared" si="124"/>
        <v>0</v>
      </c>
      <c r="AB117" s="206">
        <f t="shared" si="125"/>
        <v>2.7164458131176294E-2</v>
      </c>
    </row>
    <row r="118" spans="1:28" ht="12">
      <c r="A118" s="221" t="s">
        <v>251</v>
      </c>
      <c r="B118" s="209"/>
      <c r="C118" s="222">
        <f t="shared" si="55"/>
        <v>0</v>
      </c>
      <c r="D118" s="150">
        <f>5*3.5</f>
        <v>17.5</v>
      </c>
      <c r="E118" s="157">
        <f t="shared" si="56"/>
        <v>0</v>
      </c>
      <c r="F118" s="339">
        <f t="shared" si="57"/>
        <v>0</v>
      </c>
      <c r="G118" s="150">
        <v>52</v>
      </c>
      <c r="I118" s="287">
        <v>305.36</v>
      </c>
      <c r="J118" s="325">
        <f t="shared" si="35"/>
        <v>0</v>
      </c>
      <c r="K118" s="154">
        <f t="shared" si="115"/>
        <v>0</v>
      </c>
      <c r="L118" s="199">
        <f t="shared" si="116"/>
        <v>2537.5</v>
      </c>
      <c r="M118" s="151">
        <f t="shared" si="117"/>
        <v>2567.4089329698813</v>
      </c>
      <c r="N118" s="225">
        <f t="shared" si="118"/>
        <v>0</v>
      </c>
      <c r="O118" s="200">
        <f t="shared" si="119"/>
        <v>0</v>
      </c>
      <c r="Q118" s="177">
        <f t="shared" si="120"/>
        <v>7.9974788262011671</v>
      </c>
      <c r="R118" s="330">
        <f t="shared" si="49"/>
        <v>7.9974788262011671</v>
      </c>
      <c r="S118" s="201">
        <f t="shared" si="126"/>
        <v>0.20873419736385046</v>
      </c>
      <c r="T118" s="202">
        <f t="shared" si="121"/>
        <v>8.2062130235650184</v>
      </c>
      <c r="V118" s="201">
        <f t="shared" si="122"/>
        <v>313.56621302356501</v>
      </c>
      <c r="W118" s="332">
        <f t="shared" si="50"/>
        <v>0</v>
      </c>
      <c r="X118" s="332">
        <f t="shared" si="45"/>
        <v>0</v>
      </c>
      <c r="Y118" s="204">
        <f t="shared" si="123"/>
        <v>0</v>
      </c>
      <c r="AA118" s="205">
        <f t="shared" si="124"/>
        <v>0</v>
      </c>
      <c r="AB118" s="206">
        <f t="shared" si="125"/>
        <v>2.6873896461766522E-2</v>
      </c>
    </row>
    <row r="119" spans="1:28" ht="12">
      <c r="A119" s="221" t="s">
        <v>312</v>
      </c>
      <c r="B119" s="209"/>
      <c r="C119" s="222">
        <f t="shared" si="55"/>
        <v>0</v>
      </c>
      <c r="D119" s="150">
        <f>5*3.5</f>
        <v>17.5</v>
      </c>
      <c r="E119" s="157">
        <f t="shared" si="56"/>
        <v>0</v>
      </c>
      <c r="F119" s="339">
        <f t="shared" si="57"/>
        <v>0</v>
      </c>
      <c r="G119" s="150">
        <v>52</v>
      </c>
      <c r="I119" s="287">
        <v>305.36</v>
      </c>
      <c r="J119" s="325">
        <f t="shared" si="35"/>
        <v>0</v>
      </c>
      <c r="K119" s="154">
        <f t="shared" si="115"/>
        <v>0</v>
      </c>
      <c r="L119" s="199">
        <f t="shared" si="116"/>
        <v>2537.5</v>
      </c>
      <c r="M119" s="151">
        <f t="shared" si="117"/>
        <v>2567.4089329698813</v>
      </c>
      <c r="N119" s="225">
        <f t="shared" si="118"/>
        <v>0</v>
      </c>
      <c r="O119" s="200">
        <f t="shared" si="119"/>
        <v>0</v>
      </c>
      <c r="Q119" s="177">
        <f t="shared" si="120"/>
        <v>7.9974788262011671</v>
      </c>
      <c r="R119" s="330">
        <f t="shared" si="49"/>
        <v>7.9974788262011671</v>
      </c>
      <c r="S119" s="201">
        <f t="shared" si="126"/>
        <v>0.20873419736385046</v>
      </c>
      <c r="T119" s="202">
        <f t="shared" si="121"/>
        <v>8.2062130235650184</v>
      </c>
      <c r="V119" s="201">
        <f t="shared" si="122"/>
        <v>313.56621302356501</v>
      </c>
      <c r="W119" s="332">
        <f t="shared" si="50"/>
        <v>0</v>
      </c>
      <c r="X119" s="332">
        <f t="shared" si="45"/>
        <v>0</v>
      </c>
      <c r="Y119" s="204">
        <f t="shared" si="123"/>
        <v>0</v>
      </c>
      <c r="AA119" s="205">
        <f t="shared" si="124"/>
        <v>0</v>
      </c>
      <c r="AB119" s="206">
        <f t="shared" si="125"/>
        <v>2.6873896461766522E-2</v>
      </c>
    </row>
    <row r="120" spans="1:28" ht="12">
      <c r="A120" s="221" t="s">
        <v>252</v>
      </c>
      <c r="B120" s="209"/>
      <c r="C120" s="222">
        <f t="shared" si="55"/>
        <v>0</v>
      </c>
      <c r="D120" s="150">
        <f>5*5</f>
        <v>25</v>
      </c>
      <c r="E120" s="157">
        <f t="shared" si="56"/>
        <v>0</v>
      </c>
      <c r="F120" s="339">
        <f t="shared" si="57"/>
        <v>0</v>
      </c>
      <c r="G120" s="150">
        <v>52</v>
      </c>
      <c r="I120" s="287">
        <v>364.42</v>
      </c>
      <c r="J120" s="325">
        <f t="shared" si="35"/>
        <v>0</v>
      </c>
      <c r="K120" s="154">
        <f t="shared" si="115"/>
        <v>0</v>
      </c>
      <c r="L120" s="199">
        <f t="shared" si="116"/>
        <v>3625</v>
      </c>
      <c r="M120" s="151">
        <f t="shared" si="117"/>
        <v>3667.7270470998305</v>
      </c>
      <c r="N120" s="225">
        <f t="shared" si="118"/>
        <v>0</v>
      </c>
      <c r="O120" s="200">
        <f t="shared" si="119"/>
        <v>0</v>
      </c>
      <c r="Q120" s="177">
        <f t="shared" si="120"/>
        <v>11.424969751715954</v>
      </c>
      <c r="R120" s="330">
        <f t="shared" si="49"/>
        <v>11.424969751715954</v>
      </c>
      <c r="S120" s="201">
        <f t="shared" si="126"/>
        <v>0.29819171051978638</v>
      </c>
      <c r="T120" s="202">
        <f t="shared" si="121"/>
        <v>11.723161462235741</v>
      </c>
      <c r="V120" s="201">
        <f t="shared" si="122"/>
        <v>376.14316146223575</v>
      </c>
      <c r="W120" s="332">
        <f t="shared" si="50"/>
        <v>0</v>
      </c>
      <c r="X120" s="332">
        <f t="shared" si="45"/>
        <v>0</v>
      </c>
      <c r="Y120" s="204">
        <f t="shared" si="123"/>
        <v>0</v>
      </c>
      <c r="AA120" s="205">
        <f t="shared" si="124"/>
        <v>0</v>
      </c>
      <c r="AB120" s="206">
        <f t="shared" si="125"/>
        <v>3.216936903088663E-2</v>
      </c>
    </row>
    <row r="121" spans="1:28" ht="12">
      <c r="A121" s="221" t="s">
        <v>318</v>
      </c>
      <c r="B121" s="209"/>
      <c r="C121" s="222">
        <f t="shared" si="55"/>
        <v>0</v>
      </c>
      <c r="D121" s="150">
        <f>5*5</f>
        <v>25</v>
      </c>
      <c r="E121" s="157">
        <f t="shared" si="56"/>
        <v>0</v>
      </c>
      <c r="F121" s="339">
        <f t="shared" si="57"/>
        <v>0</v>
      </c>
      <c r="G121" s="150">
        <v>52</v>
      </c>
      <c r="I121" s="287">
        <v>364.42</v>
      </c>
      <c r="J121" s="325">
        <f t="shared" si="35"/>
        <v>0</v>
      </c>
      <c r="K121" s="154">
        <f t="shared" si="115"/>
        <v>0</v>
      </c>
      <c r="L121" s="199">
        <f t="shared" si="116"/>
        <v>3625</v>
      </c>
      <c r="M121" s="151">
        <f t="shared" si="117"/>
        <v>3667.7270470998305</v>
      </c>
      <c r="N121" s="225">
        <f t="shared" si="118"/>
        <v>0</v>
      </c>
      <c r="O121" s="200">
        <f t="shared" si="119"/>
        <v>0</v>
      </c>
      <c r="Q121" s="177">
        <f t="shared" si="120"/>
        <v>11.424969751715954</v>
      </c>
      <c r="R121" s="330">
        <f t="shared" si="49"/>
        <v>11.424969751715954</v>
      </c>
      <c r="S121" s="201">
        <f t="shared" si="126"/>
        <v>0.29819171051978638</v>
      </c>
      <c r="T121" s="202">
        <f t="shared" si="121"/>
        <v>11.723161462235741</v>
      </c>
      <c r="V121" s="201">
        <f t="shared" si="122"/>
        <v>376.14316146223575</v>
      </c>
      <c r="W121" s="332">
        <f t="shared" si="50"/>
        <v>0</v>
      </c>
      <c r="X121" s="332">
        <f t="shared" si="45"/>
        <v>0</v>
      </c>
      <c r="Y121" s="204">
        <f t="shared" si="123"/>
        <v>0</v>
      </c>
      <c r="AA121" s="205">
        <f t="shared" si="124"/>
        <v>0</v>
      </c>
      <c r="AB121" s="206">
        <f t="shared" si="125"/>
        <v>3.216936903088663E-2</v>
      </c>
    </row>
    <row r="122" spans="1:28" ht="12">
      <c r="A122" s="221" t="s">
        <v>253</v>
      </c>
      <c r="B122" s="209"/>
      <c r="C122" s="222">
        <f t="shared" si="55"/>
        <v>0</v>
      </c>
      <c r="D122" s="150">
        <f>6*3.5</f>
        <v>21</v>
      </c>
      <c r="E122" s="157">
        <f t="shared" si="56"/>
        <v>0</v>
      </c>
      <c r="F122" s="339">
        <f t="shared" si="57"/>
        <v>0</v>
      </c>
      <c r="G122" s="150">
        <v>52</v>
      </c>
      <c r="I122" s="287">
        <v>361.32</v>
      </c>
      <c r="J122" s="325">
        <f t="shared" si="35"/>
        <v>0</v>
      </c>
      <c r="K122" s="154">
        <f t="shared" si="115"/>
        <v>0</v>
      </c>
      <c r="L122" s="199">
        <f t="shared" si="116"/>
        <v>3045</v>
      </c>
      <c r="M122" s="151">
        <f t="shared" si="117"/>
        <v>3080.8907195638576</v>
      </c>
      <c r="N122" s="225">
        <f t="shared" si="118"/>
        <v>0</v>
      </c>
      <c r="O122" s="200">
        <f t="shared" si="119"/>
        <v>0</v>
      </c>
      <c r="Q122" s="177">
        <f t="shared" si="120"/>
        <v>9.5969745914414002</v>
      </c>
      <c r="R122" s="330">
        <f t="shared" si="49"/>
        <v>9.5969745914414002</v>
      </c>
      <c r="S122" s="201">
        <f t="shared" si="126"/>
        <v>0.25048103683662054</v>
      </c>
      <c r="T122" s="202">
        <f t="shared" si="121"/>
        <v>9.8474556282780199</v>
      </c>
      <c r="V122" s="201">
        <f t="shared" si="122"/>
        <v>371.16745562827799</v>
      </c>
      <c r="W122" s="332">
        <f t="shared" si="50"/>
        <v>0</v>
      </c>
      <c r="X122" s="332">
        <f t="shared" si="45"/>
        <v>0</v>
      </c>
      <c r="Y122" s="204">
        <f t="shared" si="123"/>
        <v>0</v>
      </c>
      <c r="AA122" s="205">
        <f t="shared" si="124"/>
        <v>0</v>
      </c>
      <c r="AB122" s="206">
        <f t="shared" si="125"/>
        <v>2.7254111669096748E-2</v>
      </c>
    </row>
    <row r="123" spans="1:28" ht="12">
      <c r="A123" s="221" t="s">
        <v>313</v>
      </c>
      <c r="B123" s="209"/>
      <c r="C123" s="222">
        <f t="shared" si="55"/>
        <v>0</v>
      </c>
      <c r="D123" s="150">
        <f>6*3.5</f>
        <v>21</v>
      </c>
      <c r="E123" s="157">
        <f t="shared" si="56"/>
        <v>0</v>
      </c>
      <c r="F123" s="339">
        <f t="shared" si="57"/>
        <v>0</v>
      </c>
      <c r="G123" s="150">
        <v>52</v>
      </c>
      <c r="I123" s="287">
        <v>361.32</v>
      </c>
      <c r="J123" s="325">
        <f t="shared" si="35"/>
        <v>0</v>
      </c>
      <c r="K123" s="154">
        <f t="shared" si="115"/>
        <v>0</v>
      </c>
      <c r="L123" s="199">
        <f t="shared" si="116"/>
        <v>3045</v>
      </c>
      <c r="M123" s="151">
        <f t="shared" si="117"/>
        <v>3080.8907195638576</v>
      </c>
      <c r="N123" s="225">
        <f t="shared" si="118"/>
        <v>0</v>
      </c>
      <c r="O123" s="200">
        <f t="shared" si="119"/>
        <v>0</v>
      </c>
      <c r="Q123" s="177">
        <f t="shared" si="120"/>
        <v>9.5969745914414002</v>
      </c>
      <c r="R123" s="330">
        <f t="shared" si="49"/>
        <v>9.5969745914414002</v>
      </c>
      <c r="S123" s="201">
        <f t="shared" si="126"/>
        <v>0.25048103683662054</v>
      </c>
      <c r="T123" s="202">
        <f t="shared" si="121"/>
        <v>9.8474556282780199</v>
      </c>
      <c r="V123" s="201">
        <f t="shared" si="122"/>
        <v>371.16745562827799</v>
      </c>
      <c r="W123" s="332">
        <f t="shared" si="50"/>
        <v>0</v>
      </c>
      <c r="X123" s="332">
        <f t="shared" si="45"/>
        <v>0</v>
      </c>
      <c r="Y123" s="204">
        <f t="shared" si="123"/>
        <v>0</v>
      </c>
      <c r="AA123" s="205">
        <f t="shared" si="124"/>
        <v>0</v>
      </c>
      <c r="AB123" s="206">
        <f t="shared" si="125"/>
        <v>2.7254111669096748E-2</v>
      </c>
    </row>
    <row r="124" spans="1:28" ht="12">
      <c r="A124" s="221" t="s">
        <v>254</v>
      </c>
      <c r="B124" s="209"/>
      <c r="C124" s="222">
        <f t="shared" si="55"/>
        <v>0</v>
      </c>
      <c r="D124" s="150">
        <f>6*5</f>
        <v>30</v>
      </c>
      <c r="E124" s="157">
        <f t="shared" si="56"/>
        <v>0</v>
      </c>
      <c r="F124" s="339">
        <f t="shared" si="57"/>
        <v>0</v>
      </c>
      <c r="G124" s="150">
        <v>52</v>
      </c>
      <c r="I124" s="287">
        <v>416.75</v>
      </c>
      <c r="J124" s="325">
        <f t="shared" si="35"/>
        <v>0</v>
      </c>
      <c r="K124" s="154">
        <f t="shared" si="115"/>
        <v>0</v>
      </c>
      <c r="L124" s="199">
        <f t="shared" si="116"/>
        <v>4350</v>
      </c>
      <c r="M124" s="151">
        <f t="shared" si="117"/>
        <v>4401.2724565197968</v>
      </c>
      <c r="N124" s="225">
        <f t="shared" si="118"/>
        <v>0</v>
      </c>
      <c r="O124" s="200">
        <f t="shared" si="119"/>
        <v>0</v>
      </c>
      <c r="Q124" s="177">
        <f t="shared" si="120"/>
        <v>13.709963702059145</v>
      </c>
      <c r="R124" s="330">
        <f t="shared" si="49"/>
        <v>13.709963702059145</v>
      </c>
      <c r="S124" s="201">
        <f t="shared" si="126"/>
        <v>0.35783005262374368</v>
      </c>
      <c r="T124" s="202">
        <f t="shared" si="121"/>
        <v>14.067793754682889</v>
      </c>
      <c r="V124" s="201">
        <f t="shared" si="122"/>
        <v>430.8177937546829</v>
      </c>
      <c r="W124" s="332">
        <f t="shared" si="50"/>
        <v>0</v>
      </c>
      <c r="X124" s="332">
        <f t="shared" si="45"/>
        <v>0</v>
      </c>
      <c r="Y124" s="204">
        <f t="shared" si="123"/>
        <v>0</v>
      </c>
      <c r="AA124" s="205">
        <f t="shared" si="124"/>
        <v>0</v>
      </c>
      <c r="AB124" s="206">
        <f t="shared" si="125"/>
        <v>3.3755953820474804E-2</v>
      </c>
    </row>
    <row r="125" spans="1:28" ht="12">
      <c r="A125" s="221" t="s">
        <v>319</v>
      </c>
      <c r="B125" s="209"/>
      <c r="C125" s="222">
        <f t="shared" si="55"/>
        <v>0</v>
      </c>
      <c r="D125" s="150">
        <f>6*5</f>
        <v>30</v>
      </c>
      <c r="E125" s="157">
        <f t="shared" si="56"/>
        <v>0</v>
      </c>
      <c r="F125" s="339">
        <f t="shared" si="57"/>
        <v>0</v>
      </c>
      <c r="G125" s="150">
        <v>52</v>
      </c>
      <c r="I125" s="287">
        <v>416.75</v>
      </c>
      <c r="J125" s="325">
        <f t="shared" si="35"/>
        <v>0</v>
      </c>
      <c r="K125" s="154">
        <f t="shared" si="115"/>
        <v>0</v>
      </c>
      <c r="L125" s="199">
        <f t="shared" si="116"/>
        <v>4350</v>
      </c>
      <c r="M125" s="151">
        <f t="shared" si="117"/>
        <v>4401.2724565197968</v>
      </c>
      <c r="N125" s="225">
        <f t="shared" si="118"/>
        <v>0</v>
      </c>
      <c r="O125" s="200">
        <f t="shared" si="119"/>
        <v>0</v>
      </c>
      <c r="Q125" s="177">
        <f t="shared" si="120"/>
        <v>13.709963702059145</v>
      </c>
      <c r="R125" s="330">
        <f t="shared" si="49"/>
        <v>13.709963702059145</v>
      </c>
      <c r="S125" s="201">
        <f t="shared" si="126"/>
        <v>0.35783005262374368</v>
      </c>
      <c r="T125" s="202">
        <f t="shared" si="121"/>
        <v>14.067793754682889</v>
      </c>
      <c r="V125" s="201">
        <f t="shared" si="122"/>
        <v>430.8177937546829</v>
      </c>
      <c r="W125" s="332">
        <f t="shared" si="50"/>
        <v>0</v>
      </c>
      <c r="X125" s="332">
        <f t="shared" si="45"/>
        <v>0</v>
      </c>
      <c r="Y125" s="204">
        <f t="shared" si="123"/>
        <v>0</v>
      </c>
      <c r="AA125" s="205">
        <f t="shared" si="124"/>
        <v>0</v>
      </c>
      <c r="AB125" s="206">
        <f t="shared" si="125"/>
        <v>3.3755953820474804E-2</v>
      </c>
    </row>
    <row r="126" spans="1:28" ht="12">
      <c r="A126" s="221" t="s">
        <v>124</v>
      </c>
      <c r="B126" s="209"/>
      <c r="C126" s="222">
        <f t="shared" si="55"/>
        <v>0</v>
      </c>
      <c r="D126" s="150">
        <v>6</v>
      </c>
      <c r="E126" s="157">
        <f t="shared" si="56"/>
        <v>0</v>
      </c>
      <c r="F126" s="339">
        <f t="shared" si="57"/>
        <v>0</v>
      </c>
      <c r="G126" s="150">
        <v>52</v>
      </c>
      <c r="I126" s="287">
        <v>100.32</v>
      </c>
      <c r="J126" s="325">
        <f t="shared" ref="J126:J151" si="127">+E126*I126</f>
        <v>0</v>
      </c>
      <c r="K126" s="154">
        <f t="shared" si="115"/>
        <v>0</v>
      </c>
      <c r="L126" s="199">
        <f t="shared" si="116"/>
        <v>870</v>
      </c>
      <c r="M126" s="151">
        <f t="shared" si="117"/>
        <v>880.2544913039593</v>
      </c>
      <c r="N126" s="225">
        <f t="shared" si="118"/>
        <v>0</v>
      </c>
      <c r="O126" s="200">
        <f t="shared" si="119"/>
        <v>0</v>
      </c>
      <c r="Q126" s="177">
        <f t="shared" si="120"/>
        <v>2.7419927404118289</v>
      </c>
      <c r="R126" s="330">
        <f t="shared" si="49"/>
        <v>2.7419927404118289</v>
      </c>
      <c r="S126" s="201">
        <f t="shared" ref="S126:S141" si="128">Q126*$U$12</f>
        <v>7.156601052474873E-2</v>
      </c>
      <c r="T126" s="202">
        <f t="shared" si="121"/>
        <v>2.8135587509365778</v>
      </c>
      <c r="V126" s="201">
        <f t="shared" si="122"/>
        <v>103.13355875093657</v>
      </c>
      <c r="W126" s="332">
        <f t="shared" si="50"/>
        <v>0</v>
      </c>
      <c r="X126" s="332">
        <f t="shared" ref="X126:X141" si="129">W126-J126</f>
        <v>0</v>
      </c>
      <c r="Y126" s="204">
        <f t="shared" si="123"/>
        <v>0</v>
      </c>
      <c r="AA126" s="205">
        <f t="shared" si="124"/>
        <v>0</v>
      </c>
      <c r="AB126" s="206">
        <f t="shared" si="125"/>
        <v>2.8045840818745837E-2</v>
      </c>
    </row>
    <row r="127" spans="1:28" ht="12">
      <c r="A127" s="221" t="s">
        <v>125</v>
      </c>
      <c r="B127" s="209">
        <v>30</v>
      </c>
      <c r="C127" s="222">
        <f>E127/12</f>
        <v>91</v>
      </c>
      <c r="D127" s="150">
        <v>6</v>
      </c>
      <c r="E127" s="157">
        <v>1092</v>
      </c>
      <c r="F127" s="339">
        <f t="shared" si="57"/>
        <v>30</v>
      </c>
      <c r="G127" s="150">
        <v>52</v>
      </c>
      <c r="I127" s="287">
        <v>92.38</v>
      </c>
      <c r="J127" s="325">
        <f t="shared" si="127"/>
        <v>100878.95999999999</v>
      </c>
      <c r="K127" s="154">
        <f t="shared" si="115"/>
        <v>1210547.52</v>
      </c>
      <c r="L127" s="199">
        <f t="shared" si="116"/>
        <v>870</v>
      </c>
      <c r="M127" s="151">
        <f t="shared" si="117"/>
        <v>880.2544913039593</v>
      </c>
      <c r="N127" s="225">
        <f t="shared" si="118"/>
        <v>475.02</v>
      </c>
      <c r="O127" s="200">
        <f t="shared" si="119"/>
        <v>480.61895225196173</v>
      </c>
      <c r="Q127" s="177">
        <f t="shared" si="120"/>
        <v>2.7419927404118289</v>
      </c>
      <c r="R127" s="330">
        <f t="shared" ref="R127:R141" si="130">Q127</f>
        <v>2.7419927404118289</v>
      </c>
      <c r="S127" s="201">
        <f t="shared" si="128"/>
        <v>7.156601052474873E-2</v>
      </c>
      <c r="T127" s="202">
        <f t="shared" si="121"/>
        <v>2.8135587509365778</v>
      </c>
      <c r="V127" s="201">
        <f t="shared" si="122"/>
        <v>95.193558750936575</v>
      </c>
      <c r="W127" s="332">
        <f t="shared" ref="W127:W141" si="131">E127*V127</f>
        <v>103951.36615602273</v>
      </c>
      <c r="X127" s="332">
        <f t="shared" si="129"/>
        <v>3072.4061560227419</v>
      </c>
      <c r="Y127" s="204">
        <f t="shared" si="123"/>
        <v>36868.873872272903</v>
      </c>
      <c r="AA127" s="205">
        <f t="shared" si="124"/>
        <v>2994.2560725297167</v>
      </c>
      <c r="AB127" s="206">
        <f t="shared" si="125"/>
        <v>3.0456362317997199E-2</v>
      </c>
    </row>
    <row r="128" spans="1:28" ht="12">
      <c r="A128" s="221" t="s">
        <v>126</v>
      </c>
      <c r="B128" s="209"/>
      <c r="C128" s="222">
        <f t="shared" si="55"/>
        <v>0</v>
      </c>
      <c r="D128" s="150">
        <v>6</v>
      </c>
      <c r="E128" s="157">
        <f t="shared" si="56"/>
        <v>0</v>
      </c>
      <c r="F128" s="339">
        <f t="shared" si="57"/>
        <v>0</v>
      </c>
      <c r="G128" s="150">
        <v>52</v>
      </c>
      <c r="I128" s="287">
        <v>92.38</v>
      </c>
      <c r="J128" s="325">
        <f t="shared" si="127"/>
        <v>0</v>
      </c>
      <c r="K128" s="154">
        <f t="shared" si="115"/>
        <v>0</v>
      </c>
      <c r="L128" s="199">
        <f t="shared" si="116"/>
        <v>870</v>
      </c>
      <c r="M128" s="151">
        <f t="shared" si="117"/>
        <v>880.2544913039593</v>
      </c>
      <c r="N128" s="225">
        <f t="shared" si="118"/>
        <v>0</v>
      </c>
      <c r="O128" s="200">
        <f t="shared" si="119"/>
        <v>0</v>
      </c>
      <c r="Q128" s="177">
        <f t="shared" si="120"/>
        <v>2.7419927404118289</v>
      </c>
      <c r="R128" s="330">
        <f t="shared" si="130"/>
        <v>2.7419927404118289</v>
      </c>
      <c r="S128" s="201">
        <f t="shared" si="128"/>
        <v>7.156601052474873E-2</v>
      </c>
      <c r="T128" s="202">
        <f t="shared" si="121"/>
        <v>2.8135587509365778</v>
      </c>
      <c r="V128" s="201">
        <f t="shared" si="122"/>
        <v>95.193558750936575</v>
      </c>
      <c r="W128" s="332">
        <f t="shared" si="131"/>
        <v>0</v>
      </c>
      <c r="X128" s="332">
        <f t="shared" si="129"/>
        <v>0</v>
      </c>
      <c r="Y128" s="204">
        <f t="shared" si="123"/>
        <v>0</v>
      </c>
      <c r="AA128" s="205">
        <f t="shared" si="124"/>
        <v>0</v>
      </c>
      <c r="AB128" s="206">
        <f t="shared" si="125"/>
        <v>3.0456362317997199E-2</v>
      </c>
    </row>
    <row r="129" spans="1:28" ht="12">
      <c r="A129" s="221" t="s">
        <v>255</v>
      </c>
      <c r="B129" s="209"/>
      <c r="C129" s="222">
        <f t="shared" si="55"/>
        <v>0</v>
      </c>
      <c r="D129" s="150">
        <v>6</v>
      </c>
      <c r="E129" s="157">
        <f t="shared" si="56"/>
        <v>0</v>
      </c>
      <c r="F129" s="339">
        <f t="shared" ref="F129:F151" si="132">B129</f>
        <v>0</v>
      </c>
      <c r="G129" s="150">
        <v>52</v>
      </c>
      <c r="I129" s="287">
        <v>92.38</v>
      </c>
      <c r="J129" s="325">
        <f t="shared" si="127"/>
        <v>0</v>
      </c>
      <c r="K129" s="154">
        <f t="shared" si="115"/>
        <v>0</v>
      </c>
      <c r="L129" s="199">
        <f t="shared" si="116"/>
        <v>870</v>
      </c>
      <c r="M129" s="151">
        <f t="shared" si="117"/>
        <v>880.2544913039593</v>
      </c>
      <c r="N129" s="225">
        <f t="shared" si="118"/>
        <v>0</v>
      </c>
      <c r="O129" s="200">
        <f t="shared" si="119"/>
        <v>0</v>
      </c>
      <c r="Q129" s="177">
        <f t="shared" si="120"/>
        <v>2.7419927404118289</v>
      </c>
      <c r="R129" s="330">
        <f t="shared" si="130"/>
        <v>2.7419927404118289</v>
      </c>
      <c r="S129" s="201">
        <f t="shared" si="128"/>
        <v>7.156601052474873E-2</v>
      </c>
      <c r="T129" s="202">
        <f t="shared" si="121"/>
        <v>2.8135587509365778</v>
      </c>
      <c r="V129" s="201">
        <f t="shared" si="122"/>
        <v>95.193558750936575</v>
      </c>
      <c r="W129" s="332">
        <f t="shared" si="131"/>
        <v>0</v>
      </c>
      <c r="X129" s="332">
        <f t="shared" si="129"/>
        <v>0</v>
      </c>
      <c r="Y129" s="204">
        <f t="shared" si="123"/>
        <v>0</v>
      </c>
      <c r="AA129" s="205">
        <f t="shared" si="124"/>
        <v>0</v>
      </c>
      <c r="AB129" s="206">
        <f t="shared" si="125"/>
        <v>3.0456362317997199E-2</v>
      </c>
    </row>
    <row r="130" spans="1:28" ht="12">
      <c r="A130" s="221" t="s">
        <v>256</v>
      </c>
      <c r="B130" s="209"/>
      <c r="C130" s="222">
        <f t="shared" si="55"/>
        <v>0</v>
      </c>
      <c r="D130" s="150">
        <v>6</v>
      </c>
      <c r="E130" s="157">
        <f t="shared" si="56"/>
        <v>0</v>
      </c>
      <c r="F130" s="339">
        <f t="shared" si="132"/>
        <v>0</v>
      </c>
      <c r="G130" s="150">
        <v>52</v>
      </c>
      <c r="I130" s="287">
        <v>92.38</v>
      </c>
      <c r="J130" s="325">
        <f t="shared" si="127"/>
        <v>0</v>
      </c>
      <c r="K130" s="154">
        <f t="shared" si="115"/>
        <v>0</v>
      </c>
      <c r="L130" s="199">
        <f t="shared" si="116"/>
        <v>870</v>
      </c>
      <c r="M130" s="151">
        <f t="shared" si="117"/>
        <v>880.2544913039593</v>
      </c>
      <c r="N130" s="225">
        <f t="shared" si="118"/>
        <v>0</v>
      </c>
      <c r="O130" s="200">
        <f t="shared" si="119"/>
        <v>0</v>
      </c>
      <c r="Q130" s="177">
        <f t="shared" si="120"/>
        <v>2.7419927404118289</v>
      </c>
      <c r="R130" s="330">
        <f t="shared" si="130"/>
        <v>2.7419927404118289</v>
      </c>
      <c r="S130" s="201">
        <f t="shared" si="128"/>
        <v>7.156601052474873E-2</v>
      </c>
      <c r="T130" s="202">
        <f t="shared" si="121"/>
        <v>2.8135587509365778</v>
      </c>
      <c r="V130" s="201">
        <f t="shared" si="122"/>
        <v>95.193558750936575</v>
      </c>
      <c r="W130" s="332">
        <f t="shared" si="131"/>
        <v>0</v>
      </c>
      <c r="X130" s="332">
        <f t="shared" si="129"/>
        <v>0</v>
      </c>
      <c r="Y130" s="204">
        <f t="shared" si="123"/>
        <v>0</v>
      </c>
      <c r="AA130" s="205">
        <f t="shared" si="124"/>
        <v>0</v>
      </c>
      <c r="AB130" s="206">
        <f t="shared" si="125"/>
        <v>3.0456362317997199E-2</v>
      </c>
    </row>
    <row r="131" spans="1:28" ht="12">
      <c r="A131" s="300" t="str">
        <f>'Tariff Changes'!A119</f>
        <v>6 Yard Pickup Temp</v>
      </c>
      <c r="B131" s="209"/>
      <c r="C131" s="222">
        <f t="shared" si="55"/>
        <v>0</v>
      </c>
      <c r="D131" s="150">
        <v>6</v>
      </c>
      <c r="E131" s="157">
        <f t="shared" si="56"/>
        <v>0</v>
      </c>
      <c r="F131" s="339">
        <f t="shared" si="132"/>
        <v>0</v>
      </c>
      <c r="G131" s="150">
        <v>52</v>
      </c>
      <c r="I131" s="287">
        <v>100.32</v>
      </c>
      <c r="J131" s="325">
        <f t="shared" si="127"/>
        <v>0</v>
      </c>
      <c r="K131" s="154">
        <f t="shared" si="115"/>
        <v>0</v>
      </c>
      <c r="L131" s="199">
        <f t="shared" si="116"/>
        <v>870</v>
      </c>
      <c r="M131" s="151">
        <f t="shared" si="117"/>
        <v>880.2544913039593</v>
      </c>
      <c r="N131" s="225">
        <f t="shared" si="118"/>
        <v>0</v>
      </c>
      <c r="O131" s="200">
        <f t="shared" si="119"/>
        <v>0</v>
      </c>
      <c r="Q131" s="177">
        <f t="shared" si="120"/>
        <v>2.7419927404118289</v>
      </c>
      <c r="R131" s="330">
        <f t="shared" si="130"/>
        <v>2.7419927404118289</v>
      </c>
      <c r="S131" s="201">
        <f t="shared" si="128"/>
        <v>7.156601052474873E-2</v>
      </c>
      <c r="T131" s="202">
        <f t="shared" si="121"/>
        <v>2.8135587509365778</v>
      </c>
      <c r="V131" s="201">
        <f t="shared" si="122"/>
        <v>103.13355875093657</v>
      </c>
      <c r="W131" s="332">
        <f t="shared" si="131"/>
        <v>0</v>
      </c>
      <c r="X131" s="332">
        <f t="shared" si="129"/>
        <v>0</v>
      </c>
      <c r="Y131" s="204">
        <f t="shared" si="123"/>
        <v>0</v>
      </c>
      <c r="AA131" s="205">
        <f t="shared" si="124"/>
        <v>0</v>
      </c>
      <c r="AB131" s="206">
        <f t="shared" si="125"/>
        <v>2.8045840818745837E-2</v>
      </c>
    </row>
    <row r="132" spans="1:28" ht="12">
      <c r="A132" s="221" t="s">
        <v>127</v>
      </c>
      <c r="B132" s="209"/>
      <c r="C132" s="222">
        <f t="shared" si="55"/>
        <v>0</v>
      </c>
      <c r="D132" s="150">
        <v>8</v>
      </c>
      <c r="E132" s="157">
        <f t="shared" si="56"/>
        <v>0</v>
      </c>
      <c r="F132" s="339">
        <f t="shared" si="132"/>
        <v>0</v>
      </c>
      <c r="G132" s="150">
        <v>52</v>
      </c>
      <c r="I132" s="287">
        <v>135.26</v>
      </c>
      <c r="J132" s="325">
        <f t="shared" si="127"/>
        <v>0</v>
      </c>
      <c r="K132" s="154">
        <f t="shared" si="115"/>
        <v>0</v>
      </c>
      <c r="L132" s="199">
        <f t="shared" si="116"/>
        <v>1160</v>
      </c>
      <c r="M132" s="151">
        <f t="shared" si="117"/>
        <v>1173.6726550719457</v>
      </c>
      <c r="N132" s="225">
        <f t="shared" si="118"/>
        <v>0</v>
      </c>
      <c r="O132" s="200">
        <f t="shared" si="119"/>
        <v>0</v>
      </c>
      <c r="Q132" s="177">
        <f t="shared" si="120"/>
        <v>3.6559903205491047</v>
      </c>
      <c r="R132" s="330">
        <f t="shared" si="130"/>
        <v>3.6559903205491047</v>
      </c>
      <c r="S132" s="201">
        <f t="shared" si="128"/>
        <v>9.5421347366331621E-2</v>
      </c>
      <c r="T132" s="202">
        <f t="shared" si="121"/>
        <v>3.7514116679154363</v>
      </c>
      <c r="V132" s="201">
        <f t="shared" si="122"/>
        <v>139.01141166791544</v>
      </c>
      <c r="W132" s="332">
        <f t="shared" si="131"/>
        <v>0</v>
      </c>
      <c r="X132" s="332">
        <f t="shared" si="129"/>
        <v>0</v>
      </c>
      <c r="Y132" s="204">
        <f t="shared" si="123"/>
        <v>0</v>
      </c>
      <c r="AA132" s="205">
        <f t="shared" si="124"/>
        <v>0</v>
      </c>
      <c r="AB132" s="206">
        <f t="shared" si="125"/>
        <v>2.773481936947686E-2</v>
      </c>
    </row>
    <row r="133" spans="1:28" ht="12">
      <c r="A133" s="221" t="s">
        <v>128</v>
      </c>
      <c r="B133" s="209">
        <v>30</v>
      </c>
      <c r="C133" s="222">
        <f>E133/12</f>
        <v>69.333333333333329</v>
      </c>
      <c r="D133" s="150">
        <v>8</v>
      </c>
      <c r="E133" s="157">
        <v>832</v>
      </c>
      <c r="F133" s="339">
        <f t="shared" si="132"/>
        <v>30</v>
      </c>
      <c r="G133" s="150">
        <v>52</v>
      </c>
      <c r="I133" s="287">
        <v>124.27</v>
      </c>
      <c r="J133" s="325">
        <f t="shared" si="127"/>
        <v>103392.64</v>
      </c>
      <c r="K133" s="154">
        <f t="shared" si="115"/>
        <v>1240711.6799999999</v>
      </c>
      <c r="L133" s="199">
        <f t="shared" si="116"/>
        <v>1160</v>
      </c>
      <c r="M133" s="151">
        <f t="shared" si="117"/>
        <v>1173.6726550719457</v>
      </c>
      <c r="N133" s="225">
        <f t="shared" si="118"/>
        <v>482.56</v>
      </c>
      <c r="O133" s="200">
        <f t="shared" si="119"/>
        <v>488.24782450992944</v>
      </c>
      <c r="Q133" s="177">
        <f t="shared" si="120"/>
        <v>3.6559903205491047</v>
      </c>
      <c r="R133" s="330">
        <f t="shared" si="130"/>
        <v>3.6559903205491047</v>
      </c>
      <c r="S133" s="201">
        <f t="shared" si="128"/>
        <v>9.5421347366331621E-2</v>
      </c>
      <c r="T133" s="202">
        <f t="shared" si="121"/>
        <v>3.7514116679154363</v>
      </c>
      <c r="V133" s="201">
        <f t="shared" si="122"/>
        <v>128.02141166791543</v>
      </c>
      <c r="W133" s="332">
        <f t="shared" si="131"/>
        <v>106513.81450770564</v>
      </c>
      <c r="X133" s="332">
        <f t="shared" si="129"/>
        <v>3121.1745077056403</v>
      </c>
      <c r="Y133" s="204">
        <f t="shared" si="123"/>
        <v>37454.094092467683</v>
      </c>
      <c r="AA133" s="205">
        <f t="shared" si="124"/>
        <v>3041.7839466968553</v>
      </c>
      <c r="AB133" s="206">
        <f t="shared" si="125"/>
        <v>3.0187588862279124E-2</v>
      </c>
    </row>
    <row r="134" spans="1:28" ht="12">
      <c r="A134" s="221" t="s">
        <v>129</v>
      </c>
      <c r="B134" s="209"/>
      <c r="C134" s="222">
        <f t="shared" ref="C134:C151" si="133">B134*4.3333</f>
        <v>0</v>
      </c>
      <c r="D134" s="150">
        <v>8</v>
      </c>
      <c r="E134" s="157">
        <f t="shared" ref="E134:E151" si="134">C134*D134</f>
        <v>0</v>
      </c>
      <c r="F134" s="339">
        <f t="shared" si="132"/>
        <v>0</v>
      </c>
      <c r="G134" s="150">
        <v>52</v>
      </c>
      <c r="I134" s="287">
        <v>124.27</v>
      </c>
      <c r="J134" s="325">
        <f t="shared" si="127"/>
        <v>0</v>
      </c>
      <c r="K134" s="154">
        <f t="shared" si="115"/>
        <v>0</v>
      </c>
      <c r="L134" s="199">
        <f t="shared" si="116"/>
        <v>1160</v>
      </c>
      <c r="M134" s="151">
        <f t="shared" si="117"/>
        <v>1173.6726550719457</v>
      </c>
      <c r="N134" s="225">
        <f t="shared" si="118"/>
        <v>0</v>
      </c>
      <c r="O134" s="200">
        <f t="shared" si="119"/>
        <v>0</v>
      </c>
      <c r="Q134" s="177">
        <f t="shared" si="120"/>
        <v>3.6559903205491047</v>
      </c>
      <c r="R134" s="330">
        <f t="shared" si="130"/>
        <v>3.6559903205491047</v>
      </c>
      <c r="S134" s="201">
        <f t="shared" si="128"/>
        <v>9.5421347366331621E-2</v>
      </c>
      <c r="T134" s="202">
        <f t="shared" si="121"/>
        <v>3.7514116679154363</v>
      </c>
      <c r="V134" s="201">
        <f t="shared" si="122"/>
        <v>128.02141166791543</v>
      </c>
      <c r="W134" s="332">
        <f t="shared" si="131"/>
        <v>0</v>
      </c>
      <c r="X134" s="332">
        <f t="shared" si="129"/>
        <v>0</v>
      </c>
      <c r="Y134" s="204">
        <f t="shared" si="123"/>
        <v>0</v>
      </c>
      <c r="AA134" s="205">
        <f t="shared" si="124"/>
        <v>0</v>
      </c>
      <c r="AB134" s="206">
        <f t="shared" si="125"/>
        <v>3.0187588862279124E-2</v>
      </c>
    </row>
    <row r="135" spans="1:28" ht="12">
      <c r="A135" s="221" t="s">
        <v>257</v>
      </c>
      <c r="B135" s="209"/>
      <c r="C135" s="222">
        <f t="shared" si="133"/>
        <v>0</v>
      </c>
      <c r="D135" s="150">
        <v>8</v>
      </c>
      <c r="E135" s="157">
        <f t="shared" si="134"/>
        <v>0</v>
      </c>
      <c r="F135" s="339">
        <f t="shared" si="132"/>
        <v>0</v>
      </c>
      <c r="G135" s="150">
        <v>52</v>
      </c>
      <c r="I135" s="287">
        <v>124.27</v>
      </c>
      <c r="J135" s="325">
        <f t="shared" si="127"/>
        <v>0</v>
      </c>
      <c r="K135" s="154">
        <f t="shared" si="115"/>
        <v>0</v>
      </c>
      <c r="L135" s="199">
        <f t="shared" si="116"/>
        <v>1160</v>
      </c>
      <c r="M135" s="151">
        <f t="shared" si="117"/>
        <v>1173.6726550719457</v>
      </c>
      <c r="N135" s="225">
        <f t="shared" si="118"/>
        <v>0</v>
      </c>
      <c r="O135" s="200">
        <f t="shared" si="119"/>
        <v>0</v>
      </c>
      <c r="Q135" s="177">
        <f t="shared" si="120"/>
        <v>3.6559903205491047</v>
      </c>
      <c r="R135" s="330">
        <f t="shared" si="130"/>
        <v>3.6559903205491047</v>
      </c>
      <c r="S135" s="201">
        <f t="shared" si="128"/>
        <v>9.5421347366331621E-2</v>
      </c>
      <c r="T135" s="202">
        <f t="shared" si="121"/>
        <v>3.7514116679154363</v>
      </c>
      <c r="V135" s="201">
        <f t="shared" si="122"/>
        <v>128.02141166791543</v>
      </c>
      <c r="W135" s="332">
        <f t="shared" si="131"/>
        <v>0</v>
      </c>
      <c r="X135" s="332">
        <f t="shared" si="129"/>
        <v>0</v>
      </c>
      <c r="Y135" s="204">
        <f t="shared" si="123"/>
        <v>0</v>
      </c>
      <c r="AA135" s="205">
        <f t="shared" si="124"/>
        <v>0</v>
      </c>
      <c r="AB135" s="206">
        <f t="shared" si="125"/>
        <v>3.0187588862279124E-2</v>
      </c>
    </row>
    <row r="136" spans="1:28" ht="12">
      <c r="A136" s="221" t="s">
        <v>258</v>
      </c>
      <c r="B136" s="209"/>
      <c r="C136" s="222">
        <f t="shared" si="133"/>
        <v>0</v>
      </c>
      <c r="D136" s="150">
        <v>8</v>
      </c>
      <c r="E136" s="157">
        <f t="shared" si="134"/>
        <v>0</v>
      </c>
      <c r="F136" s="339">
        <f t="shared" si="132"/>
        <v>0</v>
      </c>
      <c r="G136" s="150">
        <v>52</v>
      </c>
      <c r="I136" s="287">
        <v>124.27</v>
      </c>
      <c r="J136" s="325">
        <f t="shared" si="127"/>
        <v>0</v>
      </c>
      <c r="K136" s="154">
        <f t="shared" si="115"/>
        <v>0</v>
      </c>
      <c r="L136" s="199">
        <f t="shared" si="116"/>
        <v>1160</v>
      </c>
      <c r="M136" s="151">
        <f t="shared" si="117"/>
        <v>1173.6726550719457</v>
      </c>
      <c r="N136" s="225">
        <f t="shared" si="118"/>
        <v>0</v>
      </c>
      <c r="O136" s="200">
        <f t="shared" si="119"/>
        <v>0</v>
      </c>
      <c r="Q136" s="177">
        <f t="shared" si="120"/>
        <v>3.6559903205491047</v>
      </c>
      <c r="R136" s="330">
        <f t="shared" si="130"/>
        <v>3.6559903205491047</v>
      </c>
      <c r="S136" s="201">
        <f t="shared" si="128"/>
        <v>9.5421347366331621E-2</v>
      </c>
      <c r="T136" s="202">
        <f t="shared" si="121"/>
        <v>3.7514116679154363</v>
      </c>
      <c r="V136" s="201">
        <f t="shared" si="122"/>
        <v>128.02141166791543</v>
      </c>
      <c r="W136" s="332">
        <f t="shared" si="131"/>
        <v>0</v>
      </c>
      <c r="X136" s="332">
        <f t="shared" si="129"/>
        <v>0</v>
      </c>
      <c r="Y136" s="204">
        <f t="shared" si="123"/>
        <v>0</v>
      </c>
      <c r="AA136" s="205">
        <f t="shared" si="124"/>
        <v>0</v>
      </c>
      <c r="AB136" s="206">
        <f t="shared" si="125"/>
        <v>3.0187588862279124E-2</v>
      </c>
    </row>
    <row r="137" spans="1:28" ht="12">
      <c r="A137" s="221" t="s">
        <v>259</v>
      </c>
      <c r="B137" s="209"/>
      <c r="C137" s="222">
        <f t="shared" si="133"/>
        <v>0</v>
      </c>
      <c r="D137" s="150">
        <v>8</v>
      </c>
      <c r="E137" s="157">
        <f t="shared" si="134"/>
        <v>0</v>
      </c>
      <c r="F137" s="339">
        <f t="shared" si="132"/>
        <v>0</v>
      </c>
      <c r="G137" s="150">
        <v>52</v>
      </c>
      <c r="I137" s="287">
        <v>124.27</v>
      </c>
      <c r="J137" s="325">
        <f t="shared" si="127"/>
        <v>0</v>
      </c>
      <c r="K137" s="154">
        <f t="shared" si="115"/>
        <v>0</v>
      </c>
      <c r="L137" s="199">
        <f t="shared" si="116"/>
        <v>1160</v>
      </c>
      <c r="M137" s="151">
        <f t="shared" si="117"/>
        <v>1173.6726550719457</v>
      </c>
      <c r="N137" s="225">
        <f t="shared" si="118"/>
        <v>0</v>
      </c>
      <c r="O137" s="200">
        <f t="shared" si="119"/>
        <v>0</v>
      </c>
      <c r="Q137" s="177">
        <f t="shared" si="120"/>
        <v>3.6559903205491047</v>
      </c>
      <c r="R137" s="330">
        <f t="shared" si="130"/>
        <v>3.6559903205491047</v>
      </c>
      <c r="S137" s="201">
        <f t="shared" si="128"/>
        <v>9.5421347366331621E-2</v>
      </c>
      <c r="T137" s="202">
        <f t="shared" si="121"/>
        <v>3.7514116679154363</v>
      </c>
      <c r="V137" s="201">
        <f t="shared" si="122"/>
        <v>128.02141166791543</v>
      </c>
      <c r="W137" s="332">
        <f t="shared" si="131"/>
        <v>0</v>
      </c>
      <c r="X137" s="332">
        <f t="shared" si="129"/>
        <v>0</v>
      </c>
      <c r="Y137" s="204">
        <f t="shared" si="123"/>
        <v>0</v>
      </c>
      <c r="AA137" s="205">
        <f t="shared" si="124"/>
        <v>0</v>
      </c>
      <c r="AB137" s="206">
        <f t="shared" si="125"/>
        <v>3.0187588862279124E-2</v>
      </c>
    </row>
    <row r="138" spans="1:28" ht="12">
      <c r="A138" s="300" t="str">
        <f>'Tariff Changes'!A120</f>
        <v>8 Yard Pickup Temp</v>
      </c>
      <c r="B138" s="209">
        <v>30</v>
      </c>
      <c r="C138" s="222">
        <f>E138/12</f>
        <v>2</v>
      </c>
      <c r="D138" s="150">
        <v>8</v>
      </c>
      <c r="E138" s="157">
        <v>24</v>
      </c>
      <c r="F138" s="339">
        <f t="shared" si="132"/>
        <v>30</v>
      </c>
      <c r="G138" s="150">
        <v>52</v>
      </c>
      <c r="I138" s="287">
        <v>135.26</v>
      </c>
      <c r="J138" s="325">
        <f t="shared" si="127"/>
        <v>3246.24</v>
      </c>
      <c r="K138" s="154">
        <f t="shared" si="115"/>
        <v>38954.879999999997</v>
      </c>
      <c r="L138" s="199">
        <f t="shared" si="116"/>
        <v>1160</v>
      </c>
      <c r="M138" s="151">
        <f t="shared" si="117"/>
        <v>1173.6726550719457</v>
      </c>
      <c r="N138" s="225">
        <f t="shared" si="118"/>
        <v>13.92</v>
      </c>
      <c r="O138" s="200">
        <f t="shared" si="119"/>
        <v>14.084071860863348</v>
      </c>
      <c r="Q138" s="177">
        <f t="shared" si="120"/>
        <v>3.6559903205491047</v>
      </c>
      <c r="R138" s="330">
        <f t="shared" si="130"/>
        <v>3.6559903205491047</v>
      </c>
      <c r="S138" s="201">
        <f t="shared" si="128"/>
        <v>9.5421347366331621E-2</v>
      </c>
      <c r="T138" s="202">
        <f t="shared" si="121"/>
        <v>3.7514116679154363</v>
      </c>
      <c r="V138" s="201">
        <f t="shared" si="122"/>
        <v>139.01141166791544</v>
      </c>
      <c r="W138" s="332">
        <f t="shared" si="131"/>
        <v>3336.2738800299703</v>
      </c>
      <c r="X138" s="332">
        <f t="shared" si="129"/>
        <v>90.033880029970533</v>
      </c>
      <c r="Y138" s="204">
        <f t="shared" si="123"/>
        <v>1080.4065603596464</v>
      </c>
      <c r="AA138" s="205">
        <f t="shared" si="124"/>
        <v>87.743767693178512</v>
      </c>
      <c r="AB138" s="206">
        <f t="shared" si="125"/>
        <v>2.773481936947686E-2</v>
      </c>
    </row>
    <row r="139" spans="1:28" ht="12">
      <c r="A139" s="148" t="s">
        <v>32</v>
      </c>
      <c r="B139" s="227"/>
      <c r="C139" s="222">
        <f t="shared" si="133"/>
        <v>0</v>
      </c>
      <c r="D139" s="150">
        <v>1</v>
      </c>
      <c r="E139" s="157">
        <f t="shared" si="134"/>
        <v>0</v>
      </c>
      <c r="F139" s="339">
        <f t="shared" si="132"/>
        <v>0</v>
      </c>
      <c r="G139" s="150">
        <v>12</v>
      </c>
      <c r="I139" s="287">
        <v>14.58</v>
      </c>
      <c r="J139" s="325">
        <f t="shared" si="127"/>
        <v>0</v>
      </c>
      <c r="K139" s="154">
        <f t="shared" si="115"/>
        <v>0</v>
      </c>
      <c r="L139" s="199">
        <f t="shared" si="116"/>
        <v>145</v>
      </c>
      <c r="M139" s="151">
        <f t="shared" si="117"/>
        <v>146.70908188399321</v>
      </c>
      <c r="N139" s="225">
        <f t="shared" si="118"/>
        <v>0</v>
      </c>
      <c r="O139" s="200">
        <f t="shared" si="119"/>
        <v>0</v>
      </c>
      <c r="Q139" s="177">
        <f t="shared" si="120"/>
        <v>0.45699879006863808</v>
      </c>
      <c r="R139" s="330">
        <f t="shared" si="130"/>
        <v>0.45699879006863808</v>
      </c>
      <c r="S139" s="201">
        <f t="shared" si="128"/>
        <v>1.1927668420791453E-2</v>
      </c>
      <c r="T139" s="202">
        <f t="shared" si="121"/>
        <v>0.46892645848942954</v>
      </c>
      <c r="V139" s="201">
        <f t="shared" si="122"/>
        <v>15.048926458489429</v>
      </c>
      <c r="W139" s="332">
        <f t="shared" si="131"/>
        <v>0</v>
      </c>
      <c r="X139" s="332">
        <f t="shared" si="129"/>
        <v>0</v>
      </c>
      <c r="Y139" s="204">
        <f t="shared" si="123"/>
        <v>0</v>
      </c>
      <c r="AA139" s="205">
        <f t="shared" si="124"/>
        <v>0</v>
      </c>
      <c r="AB139" s="206">
        <f t="shared" si="125"/>
        <v>3.2162308538369544E-2</v>
      </c>
    </row>
    <row r="140" spans="1:28" ht="12">
      <c r="A140" s="148" t="str">
        <f>'Tariff Changes'!A97</f>
        <v>Bulky</v>
      </c>
      <c r="B140" s="227"/>
      <c r="C140" s="222">
        <f t="shared" si="133"/>
        <v>0</v>
      </c>
      <c r="D140" s="150">
        <v>1</v>
      </c>
      <c r="E140" s="157">
        <f t="shared" si="134"/>
        <v>0</v>
      </c>
      <c r="F140" s="339">
        <f t="shared" si="132"/>
        <v>0</v>
      </c>
      <c r="G140" s="150">
        <v>12</v>
      </c>
      <c r="I140" s="287">
        <v>14.88</v>
      </c>
      <c r="J140" s="325">
        <f t="shared" si="127"/>
        <v>0</v>
      </c>
      <c r="K140" s="154">
        <f t="shared" ref="K140:K141" si="135">J140*12</f>
        <v>0</v>
      </c>
      <c r="L140" s="199">
        <f>+D140*L$16</f>
        <v>145</v>
      </c>
      <c r="M140" s="151">
        <f t="shared" ref="M140:M141" si="136">L140*$O$5</f>
        <v>146.70908188399321</v>
      </c>
      <c r="N140" s="225">
        <f t="shared" ref="N140:N141" si="137">ROUND((C140*L140*12)/2000,2)</f>
        <v>0</v>
      </c>
      <c r="O140" s="200">
        <f t="shared" ref="O140:O141" si="138">$O$5*N140</f>
        <v>0</v>
      </c>
      <c r="Q140" s="177">
        <f t="shared" ref="Q140:Q141" si="139">M140*$R$12</f>
        <v>0.45699879006863808</v>
      </c>
      <c r="R140" s="330">
        <f t="shared" si="130"/>
        <v>0.45699879006863808</v>
      </c>
      <c r="S140" s="201">
        <f t="shared" si="128"/>
        <v>1.1927668420791453E-2</v>
      </c>
      <c r="T140" s="202">
        <f t="shared" ref="T140:T141" si="140">+Q140+S140</f>
        <v>0.46892645848942954</v>
      </c>
      <c r="V140" s="201">
        <f t="shared" ref="V140:V141" si="141">I140+T140</f>
        <v>15.34892645848943</v>
      </c>
      <c r="W140" s="332">
        <f t="shared" si="131"/>
        <v>0</v>
      </c>
      <c r="X140" s="332">
        <f t="shared" si="129"/>
        <v>0</v>
      </c>
      <c r="Y140" s="204">
        <f t="shared" ref="Y140:Y141" si="142">X140*12</f>
        <v>0</v>
      </c>
      <c r="AA140" s="205">
        <f t="shared" ref="AA140:AA141" si="143">O140*$R$11</f>
        <v>0</v>
      </c>
      <c r="AB140" s="206">
        <f t="shared" ref="AB140:AB141" si="144">IF(I140=0,"",V140/I140-1)</f>
        <v>3.1513874898483119E-2</v>
      </c>
    </row>
    <row r="141" spans="1:28" ht="12">
      <c r="A141" s="148" t="str">
        <f>'Tariff Changes'!A98</f>
        <v>Loose Material</v>
      </c>
      <c r="B141" s="227"/>
      <c r="C141" s="222">
        <f t="shared" si="133"/>
        <v>0</v>
      </c>
      <c r="D141" s="150">
        <v>1</v>
      </c>
      <c r="E141" s="157">
        <f t="shared" si="134"/>
        <v>0</v>
      </c>
      <c r="F141" s="339">
        <f t="shared" si="132"/>
        <v>0</v>
      </c>
      <c r="G141" s="150">
        <v>12</v>
      </c>
      <c r="I141" s="287">
        <v>14.88</v>
      </c>
      <c r="J141" s="325">
        <f t="shared" si="127"/>
        <v>0</v>
      </c>
      <c r="K141" s="154">
        <f t="shared" si="135"/>
        <v>0</v>
      </c>
      <c r="L141" s="199">
        <f t="shared" ref="L141" si="145">+D141*L$16</f>
        <v>145</v>
      </c>
      <c r="M141" s="151">
        <f t="shared" si="136"/>
        <v>146.70908188399321</v>
      </c>
      <c r="N141" s="225">
        <f t="shared" si="137"/>
        <v>0</v>
      </c>
      <c r="O141" s="200">
        <f t="shared" si="138"/>
        <v>0</v>
      </c>
      <c r="Q141" s="177">
        <f t="shared" si="139"/>
        <v>0.45699879006863808</v>
      </c>
      <c r="R141" s="330">
        <f t="shared" si="130"/>
        <v>0.45699879006863808</v>
      </c>
      <c r="S141" s="201">
        <f t="shared" si="128"/>
        <v>1.1927668420791453E-2</v>
      </c>
      <c r="T141" s="202">
        <f t="shared" si="140"/>
        <v>0.46892645848942954</v>
      </c>
      <c r="V141" s="201">
        <f t="shared" si="141"/>
        <v>15.34892645848943</v>
      </c>
      <c r="W141" s="332">
        <f t="shared" si="131"/>
        <v>0</v>
      </c>
      <c r="X141" s="332">
        <f t="shared" si="129"/>
        <v>0</v>
      </c>
      <c r="Y141" s="204">
        <f t="shared" si="142"/>
        <v>0</v>
      </c>
      <c r="AA141" s="205">
        <f t="shared" si="143"/>
        <v>0</v>
      </c>
      <c r="AB141" s="206">
        <f t="shared" si="144"/>
        <v>3.1513874898483119E-2</v>
      </c>
    </row>
    <row r="142" spans="1:28" ht="12">
      <c r="A142" s="221" t="s">
        <v>260</v>
      </c>
      <c r="B142" s="209"/>
      <c r="C142" s="222">
        <f t="shared" si="133"/>
        <v>0</v>
      </c>
      <c r="E142" s="157">
        <f t="shared" si="134"/>
        <v>0</v>
      </c>
      <c r="F142" s="339">
        <f t="shared" si="132"/>
        <v>0</v>
      </c>
      <c r="G142" s="150">
        <v>12</v>
      </c>
      <c r="I142" s="224"/>
      <c r="J142" s="325">
        <f t="shared" si="127"/>
        <v>0</v>
      </c>
      <c r="K142" s="154">
        <f>J142*12</f>
        <v>0</v>
      </c>
      <c r="L142" s="199">
        <f>+D142*L$16</f>
        <v>0</v>
      </c>
      <c r="M142" s="151">
        <f>L142*$O$5</f>
        <v>0</v>
      </c>
      <c r="N142" s="225">
        <f>ROUND((C142*L142*12)/2000,2)</f>
        <v>0</v>
      </c>
      <c r="O142" s="200">
        <f>$O$5*N142</f>
        <v>0</v>
      </c>
      <c r="V142" s="201"/>
      <c r="W142" s="203"/>
      <c r="X142" s="203"/>
      <c r="Y142" s="204"/>
      <c r="AA142" s="205"/>
    </row>
    <row r="143" spans="1:28" ht="12">
      <c r="A143" s="221" t="s">
        <v>261</v>
      </c>
      <c r="B143" s="209"/>
      <c r="C143" s="222">
        <f t="shared" si="133"/>
        <v>0</v>
      </c>
      <c r="E143" s="157">
        <f t="shared" si="134"/>
        <v>0</v>
      </c>
      <c r="F143" s="339">
        <f t="shared" si="132"/>
        <v>0</v>
      </c>
      <c r="G143" s="150">
        <v>12</v>
      </c>
      <c r="I143" s="224"/>
      <c r="J143" s="325">
        <f t="shared" si="127"/>
        <v>0</v>
      </c>
      <c r="K143" s="154">
        <f t="shared" si="82"/>
        <v>0</v>
      </c>
      <c r="L143" s="199">
        <f t="shared" si="51"/>
        <v>0</v>
      </c>
      <c r="M143" s="151">
        <f t="shared" si="83"/>
        <v>0</v>
      </c>
      <c r="N143" s="225">
        <f t="shared" si="52"/>
        <v>0</v>
      </c>
      <c r="O143" s="200">
        <f t="shared" si="84"/>
        <v>0</v>
      </c>
      <c r="AA143" s="169"/>
    </row>
    <row r="144" spans="1:28" ht="12">
      <c r="A144" s="221" t="s">
        <v>262</v>
      </c>
      <c r="B144" s="209"/>
      <c r="C144" s="222">
        <f t="shared" si="133"/>
        <v>0</v>
      </c>
      <c r="E144" s="157">
        <f t="shared" si="134"/>
        <v>0</v>
      </c>
      <c r="F144" s="339">
        <f t="shared" si="132"/>
        <v>0</v>
      </c>
      <c r="G144" s="150">
        <v>12</v>
      </c>
      <c r="I144" s="224"/>
      <c r="J144" s="325">
        <f t="shared" si="127"/>
        <v>0</v>
      </c>
      <c r="K144" s="154">
        <f t="shared" si="82"/>
        <v>0</v>
      </c>
      <c r="L144" s="199">
        <f t="shared" si="51"/>
        <v>0</v>
      </c>
      <c r="M144" s="151">
        <f t="shared" si="83"/>
        <v>0</v>
      </c>
      <c r="N144" s="225">
        <f t="shared" si="52"/>
        <v>0</v>
      </c>
      <c r="O144" s="200">
        <f t="shared" si="84"/>
        <v>0</v>
      </c>
      <c r="AA144" s="169"/>
    </row>
    <row r="145" spans="1:28" ht="12">
      <c r="A145" s="221" t="s">
        <v>263</v>
      </c>
      <c r="B145" s="209"/>
      <c r="C145" s="222">
        <f t="shared" si="133"/>
        <v>0</v>
      </c>
      <c r="E145" s="157">
        <f t="shared" si="134"/>
        <v>0</v>
      </c>
      <c r="F145" s="339">
        <f t="shared" si="132"/>
        <v>0</v>
      </c>
      <c r="G145" s="150">
        <v>12</v>
      </c>
      <c r="I145" s="224"/>
      <c r="J145" s="325">
        <f t="shared" si="127"/>
        <v>0</v>
      </c>
      <c r="K145" s="154">
        <f t="shared" si="82"/>
        <v>0</v>
      </c>
      <c r="L145" s="199">
        <f t="shared" si="51"/>
        <v>0</v>
      </c>
      <c r="M145" s="151">
        <f t="shared" si="83"/>
        <v>0</v>
      </c>
      <c r="N145" s="225">
        <f t="shared" si="52"/>
        <v>0</v>
      </c>
      <c r="O145" s="200">
        <f t="shared" si="84"/>
        <v>0</v>
      </c>
      <c r="AA145" s="169"/>
    </row>
    <row r="146" spans="1:28" ht="12">
      <c r="A146" s="221" t="s">
        <v>264</v>
      </c>
      <c r="B146" s="209"/>
      <c r="C146" s="222">
        <f t="shared" si="133"/>
        <v>0</v>
      </c>
      <c r="E146" s="157">
        <f t="shared" si="134"/>
        <v>0</v>
      </c>
      <c r="F146" s="339">
        <f t="shared" si="132"/>
        <v>0</v>
      </c>
      <c r="G146" s="150">
        <v>12</v>
      </c>
      <c r="I146" s="224"/>
      <c r="J146" s="325">
        <f t="shared" si="127"/>
        <v>0</v>
      </c>
      <c r="K146" s="154">
        <f t="shared" si="82"/>
        <v>0</v>
      </c>
      <c r="L146" s="199">
        <f t="shared" si="51"/>
        <v>0</v>
      </c>
      <c r="M146" s="151">
        <f t="shared" si="83"/>
        <v>0</v>
      </c>
      <c r="N146" s="225">
        <f t="shared" si="52"/>
        <v>0</v>
      </c>
      <c r="O146" s="200">
        <f t="shared" si="84"/>
        <v>0</v>
      </c>
      <c r="AA146" s="169"/>
    </row>
    <row r="147" spans="1:28" ht="12">
      <c r="A147" s="221" t="s">
        <v>265</v>
      </c>
      <c r="B147" s="209"/>
      <c r="C147" s="222">
        <f t="shared" si="133"/>
        <v>0</v>
      </c>
      <c r="E147" s="157">
        <f t="shared" si="134"/>
        <v>0</v>
      </c>
      <c r="F147" s="339">
        <f t="shared" si="132"/>
        <v>0</v>
      </c>
      <c r="G147" s="150">
        <v>12</v>
      </c>
      <c r="I147" s="224"/>
      <c r="J147" s="325">
        <f t="shared" si="127"/>
        <v>0</v>
      </c>
      <c r="K147" s="154">
        <f t="shared" si="82"/>
        <v>0</v>
      </c>
      <c r="L147" s="199">
        <f t="shared" si="51"/>
        <v>0</v>
      </c>
      <c r="M147" s="151">
        <f t="shared" si="83"/>
        <v>0</v>
      </c>
      <c r="N147" s="225">
        <f t="shared" si="52"/>
        <v>0</v>
      </c>
      <c r="O147" s="200">
        <f t="shared" si="84"/>
        <v>0</v>
      </c>
      <c r="AA147" s="169"/>
    </row>
    <row r="148" spans="1:28" ht="12">
      <c r="A148" s="221" t="s">
        <v>266</v>
      </c>
      <c r="B148" s="209"/>
      <c r="C148" s="222">
        <f t="shared" si="133"/>
        <v>0</v>
      </c>
      <c r="E148" s="157">
        <f t="shared" si="134"/>
        <v>0</v>
      </c>
      <c r="F148" s="339">
        <f t="shared" si="132"/>
        <v>0</v>
      </c>
      <c r="G148" s="150">
        <v>12</v>
      </c>
      <c r="I148" s="224"/>
      <c r="J148" s="325">
        <f t="shared" si="127"/>
        <v>0</v>
      </c>
      <c r="K148" s="154">
        <f t="shared" si="82"/>
        <v>0</v>
      </c>
      <c r="L148" s="199">
        <f t="shared" si="51"/>
        <v>0</v>
      </c>
      <c r="M148" s="151">
        <f t="shared" si="83"/>
        <v>0</v>
      </c>
      <c r="N148" s="225">
        <f t="shared" si="52"/>
        <v>0</v>
      </c>
      <c r="O148" s="200">
        <f t="shared" si="84"/>
        <v>0</v>
      </c>
      <c r="AA148" s="169"/>
    </row>
    <row r="149" spans="1:28" ht="12">
      <c r="A149" s="221" t="s">
        <v>267</v>
      </c>
      <c r="B149" s="209"/>
      <c r="C149" s="222">
        <f t="shared" si="133"/>
        <v>0</v>
      </c>
      <c r="E149" s="157">
        <f t="shared" si="134"/>
        <v>0</v>
      </c>
      <c r="F149" s="339">
        <f t="shared" si="132"/>
        <v>0</v>
      </c>
      <c r="G149" s="150">
        <v>12</v>
      </c>
      <c r="I149" s="224"/>
      <c r="J149" s="325">
        <f t="shared" si="127"/>
        <v>0</v>
      </c>
      <c r="K149" s="154">
        <f t="shared" si="82"/>
        <v>0</v>
      </c>
      <c r="L149" s="199">
        <f t="shared" si="51"/>
        <v>0</v>
      </c>
      <c r="M149" s="151">
        <f t="shared" si="83"/>
        <v>0</v>
      </c>
      <c r="N149" s="225">
        <f t="shared" si="52"/>
        <v>0</v>
      </c>
      <c r="O149" s="200">
        <f t="shared" si="84"/>
        <v>0</v>
      </c>
      <c r="AA149" s="169"/>
    </row>
    <row r="150" spans="1:28" ht="12">
      <c r="A150" s="221" t="s">
        <v>268</v>
      </c>
      <c r="B150" s="209"/>
      <c r="C150" s="222">
        <f t="shared" si="133"/>
        <v>0</v>
      </c>
      <c r="E150" s="157">
        <f t="shared" si="134"/>
        <v>0</v>
      </c>
      <c r="F150" s="339">
        <f t="shared" si="132"/>
        <v>0</v>
      </c>
      <c r="G150" s="150">
        <v>12</v>
      </c>
      <c r="I150" s="224"/>
      <c r="J150" s="325">
        <f t="shared" si="127"/>
        <v>0</v>
      </c>
      <c r="K150" s="154">
        <f t="shared" si="82"/>
        <v>0</v>
      </c>
      <c r="L150" s="199">
        <f t="shared" si="51"/>
        <v>0</v>
      </c>
      <c r="M150" s="151">
        <f t="shared" si="83"/>
        <v>0</v>
      </c>
      <c r="N150" s="225">
        <f t="shared" si="52"/>
        <v>0</v>
      </c>
      <c r="O150" s="200">
        <f t="shared" si="84"/>
        <v>0</v>
      </c>
      <c r="AA150" s="169"/>
    </row>
    <row r="151" spans="1:28" ht="12">
      <c r="A151" s="221" t="s">
        <v>269</v>
      </c>
      <c r="B151" s="209"/>
      <c r="C151" s="222">
        <f t="shared" si="133"/>
        <v>0</v>
      </c>
      <c r="E151" s="157">
        <f t="shared" si="134"/>
        <v>0</v>
      </c>
      <c r="F151" s="339">
        <f t="shared" si="132"/>
        <v>0</v>
      </c>
      <c r="G151" s="150">
        <v>12</v>
      </c>
      <c r="I151" s="224"/>
      <c r="J151" s="325">
        <f t="shared" si="127"/>
        <v>0</v>
      </c>
      <c r="K151" s="154">
        <f t="shared" si="82"/>
        <v>0</v>
      </c>
      <c r="L151" s="199">
        <f t="shared" si="51"/>
        <v>0</v>
      </c>
      <c r="M151" s="151">
        <f t="shared" si="83"/>
        <v>0</v>
      </c>
      <c r="N151" s="225">
        <f t="shared" si="52"/>
        <v>0</v>
      </c>
      <c r="O151" s="200">
        <f t="shared" si="84"/>
        <v>0</v>
      </c>
      <c r="AA151" s="169"/>
    </row>
    <row r="153" spans="1:28">
      <c r="A153" s="228"/>
      <c r="B153" s="209"/>
      <c r="C153" s="229"/>
      <c r="F153" s="209"/>
      <c r="I153" s="230"/>
      <c r="J153" s="154"/>
      <c r="K153" s="154"/>
      <c r="L153" s="231"/>
      <c r="N153" s="154"/>
      <c r="O153" s="200"/>
      <c r="AA153" s="169"/>
    </row>
    <row r="154" spans="1:28">
      <c r="A154" s="232" t="s">
        <v>270</v>
      </c>
      <c r="B154" s="209"/>
      <c r="C154" s="229"/>
      <c r="E154" s="158">
        <f>SUM(E64:E153)</f>
        <v>5613</v>
      </c>
      <c r="F154" s="209"/>
      <c r="I154" s="210"/>
      <c r="J154" s="154">
        <f>SUM(J64:J151)</f>
        <v>329532.87</v>
      </c>
      <c r="K154" s="154">
        <f>SUM(K64:K151)</f>
        <v>3954394.4399999995</v>
      </c>
      <c r="L154" s="154"/>
      <c r="M154" s="154"/>
      <c r="N154" s="154">
        <f>SUM(N64:N151)</f>
        <v>1503.57</v>
      </c>
      <c r="O154" s="154">
        <f>SUM(O64:O151)</f>
        <v>1521.2922361952803</v>
      </c>
      <c r="W154" s="203">
        <f>SUM(W64:W153)</f>
        <v>339257.83078308555</v>
      </c>
      <c r="X154" s="203">
        <f>SUM(X64:X153)</f>
        <v>9724.9607830855821</v>
      </c>
      <c r="Y154" s="203">
        <f>SUM(Y64:Y153)</f>
        <v>116699.52939702698</v>
      </c>
      <c r="AA154" s="212">
        <f>SUM(AA64:AA153)</f>
        <v>9477.6506314965827</v>
      </c>
    </row>
    <row r="155" spans="1:28">
      <c r="A155" s="232"/>
      <c r="B155" s="209"/>
      <c r="C155" s="229"/>
      <c r="F155" s="209"/>
      <c r="I155" s="210"/>
      <c r="J155" s="154"/>
      <c r="K155" s="154"/>
      <c r="L155" s="231"/>
      <c r="N155" s="154"/>
      <c r="O155" s="200"/>
      <c r="AA155" s="233">
        <f>Y154/AA154-1</f>
        <v>11.313128425435467</v>
      </c>
    </row>
    <row r="156" spans="1:28">
      <c r="A156" s="234" t="s">
        <v>271</v>
      </c>
      <c r="B156" s="209"/>
      <c r="C156" s="229"/>
      <c r="F156" s="209"/>
      <c r="I156" s="210"/>
      <c r="J156" s="154"/>
      <c r="K156" s="154"/>
      <c r="L156" s="231"/>
      <c r="N156" s="154"/>
      <c r="O156" s="200"/>
      <c r="AA156" s="169"/>
    </row>
    <row r="157" spans="1:28">
      <c r="A157" s="235"/>
      <c r="B157" s="209"/>
      <c r="C157" s="229"/>
      <c r="F157" s="209"/>
      <c r="I157" s="210"/>
      <c r="J157" s="154"/>
      <c r="K157" s="154"/>
      <c r="L157" s="231"/>
      <c r="N157" s="154"/>
      <c r="O157" s="200"/>
      <c r="AA157" s="169"/>
    </row>
    <row r="158" spans="1:28" ht="12">
      <c r="A158" s="221" t="s">
        <v>272</v>
      </c>
      <c r="B158" s="209"/>
      <c r="C158" s="222">
        <f>B158*4.3333</f>
        <v>0</v>
      </c>
      <c r="D158" s="150">
        <v>0.1</v>
      </c>
      <c r="E158" s="157">
        <f t="shared" ref="E158:E245" si="146">C158*D158</f>
        <v>0</v>
      </c>
      <c r="F158" s="209">
        <f>B158</f>
        <v>0</v>
      </c>
      <c r="G158" s="150">
        <v>52</v>
      </c>
      <c r="I158" s="287">
        <v>3.25</v>
      </c>
      <c r="J158" s="154">
        <f t="shared" ref="J158" si="147">+C158*I158</f>
        <v>0</v>
      </c>
      <c r="K158" s="154">
        <f t="shared" ref="K158" si="148">J158*12</f>
        <v>0</v>
      </c>
      <c r="L158" s="199">
        <f t="shared" ref="L158" si="149">+D158*L$16</f>
        <v>14.5</v>
      </c>
      <c r="M158" s="151">
        <f>L158*$O$5</f>
        <v>14.670908188399322</v>
      </c>
      <c r="N158" s="225">
        <f t="shared" ref="N158" si="150">ROUND((C158*L158*12)/2000,2)</f>
        <v>0</v>
      </c>
      <c r="O158" s="329">
        <f t="shared" ref="O158:O221" si="151">$O$5*N158</f>
        <v>0</v>
      </c>
      <c r="Q158" s="177">
        <f t="shared" ref="Q158" si="152">M158*$R$12</f>
        <v>4.5699879006863814E-2</v>
      </c>
      <c r="R158" s="201"/>
      <c r="S158" s="201">
        <f t="shared" ref="S158:S189" si="153">Q158*$U$12</f>
        <v>1.1927668420791454E-3</v>
      </c>
      <c r="T158" s="202">
        <f>+Q158+S158</f>
        <v>4.6892645848942961E-2</v>
      </c>
      <c r="V158" s="201">
        <f>I158+T158</f>
        <v>3.2968926458489429</v>
      </c>
      <c r="W158" s="203">
        <f>C158*V158</f>
        <v>0</v>
      </c>
      <c r="X158" s="203">
        <f>W158-J158</f>
        <v>0</v>
      </c>
      <c r="Y158" s="204">
        <f t="shared" ref="Y158" si="154">X158*12</f>
        <v>0</v>
      </c>
      <c r="AA158" s="205">
        <f>O158*$R$11</f>
        <v>0</v>
      </c>
      <c r="AB158" s="206">
        <f t="shared" ref="AB158" si="155">IF(I158=0,"",V158/I158-1)</f>
        <v>1.4428506415059328E-2</v>
      </c>
    </row>
    <row r="159" spans="1:28" ht="12">
      <c r="A159" s="239" t="str">
        <f>'Tariff Changes'!$A$50</f>
        <v>20 Gallon Special</v>
      </c>
      <c r="B159" s="209"/>
      <c r="C159" s="222">
        <f t="shared" ref="C159:C231" si="156">B159*4.3333</f>
        <v>0</v>
      </c>
      <c r="D159" s="150">
        <v>0.1</v>
      </c>
      <c r="E159" s="157">
        <f t="shared" si="146"/>
        <v>0</v>
      </c>
      <c r="F159" s="209"/>
      <c r="G159" s="150">
        <v>52</v>
      </c>
      <c r="I159" s="287">
        <v>5.46</v>
      </c>
      <c r="J159" s="154">
        <f t="shared" ref="J159:J231" si="157">+C159*I159</f>
        <v>0</v>
      </c>
      <c r="K159" s="154">
        <f t="shared" ref="K159:K231" si="158">J159*12</f>
        <v>0</v>
      </c>
      <c r="L159" s="199">
        <f t="shared" ref="L159:L231" si="159">+D159*L$16</f>
        <v>14.5</v>
      </c>
      <c r="M159" s="151">
        <f t="shared" ref="M159:M231" si="160">L159*$O$5</f>
        <v>14.670908188399322</v>
      </c>
      <c r="N159" s="225">
        <f t="shared" ref="N159:N231" si="161">ROUND((C159*L159*12)/2000,2)</f>
        <v>0</v>
      </c>
      <c r="O159" s="329">
        <f t="shared" si="151"/>
        <v>0</v>
      </c>
      <c r="Q159" s="177">
        <f t="shared" ref="Q159:Q231" si="162">M159*$R$12</f>
        <v>4.5699879006863814E-2</v>
      </c>
      <c r="R159" s="201"/>
      <c r="S159" s="201">
        <f t="shared" si="153"/>
        <v>1.1927668420791454E-3</v>
      </c>
      <c r="T159" s="202">
        <f t="shared" ref="T159:T231" si="163">+Q159+S159</f>
        <v>4.6892645848942961E-2</v>
      </c>
      <c r="V159" s="201">
        <f t="shared" ref="V159:V231" si="164">I159+T159</f>
        <v>5.5068926458489429</v>
      </c>
      <c r="W159" s="203">
        <f t="shared" ref="W159:W231" si="165">C159*V159</f>
        <v>0</v>
      </c>
      <c r="X159" s="203">
        <f t="shared" ref="X159:X231" si="166">W159-J159</f>
        <v>0</v>
      </c>
      <c r="Y159" s="204">
        <f t="shared" ref="Y159:Y231" si="167">X159*12</f>
        <v>0</v>
      </c>
      <c r="AA159" s="205">
        <f t="shared" ref="AA159:AA231" si="168">O159*$R$11</f>
        <v>0</v>
      </c>
      <c r="AB159" s="206">
        <f t="shared" ref="AB159:AB231" si="169">IF(I159=0,"",V159/I159-1)</f>
        <v>8.5883966756306052E-3</v>
      </c>
    </row>
    <row r="160" spans="1:28" ht="12">
      <c r="A160" s="221" t="s">
        <v>130</v>
      </c>
      <c r="B160" s="209"/>
      <c r="C160" s="222">
        <f t="shared" si="156"/>
        <v>0</v>
      </c>
      <c r="D160" s="150">
        <v>0.158</v>
      </c>
      <c r="E160" s="157">
        <f t="shared" si="146"/>
        <v>0</v>
      </c>
      <c r="F160" s="209">
        <f>B160</f>
        <v>0</v>
      </c>
      <c r="G160" s="150">
        <v>52</v>
      </c>
      <c r="I160" s="287">
        <v>4.9800000000000004</v>
      </c>
      <c r="J160" s="154">
        <f t="shared" si="157"/>
        <v>0</v>
      </c>
      <c r="K160" s="154">
        <f t="shared" si="158"/>
        <v>0</v>
      </c>
      <c r="L160" s="199">
        <f t="shared" si="159"/>
        <v>22.91</v>
      </c>
      <c r="M160" s="151">
        <f t="shared" si="160"/>
        <v>23.180034937670928</v>
      </c>
      <c r="N160" s="225">
        <f t="shared" si="161"/>
        <v>0</v>
      </c>
      <c r="O160" s="329">
        <f t="shared" si="151"/>
        <v>0</v>
      </c>
      <c r="Q160" s="177">
        <f t="shared" si="162"/>
        <v>7.220580883084482E-2</v>
      </c>
      <c r="R160" s="201"/>
      <c r="S160" s="201">
        <f t="shared" si="153"/>
        <v>1.8845716104850497E-3</v>
      </c>
      <c r="T160" s="202">
        <f t="shared" si="163"/>
        <v>7.4090380441329873E-2</v>
      </c>
      <c r="V160" s="201">
        <f t="shared" si="164"/>
        <v>5.0540903804413304</v>
      </c>
      <c r="W160" s="203">
        <f t="shared" si="165"/>
        <v>0</v>
      </c>
      <c r="X160" s="203">
        <f t="shared" si="166"/>
        <v>0</v>
      </c>
      <c r="Y160" s="204">
        <f t="shared" si="167"/>
        <v>0</v>
      </c>
      <c r="AA160" s="205">
        <f t="shared" si="168"/>
        <v>0</v>
      </c>
      <c r="AB160" s="206">
        <f t="shared" si="169"/>
        <v>1.4877586434002055E-2</v>
      </c>
    </row>
    <row r="161" spans="1:28" ht="12">
      <c r="A161" s="239" t="str">
        <f>'Tariff Changes'!$A$51</f>
        <v>32 Gallon Special</v>
      </c>
      <c r="B161" s="209"/>
      <c r="C161" s="222">
        <f t="shared" si="156"/>
        <v>0</v>
      </c>
      <c r="D161" s="150">
        <v>0.158</v>
      </c>
      <c r="E161" s="157">
        <f t="shared" si="146"/>
        <v>0</v>
      </c>
      <c r="F161" s="209"/>
      <c r="G161" s="150">
        <v>52</v>
      </c>
      <c r="I161" s="287">
        <v>5.51</v>
      </c>
      <c r="J161" s="154">
        <f t="shared" si="157"/>
        <v>0</v>
      </c>
      <c r="K161" s="154">
        <f t="shared" si="158"/>
        <v>0</v>
      </c>
      <c r="L161" s="199">
        <f t="shared" si="159"/>
        <v>22.91</v>
      </c>
      <c r="M161" s="151">
        <f t="shared" si="160"/>
        <v>23.180034937670928</v>
      </c>
      <c r="N161" s="225">
        <f t="shared" si="161"/>
        <v>0</v>
      </c>
      <c r="O161" s="329">
        <f t="shared" si="151"/>
        <v>0</v>
      </c>
      <c r="Q161" s="177">
        <f t="shared" si="162"/>
        <v>7.220580883084482E-2</v>
      </c>
      <c r="R161" s="201"/>
      <c r="S161" s="201">
        <f t="shared" si="153"/>
        <v>1.8845716104850497E-3</v>
      </c>
      <c r="T161" s="202">
        <f t="shared" si="163"/>
        <v>7.4090380441329873E-2</v>
      </c>
      <c r="V161" s="201">
        <f t="shared" si="164"/>
        <v>5.5840903804413298</v>
      </c>
      <c r="W161" s="203">
        <f t="shared" si="165"/>
        <v>0</v>
      </c>
      <c r="X161" s="203">
        <f t="shared" si="166"/>
        <v>0</v>
      </c>
      <c r="Y161" s="204">
        <f t="shared" si="167"/>
        <v>0</v>
      </c>
      <c r="AA161" s="205">
        <f t="shared" si="168"/>
        <v>0</v>
      </c>
      <c r="AB161" s="206">
        <f t="shared" si="169"/>
        <v>1.3446530025649661E-2</v>
      </c>
    </row>
    <row r="162" spans="1:28" ht="12">
      <c r="A162" s="221" t="s">
        <v>131</v>
      </c>
      <c r="B162" s="209">
        <v>30</v>
      </c>
      <c r="C162" s="222">
        <f>E162/12</f>
        <v>719.33333333333337</v>
      </c>
      <c r="D162" s="150">
        <v>0.316</v>
      </c>
      <c r="E162" s="157">
        <v>8632</v>
      </c>
      <c r="F162" s="209">
        <f t="shared" ref="F162:F244" si="170">B162</f>
        <v>30</v>
      </c>
      <c r="G162" s="150">
        <v>52</v>
      </c>
      <c r="I162" s="287">
        <v>7.53</v>
      </c>
      <c r="J162" s="154">
        <f t="shared" si="157"/>
        <v>5416.5800000000008</v>
      </c>
      <c r="K162" s="154">
        <f t="shared" si="158"/>
        <v>64998.960000000006</v>
      </c>
      <c r="L162" s="199">
        <f t="shared" si="159"/>
        <v>45.82</v>
      </c>
      <c r="M162" s="151">
        <f t="shared" si="160"/>
        <v>46.360069875341857</v>
      </c>
      <c r="N162" s="225">
        <f t="shared" si="161"/>
        <v>197.76</v>
      </c>
      <c r="O162" s="200">
        <f>$O$5*N162</f>
        <v>200.09095195433446</v>
      </c>
      <c r="Q162" s="177">
        <f t="shared" si="162"/>
        <v>0.14441161766168964</v>
      </c>
      <c r="R162" s="201"/>
      <c r="S162" s="201">
        <f t="shared" si="153"/>
        <v>3.7691432209700994E-3</v>
      </c>
      <c r="T162" s="202">
        <f t="shared" si="163"/>
        <v>0.14818076088265975</v>
      </c>
      <c r="V162" s="201">
        <f t="shared" si="164"/>
        <v>7.6781807608826602</v>
      </c>
      <c r="W162" s="203">
        <f t="shared" si="165"/>
        <v>5523.171360661594</v>
      </c>
      <c r="X162" s="203">
        <f t="shared" si="166"/>
        <v>106.59136066159317</v>
      </c>
      <c r="Y162" s="204">
        <f t="shared" si="167"/>
        <v>1279.0963279391181</v>
      </c>
      <c r="AA162" s="205">
        <f t="shared" si="168"/>
        <v>1246.5666306755015</v>
      </c>
      <c r="AB162" s="206">
        <f t="shared" si="169"/>
        <v>1.9678719904735686E-2</v>
      </c>
    </row>
    <row r="163" spans="1:28" ht="12">
      <c r="A163" s="239" t="str">
        <f>'Tariff Changes'!$A$52</f>
        <v>64 Gallon Special</v>
      </c>
      <c r="B163" s="209"/>
      <c r="C163" s="222">
        <f t="shared" si="156"/>
        <v>0</v>
      </c>
      <c r="D163" s="150">
        <v>0.316</v>
      </c>
      <c r="E163" s="157">
        <f t="shared" si="146"/>
        <v>0</v>
      </c>
      <c r="F163" s="209"/>
      <c r="G163" s="150">
        <v>52</v>
      </c>
      <c r="I163" s="287">
        <v>8.09</v>
      </c>
      <c r="J163" s="154">
        <f t="shared" si="157"/>
        <v>0</v>
      </c>
      <c r="K163" s="154">
        <f t="shared" si="158"/>
        <v>0</v>
      </c>
      <c r="L163" s="199">
        <f t="shared" si="159"/>
        <v>45.82</v>
      </c>
      <c r="M163" s="151">
        <f t="shared" si="160"/>
        <v>46.360069875341857</v>
      </c>
      <c r="N163" s="225">
        <f t="shared" si="161"/>
        <v>0</v>
      </c>
      <c r="O163" s="329">
        <f t="shared" si="151"/>
        <v>0</v>
      </c>
      <c r="Q163" s="177">
        <f t="shared" si="162"/>
        <v>0.14441161766168964</v>
      </c>
      <c r="R163" s="201"/>
      <c r="S163" s="201">
        <f t="shared" si="153"/>
        <v>3.7691432209700994E-3</v>
      </c>
      <c r="T163" s="202">
        <f t="shared" si="163"/>
        <v>0.14818076088265975</v>
      </c>
      <c r="V163" s="201">
        <f t="shared" si="164"/>
        <v>8.2381807608826598</v>
      </c>
      <c r="W163" s="203">
        <f t="shared" si="165"/>
        <v>0</v>
      </c>
      <c r="X163" s="203">
        <f t="shared" si="166"/>
        <v>0</v>
      </c>
      <c r="Y163" s="204">
        <f t="shared" si="167"/>
        <v>0</v>
      </c>
      <c r="AA163" s="205">
        <f t="shared" si="168"/>
        <v>0</v>
      </c>
      <c r="AB163" s="206">
        <f t="shared" si="169"/>
        <v>1.8316534101688431E-2</v>
      </c>
    </row>
    <row r="164" spans="1:28" ht="12">
      <c r="A164" s="221" t="s">
        <v>132</v>
      </c>
      <c r="B164" s="209">
        <v>22</v>
      </c>
      <c r="C164" s="222">
        <f t="shared" si="156"/>
        <v>95.332600000000014</v>
      </c>
      <c r="D164" s="150">
        <v>0.47399999999999998</v>
      </c>
      <c r="E164" s="157">
        <v>260</v>
      </c>
      <c r="F164" s="209">
        <f t="shared" si="170"/>
        <v>22</v>
      </c>
      <c r="G164" s="150">
        <v>52</v>
      </c>
      <c r="I164" s="287">
        <v>10.45</v>
      </c>
      <c r="J164" s="154">
        <f t="shared" si="157"/>
        <v>996.22567000000004</v>
      </c>
      <c r="K164" s="154">
        <f t="shared" si="158"/>
        <v>11954.708040000001</v>
      </c>
      <c r="L164" s="199">
        <f t="shared" si="159"/>
        <v>68.72999999999999</v>
      </c>
      <c r="M164" s="151">
        <f t="shared" si="160"/>
        <v>69.540104813012775</v>
      </c>
      <c r="N164" s="225">
        <f t="shared" si="161"/>
        <v>39.31</v>
      </c>
      <c r="O164" s="329">
        <f t="shared" si="151"/>
        <v>39.773337992136369</v>
      </c>
      <c r="Q164" s="177">
        <f t="shared" si="162"/>
        <v>0.21661742649253443</v>
      </c>
      <c r="R164" s="201"/>
      <c r="S164" s="201">
        <f t="shared" si="153"/>
        <v>5.6537148314551484E-3</v>
      </c>
      <c r="T164" s="202">
        <f t="shared" si="163"/>
        <v>0.22227114132398959</v>
      </c>
      <c r="V164" s="201">
        <f t="shared" si="164"/>
        <v>10.672271141323989</v>
      </c>
      <c r="W164" s="203">
        <f t="shared" si="165"/>
        <v>1017.4153558073834</v>
      </c>
      <c r="X164" s="203">
        <f t="shared" si="166"/>
        <v>21.189685807383398</v>
      </c>
      <c r="Y164" s="204">
        <f t="shared" si="167"/>
        <v>254.27622968860078</v>
      </c>
      <c r="AA164" s="205">
        <f t="shared" si="168"/>
        <v>247.78789569100917</v>
      </c>
      <c r="AB164" s="206">
        <f t="shared" si="169"/>
        <v>2.1269965676936842E-2</v>
      </c>
    </row>
    <row r="165" spans="1:28" ht="12">
      <c r="A165" s="239" t="str">
        <f>'Tariff Changes'!$A$53</f>
        <v>96 Gallon Special</v>
      </c>
      <c r="B165" s="209"/>
      <c r="C165" s="222">
        <f t="shared" si="156"/>
        <v>0</v>
      </c>
      <c r="D165" s="150">
        <v>0.47399999999999998</v>
      </c>
      <c r="E165" s="157">
        <f t="shared" si="146"/>
        <v>0</v>
      </c>
      <c r="F165" s="209"/>
      <c r="G165" s="150">
        <v>52</v>
      </c>
      <c r="I165" s="287">
        <v>11.01</v>
      </c>
      <c r="J165" s="154">
        <f t="shared" si="157"/>
        <v>0</v>
      </c>
      <c r="K165" s="154">
        <f t="shared" si="158"/>
        <v>0</v>
      </c>
      <c r="L165" s="199">
        <f t="shared" si="159"/>
        <v>68.72999999999999</v>
      </c>
      <c r="M165" s="151">
        <f t="shared" si="160"/>
        <v>69.540104813012775</v>
      </c>
      <c r="N165" s="225">
        <f t="shared" si="161"/>
        <v>0</v>
      </c>
      <c r="O165" s="329">
        <f t="shared" si="151"/>
        <v>0</v>
      </c>
      <c r="Q165" s="177">
        <f t="shared" si="162"/>
        <v>0.21661742649253443</v>
      </c>
      <c r="R165" s="201"/>
      <c r="S165" s="201">
        <f t="shared" si="153"/>
        <v>5.6537148314551484E-3</v>
      </c>
      <c r="T165" s="202">
        <f t="shared" si="163"/>
        <v>0.22227114132398959</v>
      </c>
      <c r="V165" s="201">
        <f t="shared" si="164"/>
        <v>11.23227114132399</v>
      </c>
      <c r="W165" s="203">
        <f t="shared" si="165"/>
        <v>0</v>
      </c>
      <c r="X165" s="203">
        <f t="shared" si="166"/>
        <v>0</v>
      </c>
      <c r="Y165" s="204">
        <f t="shared" si="167"/>
        <v>0</v>
      </c>
      <c r="AA165" s="205">
        <f t="shared" si="168"/>
        <v>0</v>
      </c>
      <c r="AB165" s="206">
        <f t="shared" si="169"/>
        <v>2.0188114561670245E-2</v>
      </c>
    </row>
    <row r="166" spans="1:28" ht="12">
      <c r="A166" s="221" t="s">
        <v>233</v>
      </c>
      <c r="B166" s="209"/>
      <c r="C166" s="222">
        <f t="shared" si="156"/>
        <v>0</v>
      </c>
      <c r="D166" s="150">
        <f>1*5</f>
        <v>5</v>
      </c>
      <c r="E166" s="157">
        <f t="shared" si="146"/>
        <v>0</v>
      </c>
      <c r="F166" s="209">
        <f>B166</f>
        <v>0</v>
      </c>
      <c r="G166" s="150">
        <v>52</v>
      </c>
      <c r="I166" s="287">
        <v>142.94</v>
      </c>
      <c r="J166" s="154">
        <f t="shared" si="157"/>
        <v>0</v>
      </c>
      <c r="K166" s="154">
        <f t="shared" si="158"/>
        <v>0</v>
      </c>
      <c r="L166" s="199">
        <f t="shared" si="159"/>
        <v>725</v>
      </c>
      <c r="M166" s="151">
        <f t="shared" si="160"/>
        <v>733.54540941996606</v>
      </c>
      <c r="N166" s="225">
        <f t="shared" si="161"/>
        <v>0</v>
      </c>
      <c r="O166" s="329">
        <f t="shared" si="151"/>
        <v>0</v>
      </c>
      <c r="Q166" s="177">
        <f t="shared" si="162"/>
        <v>2.2849939503431904</v>
      </c>
      <c r="R166" s="201"/>
      <c r="S166" s="201">
        <f t="shared" si="153"/>
        <v>5.9638342103957263E-2</v>
      </c>
      <c r="T166" s="202">
        <f t="shared" si="163"/>
        <v>2.3446322924471477</v>
      </c>
      <c r="V166" s="201">
        <f t="shared" si="164"/>
        <v>145.28463229244716</v>
      </c>
      <c r="W166" s="203">
        <f t="shared" si="165"/>
        <v>0</v>
      </c>
      <c r="X166" s="203">
        <f t="shared" si="166"/>
        <v>0</v>
      </c>
      <c r="Y166" s="204">
        <f t="shared" si="167"/>
        <v>0</v>
      </c>
      <c r="AA166" s="205">
        <f t="shared" si="168"/>
        <v>0</v>
      </c>
      <c r="AB166" s="206">
        <f t="shared" si="169"/>
        <v>1.640291235796254E-2</v>
      </c>
    </row>
    <row r="167" spans="1:28" s="324" customFormat="1" ht="12">
      <c r="A167" s="337" t="s">
        <v>314</v>
      </c>
      <c r="B167" s="336"/>
      <c r="C167" s="338">
        <f t="shared" ref="C167" si="171">B167*4.3333</f>
        <v>0</v>
      </c>
      <c r="D167" s="322">
        <f>1*5</f>
        <v>5</v>
      </c>
      <c r="E167" s="326">
        <f t="shared" ref="E167" si="172">C167*D167</f>
        <v>0</v>
      </c>
      <c r="F167" s="336">
        <f>B167</f>
        <v>0</v>
      </c>
      <c r="G167" s="322">
        <v>52</v>
      </c>
      <c r="H167" s="322"/>
      <c r="I167" s="287">
        <v>142.94</v>
      </c>
      <c r="J167" s="325">
        <f t="shared" ref="J167" si="173">+C167*I167</f>
        <v>0</v>
      </c>
      <c r="K167" s="325">
        <f t="shared" ref="K167" si="174">J167*12</f>
        <v>0</v>
      </c>
      <c r="L167" s="328">
        <f t="shared" ref="L167" si="175">+D167*L$16</f>
        <v>725</v>
      </c>
      <c r="M167" s="323">
        <f t="shared" ref="M167" si="176">L167*$O$5</f>
        <v>733.54540941996606</v>
      </c>
      <c r="N167" s="340">
        <f t="shared" ref="N167" si="177">ROUND((C167*L167*12)/2000,2)</f>
        <v>0</v>
      </c>
      <c r="O167" s="329">
        <f t="shared" si="151"/>
        <v>0</v>
      </c>
      <c r="P167" s="322"/>
      <c r="Q167" s="327">
        <f t="shared" ref="Q167" si="178">M167*$R$12</f>
        <v>2.2849939503431904</v>
      </c>
      <c r="R167" s="330"/>
      <c r="S167" s="330">
        <f t="shared" si="153"/>
        <v>5.9638342103957263E-2</v>
      </c>
      <c r="T167" s="331">
        <f t="shared" ref="T167" si="179">+Q167+S167</f>
        <v>2.3446322924471477</v>
      </c>
      <c r="U167" s="322"/>
      <c r="V167" s="330">
        <f t="shared" ref="V167" si="180">I167+T167</f>
        <v>145.28463229244716</v>
      </c>
      <c r="W167" s="332">
        <f t="shared" ref="W167" si="181">C167*V167</f>
        <v>0</v>
      </c>
      <c r="X167" s="332">
        <f t="shared" ref="X167" si="182">W167-J167</f>
        <v>0</v>
      </c>
      <c r="Y167" s="333">
        <f t="shared" ref="Y167" si="183">X167*12</f>
        <v>0</v>
      </c>
      <c r="Z167" s="322"/>
      <c r="AA167" s="334">
        <f t="shared" ref="AA167" si="184">O167*$R$11</f>
        <v>0</v>
      </c>
      <c r="AB167" s="335">
        <f t="shared" ref="AB167" si="185">IF(I167=0,"",V167/I167-1)</f>
        <v>1.640291235796254E-2</v>
      </c>
    </row>
    <row r="168" spans="1:28" ht="12">
      <c r="A168" s="221" t="s">
        <v>234</v>
      </c>
      <c r="B168" s="209"/>
      <c r="C168" s="222">
        <f t="shared" si="156"/>
        <v>0</v>
      </c>
      <c r="D168" s="150">
        <v>1</v>
      </c>
      <c r="E168" s="157">
        <f t="shared" si="146"/>
        <v>0</v>
      </c>
      <c r="F168" s="209">
        <f t="shared" si="170"/>
        <v>0</v>
      </c>
      <c r="G168" s="150">
        <v>52</v>
      </c>
      <c r="I168" s="287">
        <v>24.54</v>
      </c>
      <c r="J168" s="154">
        <f t="shared" si="157"/>
        <v>0</v>
      </c>
      <c r="K168" s="154">
        <f t="shared" si="158"/>
        <v>0</v>
      </c>
      <c r="L168" s="199">
        <f t="shared" si="159"/>
        <v>145</v>
      </c>
      <c r="M168" s="151">
        <f t="shared" si="160"/>
        <v>146.70908188399321</v>
      </c>
      <c r="N168" s="225">
        <f t="shared" si="161"/>
        <v>0</v>
      </c>
      <c r="O168" s="329">
        <f t="shared" si="151"/>
        <v>0</v>
      </c>
      <c r="Q168" s="177">
        <f t="shared" si="162"/>
        <v>0.45699879006863808</v>
      </c>
      <c r="R168" s="201"/>
      <c r="S168" s="201">
        <f t="shared" si="153"/>
        <v>1.1927668420791453E-2</v>
      </c>
      <c r="T168" s="202">
        <f t="shared" si="163"/>
        <v>0.46892645848942954</v>
      </c>
      <c r="V168" s="201">
        <f t="shared" si="164"/>
        <v>25.00892645848943</v>
      </c>
      <c r="W168" s="203">
        <f t="shared" si="165"/>
        <v>0</v>
      </c>
      <c r="X168" s="203">
        <f t="shared" si="166"/>
        <v>0</v>
      </c>
      <c r="Y168" s="204">
        <f t="shared" si="167"/>
        <v>0</v>
      </c>
      <c r="AA168" s="205">
        <f t="shared" si="168"/>
        <v>0</v>
      </c>
      <c r="AB168" s="206">
        <f t="shared" si="169"/>
        <v>1.9108657640156013E-2</v>
      </c>
    </row>
    <row r="169" spans="1:28" ht="12">
      <c r="A169" s="221" t="s">
        <v>133</v>
      </c>
      <c r="B169" s="209"/>
      <c r="C169" s="222">
        <f t="shared" si="156"/>
        <v>0</v>
      </c>
      <c r="D169" s="150">
        <v>1</v>
      </c>
      <c r="E169" s="157">
        <f t="shared" si="146"/>
        <v>0</v>
      </c>
      <c r="F169" s="209">
        <f t="shared" si="170"/>
        <v>0</v>
      </c>
      <c r="G169" s="150">
        <v>52</v>
      </c>
      <c r="I169" s="287">
        <v>21.97</v>
      </c>
      <c r="J169" s="154">
        <f t="shared" si="157"/>
        <v>0</v>
      </c>
      <c r="K169" s="154">
        <f t="shared" si="158"/>
        <v>0</v>
      </c>
      <c r="L169" s="199">
        <f t="shared" si="159"/>
        <v>145</v>
      </c>
      <c r="M169" s="151">
        <f t="shared" si="160"/>
        <v>146.70908188399321</v>
      </c>
      <c r="N169" s="225">
        <f t="shared" si="161"/>
        <v>0</v>
      </c>
      <c r="O169" s="329">
        <f t="shared" si="151"/>
        <v>0</v>
      </c>
      <c r="Q169" s="177">
        <f t="shared" si="162"/>
        <v>0.45699879006863808</v>
      </c>
      <c r="R169" s="201"/>
      <c r="S169" s="201">
        <f t="shared" si="153"/>
        <v>1.1927668420791453E-2</v>
      </c>
      <c r="T169" s="202">
        <f t="shared" si="163"/>
        <v>0.46892645848942954</v>
      </c>
      <c r="V169" s="201">
        <f t="shared" si="164"/>
        <v>22.43892645848943</v>
      </c>
      <c r="W169" s="203">
        <f t="shared" si="165"/>
        <v>0</v>
      </c>
      <c r="X169" s="203">
        <f t="shared" si="166"/>
        <v>0</v>
      </c>
      <c r="Y169" s="204">
        <f t="shared" si="167"/>
        <v>0</v>
      </c>
      <c r="AA169" s="205">
        <f t="shared" si="168"/>
        <v>0</v>
      </c>
      <c r="AB169" s="206">
        <f t="shared" si="169"/>
        <v>2.1343944400975534E-2</v>
      </c>
    </row>
    <row r="170" spans="1:28" ht="12">
      <c r="A170" s="221" t="s">
        <v>147</v>
      </c>
      <c r="B170" s="209"/>
      <c r="C170" s="222">
        <f t="shared" si="156"/>
        <v>0</v>
      </c>
      <c r="D170" s="150">
        <v>1</v>
      </c>
      <c r="E170" s="157">
        <f t="shared" si="146"/>
        <v>0</v>
      </c>
      <c r="F170" s="209">
        <f>B170</f>
        <v>0</v>
      </c>
      <c r="G170" s="150">
        <v>52</v>
      </c>
      <c r="I170" s="287">
        <v>21.97</v>
      </c>
      <c r="J170" s="154">
        <f t="shared" si="157"/>
        <v>0</v>
      </c>
      <c r="K170" s="154">
        <f t="shared" si="158"/>
        <v>0</v>
      </c>
      <c r="L170" s="199">
        <f t="shared" si="159"/>
        <v>145</v>
      </c>
      <c r="M170" s="151">
        <f t="shared" si="160"/>
        <v>146.70908188399321</v>
      </c>
      <c r="N170" s="225">
        <f t="shared" si="161"/>
        <v>0</v>
      </c>
      <c r="O170" s="329">
        <f t="shared" si="151"/>
        <v>0</v>
      </c>
      <c r="Q170" s="177">
        <f t="shared" si="162"/>
        <v>0.45699879006863808</v>
      </c>
      <c r="R170" s="201"/>
      <c r="S170" s="201">
        <f t="shared" si="153"/>
        <v>1.1927668420791453E-2</v>
      </c>
      <c r="T170" s="202">
        <f t="shared" si="163"/>
        <v>0.46892645848942954</v>
      </c>
      <c r="V170" s="201">
        <f t="shared" si="164"/>
        <v>22.43892645848943</v>
      </c>
      <c r="W170" s="203">
        <f t="shared" si="165"/>
        <v>0</v>
      </c>
      <c r="X170" s="203">
        <f t="shared" si="166"/>
        <v>0</v>
      </c>
      <c r="Y170" s="204">
        <f t="shared" si="167"/>
        <v>0</v>
      </c>
      <c r="AA170" s="205">
        <f t="shared" si="168"/>
        <v>0</v>
      </c>
      <c r="AB170" s="206">
        <f t="shared" si="169"/>
        <v>2.1343944400975534E-2</v>
      </c>
    </row>
    <row r="171" spans="1:28" ht="12">
      <c r="A171" s="239" t="str">
        <f>'Tariff Changes'!$A$54</f>
        <v>1 Yard Special</v>
      </c>
      <c r="B171" s="209"/>
      <c r="C171" s="222">
        <f t="shared" si="156"/>
        <v>0</v>
      </c>
      <c r="D171" s="150">
        <v>1</v>
      </c>
      <c r="E171" s="157">
        <f t="shared" si="146"/>
        <v>0</v>
      </c>
      <c r="F171" s="209"/>
      <c r="G171" s="150">
        <v>52</v>
      </c>
      <c r="I171" s="287">
        <v>24.54</v>
      </c>
      <c r="J171" s="154">
        <f t="shared" si="157"/>
        <v>0</v>
      </c>
      <c r="K171" s="154">
        <f t="shared" si="158"/>
        <v>0</v>
      </c>
      <c r="L171" s="199">
        <f t="shared" si="159"/>
        <v>145</v>
      </c>
      <c r="M171" s="151">
        <f t="shared" si="160"/>
        <v>146.70908188399321</v>
      </c>
      <c r="N171" s="225">
        <f t="shared" si="161"/>
        <v>0</v>
      </c>
      <c r="O171" s="329">
        <f t="shared" si="151"/>
        <v>0</v>
      </c>
      <c r="Q171" s="177">
        <f t="shared" si="162"/>
        <v>0.45699879006863808</v>
      </c>
      <c r="R171" s="201"/>
      <c r="S171" s="201">
        <f t="shared" si="153"/>
        <v>1.1927668420791453E-2</v>
      </c>
      <c r="T171" s="202">
        <f t="shared" si="163"/>
        <v>0.46892645848942954</v>
      </c>
      <c r="V171" s="201">
        <f t="shared" si="164"/>
        <v>25.00892645848943</v>
      </c>
      <c r="W171" s="203">
        <f t="shared" si="165"/>
        <v>0</v>
      </c>
      <c r="X171" s="203">
        <f t="shared" si="166"/>
        <v>0</v>
      </c>
      <c r="Y171" s="204">
        <f t="shared" si="167"/>
        <v>0</v>
      </c>
      <c r="AA171" s="205">
        <f t="shared" si="168"/>
        <v>0</v>
      </c>
      <c r="AB171" s="206">
        <f t="shared" si="169"/>
        <v>1.9108657640156013E-2</v>
      </c>
    </row>
    <row r="172" spans="1:28" ht="12">
      <c r="A172" s="239" t="str">
        <f>'Tariff Changes'!A62</f>
        <v>1 Yard Temp</v>
      </c>
      <c r="B172" s="209"/>
      <c r="C172" s="222">
        <f t="shared" si="156"/>
        <v>0</v>
      </c>
      <c r="D172" s="150">
        <v>1</v>
      </c>
      <c r="E172" s="157">
        <f t="shared" si="146"/>
        <v>0</v>
      </c>
      <c r="F172" s="209"/>
      <c r="G172" s="150">
        <v>52</v>
      </c>
      <c r="I172" s="287">
        <v>24.54</v>
      </c>
      <c r="J172" s="154">
        <f t="shared" si="157"/>
        <v>0</v>
      </c>
      <c r="K172" s="154">
        <f t="shared" si="158"/>
        <v>0</v>
      </c>
      <c r="L172" s="199">
        <f t="shared" si="159"/>
        <v>145</v>
      </c>
      <c r="M172" s="151">
        <f t="shared" si="160"/>
        <v>146.70908188399321</v>
      </c>
      <c r="N172" s="225">
        <f t="shared" si="161"/>
        <v>0</v>
      </c>
      <c r="O172" s="329">
        <f t="shared" si="151"/>
        <v>0</v>
      </c>
      <c r="Q172" s="177">
        <f t="shared" si="162"/>
        <v>0.45699879006863808</v>
      </c>
      <c r="R172" s="201"/>
      <c r="S172" s="201">
        <f t="shared" si="153"/>
        <v>1.1927668420791453E-2</v>
      </c>
      <c r="T172" s="202">
        <f t="shared" si="163"/>
        <v>0.46892645848942954</v>
      </c>
      <c r="V172" s="201">
        <f t="shared" si="164"/>
        <v>25.00892645848943</v>
      </c>
      <c r="W172" s="203">
        <f t="shared" si="165"/>
        <v>0</v>
      </c>
      <c r="X172" s="203">
        <f t="shared" si="166"/>
        <v>0</v>
      </c>
      <c r="Y172" s="204">
        <f t="shared" si="167"/>
        <v>0</v>
      </c>
      <c r="AA172" s="205">
        <f t="shared" si="168"/>
        <v>0</v>
      </c>
      <c r="AB172" s="206">
        <f t="shared" si="169"/>
        <v>1.9108657640156013E-2</v>
      </c>
    </row>
    <row r="173" spans="1:28" ht="12">
      <c r="A173" s="221" t="s">
        <v>235</v>
      </c>
      <c r="B173" s="209"/>
      <c r="C173" s="222">
        <f t="shared" si="156"/>
        <v>0</v>
      </c>
      <c r="D173" s="150">
        <v>1.5</v>
      </c>
      <c r="E173" s="157">
        <f t="shared" si="146"/>
        <v>0</v>
      </c>
      <c r="F173" s="223">
        <f t="shared" si="170"/>
        <v>0</v>
      </c>
      <c r="G173" s="150">
        <v>52</v>
      </c>
      <c r="I173" s="287">
        <v>32.659999999999997</v>
      </c>
      <c r="J173" s="154">
        <f t="shared" si="157"/>
        <v>0</v>
      </c>
      <c r="K173" s="154">
        <f t="shared" si="158"/>
        <v>0</v>
      </c>
      <c r="L173" s="199">
        <f t="shared" si="159"/>
        <v>217.5</v>
      </c>
      <c r="M173" s="151">
        <f t="shared" si="160"/>
        <v>220.06362282598982</v>
      </c>
      <c r="N173" s="225">
        <f t="shared" si="161"/>
        <v>0</v>
      </c>
      <c r="O173" s="329">
        <f t="shared" si="151"/>
        <v>0</v>
      </c>
      <c r="Q173" s="177">
        <f t="shared" si="162"/>
        <v>0.68549818510295724</v>
      </c>
      <c r="R173" s="201"/>
      <c r="S173" s="201">
        <f t="shared" si="153"/>
        <v>1.7891502631187182E-2</v>
      </c>
      <c r="T173" s="202">
        <f t="shared" si="163"/>
        <v>0.70338968773414445</v>
      </c>
      <c r="V173" s="201">
        <f t="shared" si="164"/>
        <v>33.363389687734141</v>
      </c>
      <c r="W173" s="203">
        <f t="shared" si="165"/>
        <v>0</v>
      </c>
      <c r="X173" s="203">
        <f t="shared" si="166"/>
        <v>0</v>
      </c>
      <c r="Y173" s="204">
        <f t="shared" si="167"/>
        <v>0</v>
      </c>
      <c r="AA173" s="205">
        <f t="shared" si="168"/>
        <v>0</v>
      </c>
      <c r="AB173" s="206">
        <f t="shared" si="169"/>
        <v>2.1536732631174171E-2</v>
      </c>
    </row>
    <row r="174" spans="1:28" ht="12">
      <c r="A174" s="221" t="s">
        <v>236</v>
      </c>
      <c r="B174" s="209">
        <v>9</v>
      </c>
      <c r="C174" s="222">
        <f t="shared" si="156"/>
        <v>38.999700000000004</v>
      </c>
      <c r="D174" s="150">
        <v>1.5</v>
      </c>
      <c r="E174" s="157">
        <v>104</v>
      </c>
      <c r="F174" s="223">
        <f t="shared" si="170"/>
        <v>9</v>
      </c>
      <c r="G174" s="150">
        <v>52</v>
      </c>
      <c r="I174" s="287">
        <v>30.01</v>
      </c>
      <c r="J174" s="154">
        <f t="shared" si="157"/>
        <v>1170.3809970000002</v>
      </c>
      <c r="K174" s="154">
        <f t="shared" si="158"/>
        <v>14044.571964000002</v>
      </c>
      <c r="L174" s="199">
        <f t="shared" si="159"/>
        <v>217.5</v>
      </c>
      <c r="M174" s="151">
        <f t="shared" si="160"/>
        <v>220.06362282598982</v>
      </c>
      <c r="N174" s="225">
        <f t="shared" si="161"/>
        <v>50.89</v>
      </c>
      <c r="O174" s="329">
        <f t="shared" si="151"/>
        <v>51.48982880742355</v>
      </c>
      <c r="Q174" s="177">
        <f t="shared" si="162"/>
        <v>0.68549818510295724</v>
      </c>
      <c r="R174" s="201"/>
      <c r="S174" s="201">
        <f t="shared" si="153"/>
        <v>1.7891502631187182E-2</v>
      </c>
      <c r="T174" s="202">
        <f t="shared" si="163"/>
        <v>0.70338968773414445</v>
      </c>
      <c r="V174" s="201">
        <f t="shared" si="164"/>
        <v>30.713389687734146</v>
      </c>
      <c r="W174" s="203">
        <f t="shared" si="165"/>
        <v>1197.8129838047255</v>
      </c>
      <c r="X174" s="203">
        <f t="shared" si="166"/>
        <v>27.431986804725284</v>
      </c>
      <c r="Y174" s="204">
        <f t="shared" si="167"/>
        <v>329.18384165670341</v>
      </c>
      <c r="AA174" s="205">
        <f t="shared" si="168"/>
        <v>320.78163347024821</v>
      </c>
      <c r="AB174" s="206">
        <f t="shared" si="169"/>
        <v>2.3438510087775644E-2</v>
      </c>
    </row>
    <row r="175" spans="1:28" ht="12">
      <c r="A175" s="221" t="s">
        <v>237</v>
      </c>
      <c r="B175" s="209"/>
      <c r="C175" s="222">
        <f t="shared" si="156"/>
        <v>0</v>
      </c>
      <c r="D175" s="150">
        <v>1.5</v>
      </c>
      <c r="E175" s="157">
        <f t="shared" si="146"/>
        <v>0</v>
      </c>
      <c r="F175" s="223">
        <f t="shared" si="170"/>
        <v>0</v>
      </c>
      <c r="G175" s="150">
        <v>52</v>
      </c>
      <c r="I175" s="287">
        <v>30.01</v>
      </c>
      <c r="J175" s="154">
        <f t="shared" si="157"/>
        <v>0</v>
      </c>
      <c r="K175" s="154">
        <f t="shared" si="158"/>
        <v>0</v>
      </c>
      <c r="L175" s="199">
        <f t="shared" si="159"/>
        <v>217.5</v>
      </c>
      <c r="M175" s="151">
        <f t="shared" si="160"/>
        <v>220.06362282598982</v>
      </c>
      <c r="N175" s="225">
        <f t="shared" si="161"/>
        <v>0</v>
      </c>
      <c r="O175" s="329">
        <f t="shared" si="151"/>
        <v>0</v>
      </c>
      <c r="Q175" s="177">
        <f t="shared" si="162"/>
        <v>0.68549818510295724</v>
      </c>
      <c r="R175" s="201"/>
      <c r="S175" s="201">
        <f t="shared" si="153"/>
        <v>1.7891502631187182E-2</v>
      </c>
      <c r="T175" s="202">
        <f t="shared" si="163"/>
        <v>0.70338968773414445</v>
      </c>
      <c r="V175" s="201">
        <f t="shared" si="164"/>
        <v>30.713389687734146</v>
      </c>
      <c r="W175" s="203">
        <f t="shared" si="165"/>
        <v>0</v>
      </c>
      <c r="X175" s="203">
        <f t="shared" si="166"/>
        <v>0</v>
      </c>
      <c r="Y175" s="204">
        <f t="shared" si="167"/>
        <v>0</v>
      </c>
      <c r="AA175" s="205">
        <f t="shared" si="168"/>
        <v>0</v>
      </c>
      <c r="AB175" s="206">
        <f t="shared" si="169"/>
        <v>2.3438510087775644E-2</v>
      </c>
    </row>
    <row r="176" spans="1:28" ht="12">
      <c r="A176" s="221" t="s">
        <v>238</v>
      </c>
      <c r="B176" s="209"/>
      <c r="C176" s="222">
        <f t="shared" si="156"/>
        <v>0</v>
      </c>
      <c r="D176" s="150">
        <v>1.5</v>
      </c>
      <c r="E176" s="157">
        <f t="shared" si="146"/>
        <v>0</v>
      </c>
      <c r="F176" s="223">
        <f t="shared" si="170"/>
        <v>0</v>
      </c>
      <c r="G176" s="150">
        <v>52</v>
      </c>
      <c r="I176" s="287">
        <v>30.01</v>
      </c>
      <c r="J176" s="154">
        <f t="shared" si="157"/>
        <v>0</v>
      </c>
      <c r="K176" s="154">
        <f t="shared" si="158"/>
        <v>0</v>
      </c>
      <c r="L176" s="199">
        <f t="shared" si="159"/>
        <v>217.5</v>
      </c>
      <c r="M176" s="151">
        <f t="shared" si="160"/>
        <v>220.06362282598982</v>
      </c>
      <c r="N176" s="225">
        <f t="shared" si="161"/>
        <v>0</v>
      </c>
      <c r="O176" s="329">
        <f t="shared" si="151"/>
        <v>0</v>
      </c>
      <c r="Q176" s="177">
        <f t="shared" si="162"/>
        <v>0.68549818510295724</v>
      </c>
      <c r="R176" s="201"/>
      <c r="S176" s="201">
        <f t="shared" si="153"/>
        <v>1.7891502631187182E-2</v>
      </c>
      <c r="T176" s="202">
        <f t="shared" si="163"/>
        <v>0.70338968773414445</v>
      </c>
      <c r="V176" s="201">
        <f t="shared" si="164"/>
        <v>30.713389687734146</v>
      </c>
      <c r="W176" s="203">
        <f t="shared" si="165"/>
        <v>0</v>
      </c>
      <c r="X176" s="203">
        <f t="shared" si="166"/>
        <v>0</v>
      </c>
      <c r="Y176" s="204">
        <f t="shared" si="167"/>
        <v>0</v>
      </c>
      <c r="AA176" s="205">
        <f t="shared" si="168"/>
        <v>0</v>
      </c>
      <c r="AB176" s="206">
        <f t="shared" si="169"/>
        <v>2.3438510087775644E-2</v>
      </c>
    </row>
    <row r="177" spans="1:28" ht="12">
      <c r="A177" s="239" t="str">
        <f>'Tariff Changes'!$A$55</f>
        <v>1.5 Yard Special</v>
      </c>
      <c r="B177" s="209"/>
      <c r="C177" s="222">
        <f t="shared" si="156"/>
        <v>0</v>
      </c>
      <c r="D177" s="150">
        <v>1.5</v>
      </c>
      <c r="E177" s="157">
        <f t="shared" si="146"/>
        <v>0</v>
      </c>
      <c r="F177" s="209"/>
      <c r="G177" s="150">
        <v>52</v>
      </c>
      <c r="I177" s="287">
        <v>32.659999999999997</v>
      </c>
      <c r="J177" s="154">
        <f t="shared" si="157"/>
        <v>0</v>
      </c>
      <c r="K177" s="154">
        <f t="shared" si="158"/>
        <v>0</v>
      </c>
      <c r="L177" s="199">
        <f t="shared" si="159"/>
        <v>217.5</v>
      </c>
      <c r="M177" s="151">
        <f t="shared" si="160"/>
        <v>220.06362282598982</v>
      </c>
      <c r="N177" s="225">
        <f t="shared" si="161"/>
        <v>0</v>
      </c>
      <c r="O177" s="329">
        <f t="shared" si="151"/>
        <v>0</v>
      </c>
      <c r="Q177" s="177">
        <f t="shared" si="162"/>
        <v>0.68549818510295724</v>
      </c>
      <c r="R177" s="201"/>
      <c r="S177" s="201">
        <f t="shared" si="153"/>
        <v>1.7891502631187182E-2</v>
      </c>
      <c r="T177" s="202">
        <f t="shared" si="163"/>
        <v>0.70338968773414445</v>
      </c>
      <c r="V177" s="201">
        <f t="shared" si="164"/>
        <v>33.363389687734141</v>
      </c>
      <c r="W177" s="203">
        <f t="shared" si="165"/>
        <v>0</v>
      </c>
      <c r="X177" s="203">
        <f t="shared" si="166"/>
        <v>0</v>
      </c>
      <c r="Y177" s="204">
        <f t="shared" si="167"/>
        <v>0</v>
      </c>
      <c r="AA177" s="205">
        <f t="shared" si="168"/>
        <v>0</v>
      </c>
      <c r="AB177" s="206">
        <f t="shared" si="169"/>
        <v>2.1536732631174171E-2</v>
      </c>
    </row>
    <row r="178" spans="1:28" ht="12">
      <c r="A178" s="239" t="str">
        <f>'Tariff Changes'!A63</f>
        <v>1.5 Yard Temp</v>
      </c>
      <c r="B178" s="209"/>
      <c r="C178" s="222">
        <f t="shared" si="156"/>
        <v>0</v>
      </c>
      <c r="D178" s="150">
        <v>1.5</v>
      </c>
      <c r="E178" s="157">
        <f t="shared" si="146"/>
        <v>0</v>
      </c>
      <c r="F178" s="209"/>
      <c r="G178" s="150">
        <v>52</v>
      </c>
      <c r="I178" s="287">
        <v>32.659999999999997</v>
      </c>
      <c r="J178" s="154">
        <f t="shared" si="157"/>
        <v>0</v>
      </c>
      <c r="K178" s="154">
        <f t="shared" si="158"/>
        <v>0</v>
      </c>
      <c r="L178" s="199">
        <f t="shared" si="159"/>
        <v>217.5</v>
      </c>
      <c r="M178" s="151">
        <f t="shared" si="160"/>
        <v>220.06362282598982</v>
      </c>
      <c r="N178" s="225">
        <f t="shared" si="161"/>
        <v>0</v>
      </c>
      <c r="O178" s="329">
        <f t="shared" si="151"/>
        <v>0</v>
      </c>
      <c r="Q178" s="177">
        <f t="shared" si="162"/>
        <v>0.68549818510295724</v>
      </c>
      <c r="R178" s="201"/>
      <c r="S178" s="201">
        <f t="shared" si="153"/>
        <v>1.7891502631187182E-2</v>
      </c>
      <c r="T178" s="202">
        <f t="shared" si="163"/>
        <v>0.70338968773414445</v>
      </c>
      <c r="V178" s="201">
        <f t="shared" si="164"/>
        <v>33.363389687734141</v>
      </c>
      <c r="W178" s="203">
        <f t="shared" si="165"/>
        <v>0</v>
      </c>
      <c r="X178" s="203">
        <f t="shared" si="166"/>
        <v>0</v>
      </c>
      <c r="Y178" s="204">
        <f t="shared" si="167"/>
        <v>0</v>
      </c>
      <c r="AA178" s="205">
        <f t="shared" si="168"/>
        <v>0</v>
      </c>
      <c r="AB178" s="206">
        <f t="shared" si="169"/>
        <v>2.1536732631174171E-2</v>
      </c>
    </row>
    <row r="179" spans="1:28" ht="12">
      <c r="A179" s="221" t="s">
        <v>239</v>
      </c>
      <c r="B179" s="209"/>
      <c r="C179" s="222">
        <f t="shared" si="156"/>
        <v>0</v>
      </c>
      <c r="D179" s="150">
        <f>2*5</f>
        <v>10</v>
      </c>
      <c r="E179" s="157">
        <f t="shared" si="146"/>
        <v>0</v>
      </c>
      <c r="F179" s="209">
        <f t="shared" si="170"/>
        <v>0</v>
      </c>
      <c r="G179" s="150">
        <v>52</v>
      </c>
      <c r="I179" s="287">
        <v>229.19</v>
      </c>
      <c r="J179" s="154">
        <f t="shared" si="157"/>
        <v>0</v>
      </c>
      <c r="K179" s="154">
        <f t="shared" si="158"/>
        <v>0</v>
      </c>
      <c r="L179" s="199">
        <f t="shared" si="159"/>
        <v>1450</v>
      </c>
      <c r="M179" s="151">
        <f t="shared" si="160"/>
        <v>1467.0908188399321</v>
      </c>
      <c r="N179" s="225">
        <f t="shared" si="161"/>
        <v>0</v>
      </c>
      <c r="O179" s="329">
        <f t="shared" si="151"/>
        <v>0</v>
      </c>
      <c r="Q179" s="177">
        <f t="shared" si="162"/>
        <v>4.5699879006863808</v>
      </c>
      <c r="R179" s="201"/>
      <c r="S179" s="201">
        <f t="shared" si="153"/>
        <v>0.11927668420791453</v>
      </c>
      <c r="T179" s="202">
        <f t="shared" si="163"/>
        <v>4.6892645848942953</v>
      </c>
      <c r="V179" s="201">
        <f t="shared" si="164"/>
        <v>233.87926458489429</v>
      </c>
      <c r="W179" s="203">
        <f t="shared" si="165"/>
        <v>0</v>
      </c>
      <c r="X179" s="203">
        <f t="shared" si="166"/>
        <v>0</v>
      </c>
      <c r="Y179" s="204">
        <f t="shared" si="167"/>
        <v>0</v>
      </c>
      <c r="AA179" s="205">
        <f t="shared" si="168"/>
        <v>0</v>
      </c>
      <c r="AB179" s="206">
        <f t="shared" si="169"/>
        <v>2.0460162244837488E-2</v>
      </c>
    </row>
    <row r="180" spans="1:28" s="324" customFormat="1" ht="12">
      <c r="A180" s="337" t="s">
        <v>315</v>
      </c>
      <c r="B180" s="336"/>
      <c r="C180" s="338">
        <f t="shared" ref="C180" si="186">B180*4.3333</f>
        <v>0</v>
      </c>
      <c r="D180" s="322">
        <f>2*5</f>
        <v>10</v>
      </c>
      <c r="E180" s="326">
        <f t="shared" ref="E180" si="187">C180*D180</f>
        <v>0</v>
      </c>
      <c r="F180" s="336">
        <f t="shared" ref="F180" si="188">B180</f>
        <v>0</v>
      </c>
      <c r="G180" s="322">
        <v>52</v>
      </c>
      <c r="H180" s="322"/>
      <c r="I180" s="287">
        <v>229.19</v>
      </c>
      <c r="J180" s="325">
        <f t="shared" ref="J180" si="189">+C180*I180</f>
        <v>0</v>
      </c>
      <c r="K180" s="325">
        <f t="shared" ref="K180" si="190">J180*12</f>
        <v>0</v>
      </c>
      <c r="L180" s="328">
        <f t="shared" ref="L180" si="191">+D180*L$16</f>
        <v>1450</v>
      </c>
      <c r="M180" s="323">
        <f t="shared" ref="M180" si="192">L180*$O$5</f>
        <v>1467.0908188399321</v>
      </c>
      <c r="N180" s="340">
        <f t="shared" ref="N180" si="193">ROUND((C180*L180*12)/2000,2)</f>
        <v>0</v>
      </c>
      <c r="O180" s="329">
        <f t="shared" si="151"/>
        <v>0</v>
      </c>
      <c r="P180" s="322"/>
      <c r="Q180" s="327">
        <f t="shared" ref="Q180" si="194">M180*$R$12</f>
        <v>4.5699879006863808</v>
      </c>
      <c r="R180" s="330"/>
      <c r="S180" s="330">
        <f t="shared" si="153"/>
        <v>0.11927668420791453</v>
      </c>
      <c r="T180" s="331">
        <f t="shared" ref="T180" si="195">+Q180+S180</f>
        <v>4.6892645848942953</v>
      </c>
      <c r="U180" s="322"/>
      <c r="V180" s="330">
        <f t="shared" ref="V180" si="196">I180+T180</f>
        <v>233.87926458489429</v>
      </c>
      <c r="W180" s="332">
        <f t="shared" ref="W180" si="197">C180*V180</f>
        <v>0</v>
      </c>
      <c r="X180" s="332">
        <f t="shared" ref="X180" si="198">W180-J180</f>
        <v>0</v>
      </c>
      <c r="Y180" s="333">
        <f t="shared" ref="Y180" si="199">X180*12</f>
        <v>0</v>
      </c>
      <c r="Z180" s="322"/>
      <c r="AA180" s="334">
        <f t="shared" ref="AA180" si="200">O180*$R$11</f>
        <v>0</v>
      </c>
      <c r="AB180" s="335">
        <f t="shared" ref="AB180" si="201">IF(I180=0,"",V180/I180-1)</f>
        <v>2.0460162244837488E-2</v>
      </c>
    </row>
    <row r="181" spans="1:28" ht="12">
      <c r="A181" s="221" t="s">
        <v>134</v>
      </c>
      <c r="B181" s="209"/>
      <c r="C181" s="222">
        <f t="shared" si="156"/>
        <v>0</v>
      </c>
      <c r="D181" s="150">
        <v>2</v>
      </c>
      <c r="E181" s="157">
        <f t="shared" si="146"/>
        <v>0</v>
      </c>
      <c r="F181" s="209">
        <f t="shared" si="170"/>
        <v>0</v>
      </c>
      <c r="G181" s="150">
        <v>52</v>
      </c>
      <c r="I181" s="287">
        <v>43.27</v>
      </c>
      <c r="J181" s="154">
        <f t="shared" si="157"/>
        <v>0</v>
      </c>
      <c r="K181" s="154">
        <f t="shared" si="158"/>
        <v>0</v>
      </c>
      <c r="L181" s="199">
        <f t="shared" si="159"/>
        <v>290</v>
      </c>
      <c r="M181" s="151">
        <f t="shared" si="160"/>
        <v>293.41816376798641</v>
      </c>
      <c r="N181" s="225">
        <f t="shared" si="161"/>
        <v>0</v>
      </c>
      <c r="O181" s="329">
        <f t="shared" si="151"/>
        <v>0</v>
      </c>
      <c r="Q181" s="177">
        <f t="shared" si="162"/>
        <v>0.91399758013727617</v>
      </c>
      <c r="R181" s="201"/>
      <c r="S181" s="201">
        <f t="shared" si="153"/>
        <v>2.3855336841582905E-2</v>
      </c>
      <c r="T181" s="202">
        <f t="shared" si="163"/>
        <v>0.93785291697885909</v>
      </c>
      <c r="V181" s="201">
        <f t="shared" si="164"/>
        <v>44.207852916978865</v>
      </c>
      <c r="W181" s="203">
        <f t="shared" si="165"/>
        <v>0</v>
      </c>
      <c r="X181" s="203">
        <f t="shared" si="166"/>
        <v>0</v>
      </c>
      <c r="Y181" s="204">
        <f t="shared" si="167"/>
        <v>0</v>
      </c>
      <c r="AA181" s="205">
        <f t="shared" si="168"/>
        <v>0</v>
      </c>
      <c r="AB181" s="206">
        <f t="shared" si="169"/>
        <v>2.1674437646842293E-2</v>
      </c>
    </row>
    <row r="182" spans="1:28" ht="12">
      <c r="A182" s="221" t="s">
        <v>135</v>
      </c>
      <c r="B182" s="209">
        <v>39</v>
      </c>
      <c r="C182" s="222">
        <f t="shared" si="156"/>
        <v>168.99870000000001</v>
      </c>
      <c r="D182" s="150">
        <v>2</v>
      </c>
      <c r="E182" s="157">
        <v>468</v>
      </c>
      <c r="F182" s="209">
        <f t="shared" si="170"/>
        <v>39</v>
      </c>
      <c r="G182" s="150">
        <v>52</v>
      </c>
      <c r="I182" s="287">
        <v>39.29</v>
      </c>
      <c r="J182" s="154">
        <f t="shared" si="157"/>
        <v>6639.9589230000001</v>
      </c>
      <c r="K182" s="154">
        <f t="shared" si="158"/>
        <v>79679.507076000009</v>
      </c>
      <c r="L182" s="199">
        <f t="shared" si="159"/>
        <v>290</v>
      </c>
      <c r="M182" s="151">
        <f t="shared" si="160"/>
        <v>293.41816376798641</v>
      </c>
      <c r="N182" s="225">
        <f t="shared" si="161"/>
        <v>294.06</v>
      </c>
      <c r="O182" s="329">
        <f t="shared" si="151"/>
        <v>297.52601806073824</v>
      </c>
      <c r="Q182" s="177">
        <f t="shared" si="162"/>
        <v>0.91399758013727617</v>
      </c>
      <c r="R182" s="201"/>
      <c r="S182" s="201">
        <f t="shared" si="153"/>
        <v>2.3855336841582905E-2</v>
      </c>
      <c r="T182" s="202">
        <f t="shared" si="163"/>
        <v>0.93785291697885909</v>
      </c>
      <c r="V182" s="201">
        <f t="shared" si="164"/>
        <v>40.227852916978861</v>
      </c>
      <c r="W182" s="203">
        <f t="shared" si="165"/>
        <v>6798.4548467606364</v>
      </c>
      <c r="X182" s="203">
        <f t="shared" si="166"/>
        <v>158.49592376063629</v>
      </c>
      <c r="Y182" s="204">
        <f t="shared" si="167"/>
        <v>1901.9510851276355</v>
      </c>
      <c r="AA182" s="205">
        <f t="shared" si="168"/>
        <v>1853.5870925183963</v>
      </c>
      <c r="AB182" s="206">
        <f t="shared" si="169"/>
        <v>2.3870015703203462E-2</v>
      </c>
    </row>
    <row r="183" spans="1:28" ht="12">
      <c r="A183" s="221" t="s">
        <v>136</v>
      </c>
      <c r="B183" s="209"/>
      <c r="C183" s="222">
        <f t="shared" si="156"/>
        <v>0</v>
      </c>
      <c r="D183" s="150">
        <v>2</v>
      </c>
      <c r="E183" s="157">
        <f t="shared" si="146"/>
        <v>0</v>
      </c>
      <c r="F183" s="209">
        <f t="shared" si="170"/>
        <v>0</v>
      </c>
      <c r="G183" s="150">
        <v>52</v>
      </c>
      <c r="I183" s="287">
        <v>39.29</v>
      </c>
      <c r="J183" s="154">
        <f t="shared" si="157"/>
        <v>0</v>
      </c>
      <c r="K183" s="154">
        <f t="shared" si="158"/>
        <v>0</v>
      </c>
      <c r="L183" s="199">
        <f t="shared" si="159"/>
        <v>290</v>
      </c>
      <c r="M183" s="151">
        <f t="shared" si="160"/>
        <v>293.41816376798641</v>
      </c>
      <c r="N183" s="225">
        <f t="shared" si="161"/>
        <v>0</v>
      </c>
      <c r="O183" s="329">
        <f t="shared" si="151"/>
        <v>0</v>
      </c>
      <c r="Q183" s="177">
        <f t="shared" si="162"/>
        <v>0.91399758013727617</v>
      </c>
      <c r="R183" s="201"/>
      <c r="S183" s="201">
        <f t="shared" si="153"/>
        <v>2.3855336841582905E-2</v>
      </c>
      <c r="T183" s="202">
        <f t="shared" si="163"/>
        <v>0.93785291697885909</v>
      </c>
      <c r="V183" s="201">
        <f t="shared" si="164"/>
        <v>40.227852916978861</v>
      </c>
      <c r="W183" s="203">
        <f t="shared" si="165"/>
        <v>0</v>
      </c>
      <c r="X183" s="203">
        <f t="shared" si="166"/>
        <v>0</v>
      </c>
      <c r="Y183" s="204">
        <f t="shared" si="167"/>
        <v>0</v>
      </c>
      <c r="AA183" s="205">
        <f t="shared" si="168"/>
        <v>0</v>
      </c>
      <c r="AB183" s="206">
        <f t="shared" si="169"/>
        <v>2.3870015703203462E-2</v>
      </c>
    </row>
    <row r="184" spans="1:28" ht="12">
      <c r="A184" s="221" t="s">
        <v>240</v>
      </c>
      <c r="B184" s="209"/>
      <c r="C184" s="222">
        <f t="shared" si="156"/>
        <v>0</v>
      </c>
      <c r="D184" s="150">
        <v>2</v>
      </c>
      <c r="E184" s="157">
        <f t="shared" si="146"/>
        <v>0</v>
      </c>
      <c r="F184" s="209">
        <f t="shared" si="170"/>
        <v>0</v>
      </c>
      <c r="G184" s="150">
        <v>52</v>
      </c>
      <c r="I184" s="287">
        <v>39.29</v>
      </c>
      <c r="J184" s="154">
        <f t="shared" si="157"/>
        <v>0</v>
      </c>
      <c r="K184" s="154">
        <f t="shared" si="158"/>
        <v>0</v>
      </c>
      <c r="L184" s="199">
        <f t="shared" si="159"/>
        <v>290</v>
      </c>
      <c r="M184" s="151">
        <f t="shared" si="160"/>
        <v>293.41816376798641</v>
      </c>
      <c r="N184" s="225">
        <f t="shared" si="161"/>
        <v>0</v>
      </c>
      <c r="O184" s="329">
        <f t="shared" si="151"/>
        <v>0</v>
      </c>
      <c r="Q184" s="177">
        <f t="shared" si="162"/>
        <v>0.91399758013727617</v>
      </c>
      <c r="R184" s="201"/>
      <c r="S184" s="201">
        <f t="shared" si="153"/>
        <v>2.3855336841582905E-2</v>
      </c>
      <c r="T184" s="202">
        <f t="shared" si="163"/>
        <v>0.93785291697885909</v>
      </c>
      <c r="V184" s="201">
        <f t="shared" si="164"/>
        <v>40.227852916978861</v>
      </c>
      <c r="W184" s="203">
        <f t="shared" si="165"/>
        <v>0</v>
      </c>
      <c r="X184" s="203">
        <f t="shared" si="166"/>
        <v>0</v>
      </c>
      <c r="Y184" s="204">
        <f t="shared" si="167"/>
        <v>0</v>
      </c>
      <c r="AA184" s="205">
        <f t="shared" si="168"/>
        <v>0</v>
      </c>
      <c r="AB184" s="206">
        <f t="shared" si="169"/>
        <v>2.3870015703203462E-2</v>
      </c>
    </row>
    <row r="185" spans="1:28" ht="12">
      <c r="A185" s="221" t="s">
        <v>241</v>
      </c>
      <c r="B185" s="209"/>
      <c r="C185" s="222">
        <f t="shared" si="156"/>
        <v>0</v>
      </c>
      <c r="D185" s="150">
        <v>2</v>
      </c>
      <c r="E185" s="157">
        <f t="shared" si="146"/>
        <v>0</v>
      </c>
      <c r="F185" s="209">
        <f t="shared" si="170"/>
        <v>0</v>
      </c>
      <c r="G185" s="150">
        <v>52</v>
      </c>
      <c r="I185" s="287">
        <v>39.29</v>
      </c>
      <c r="J185" s="154">
        <f t="shared" si="157"/>
        <v>0</v>
      </c>
      <c r="K185" s="154">
        <f t="shared" si="158"/>
        <v>0</v>
      </c>
      <c r="L185" s="199">
        <f t="shared" si="159"/>
        <v>290</v>
      </c>
      <c r="M185" s="151">
        <f t="shared" si="160"/>
        <v>293.41816376798641</v>
      </c>
      <c r="N185" s="225">
        <f t="shared" si="161"/>
        <v>0</v>
      </c>
      <c r="O185" s="329">
        <f t="shared" si="151"/>
        <v>0</v>
      </c>
      <c r="Q185" s="177">
        <f t="shared" si="162"/>
        <v>0.91399758013727617</v>
      </c>
      <c r="R185" s="201"/>
      <c r="S185" s="201">
        <f t="shared" si="153"/>
        <v>2.3855336841582905E-2</v>
      </c>
      <c r="T185" s="202">
        <f t="shared" si="163"/>
        <v>0.93785291697885909</v>
      </c>
      <c r="V185" s="201">
        <f t="shared" si="164"/>
        <v>40.227852916978861</v>
      </c>
      <c r="W185" s="203">
        <f t="shared" si="165"/>
        <v>0</v>
      </c>
      <c r="X185" s="203">
        <f t="shared" si="166"/>
        <v>0</v>
      </c>
      <c r="Y185" s="204">
        <f t="shared" si="167"/>
        <v>0</v>
      </c>
      <c r="AA185" s="205">
        <f t="shared" si="168"/>
        <v>0</v>
      </c>
      <c r="AB185" s="206">
        <f t="shared" si="169"/>
        <v>2.3870015703203462E-2</v>
      </c>
    </row>
    <row r="186" spans="1:28" ht="12">
      <c r="A186" s="221" t="s">
        <v>242</v>
      </c>
      <c r="B186" s="209"/>
      <c r="C186" s="222">
        <f t="shared" si="156"/>
        <v>0</v>
      </c>
      <c r="D186" s="150">
        <v>2</v>
      </c>
      <c r="E186" s="157">
        <f t="shared" si="146"/>
        <v>0</v>
      </c>
      <c r="F186" s="223">
        <f t="shared" si="170"/>
        <v>0</v>
      </c>
      <c r="G186" s="150">
        <v>52</v>
      </c>
      <c r="I186" s="287">
        <v>39.29</v>
      </c>
      <c r="J186" s="154">
        <f t="shared" si="157"/>
        <v>0</v>
      </c>
      <c r="K186" s="154">
        <f t="shared" si="158"/>
        <v>0</v>
      </c>
      <c r="L186" s="199">
        <f t="shared" si="159"/>
        <v>290</v>
      </c>
      <c r="M186" s="151">
        <f t="shared" si="160"/>
        <v>293.41816376798641</v>
      </c>
      <c r="N186" s="225">
        <f t="shared" si="161"/>
        <v>0</v>
      </c>
      <c r="O186" s="329">
        <f t="shared" si="151"/>
        <v>0</v>
      </c>
      <c r="Q186" s="177">
        <f t="shared" si="162"/>
        <v>0.91399758013727617</v>
      </c>
      <c r="R186" s="201"/>
      <c r="S186" s="201">
        <f t="shared" si="153"/>
        <v>2.3855336841582905E-2</v>
      </c>
      <c r="T186" s="202">
        <f t="shared" si="163"/>
        <v>0.93785291697885909</v>
      </c>
      <c r="V186" s="201">
        <f t="shared" si="164"/>
        <v>40.227852916978861</v>
      </c>
      <c r="W186" s="203">
        <f t="shared" si="165"/>
        <v>0</v>
      </c>
      <c r="X186" s="203">
        <f t="shared" si="166"/>
        <v>0</v>
      </c>
      <c r="Y186" s="204">
        <f t="shared" si="167"/>
        <v>0</v>
      </c>
      <c r="AA186" s="205">
        <f t="shared" si="168"/>
        <v>0</v>
      </c>
      <c r="AB186" s="206">
        <f t="shared" si="169"/>
        <v>2.3870015703203462E-2</v>
      </c>
    </row>
    <row r="187" spans="1:28" ht="12">
      <c r="A187" s="221" t="s">
        <v>243</v>
      </c>
      <c r="B187" s="209"/>
      <c r="C187" s="222">
        <f t="shared" si="156"/>
        <v>0</v>
      </c>
      <c r="D187" s="150">
        <v>2</v>
      </c>
      <c r="E187" s="157">
        <f t="shared" si="146"/>
        <v>0</v>
      </c>
      <c r="F187" s="223">
        <f t="shared" si="170"/>
        <v>0</v>
      </c>
      <c r="G187" s="150">
        <v>52</v>
      </c>
      <c r="I187" s="287">
        <v>39.29</v>
      </c>
      <c r="J187" s="154">
        <f t="shared" si="157"/>
        <v>0</v>
      </c>
      <c r="K187" s="154">
        <f t="shared" si="158"/>
        <v>0</v>
      </c>
      <c r="L187" s="199">
        <f t="shared" si="159"/>
        <v>290</v>
      </c>
      <c r="M187" s="151">
        <f t="shared" si="160"/>
        <v>293.41816376798641</v>
      </c>
      <c r="N187" s="225">
        <f t="shared" si="161"/>
        <v>0</v>
      </c>
      <c r="O187" s="329">
        <f t="shared" si="151"/>
        <v>0</v>
      </c>
      <c r="Q187" s="177">
        <f t="shared" si="162"/>
        <v>0.91399758013727617</v>
      </c>
      <c r="R187" s="201"/>
      <c r="S187" s="201">
        <f t="shared" si="153"/>
        <v>2.3855336841582905E-2</v>
      </c>
      <c r="T187" s="202">
        <f t="shared" si="163"/>
        <v>0.93785291697885909</v>
      </c>
      <c r="V187" s="201">
        <f t="shared" si="164"/>
        <v>40.227852916978861</v>
      </c>
      <c r="W187" s="203">
        <f t="shared" si="165"/>
        <v>0</v>
      </c>
      <c r="X187" s="203">
        <f t="shared" si="166"/>
        <v>0</v>
      </c>
      <c r="Y187" s="204">
        <f t="shared" si="167"/>
        <v>0</v>
      </c>
      <c r="AA187" s="205">
        <f t="shared" si="168"/>
        <v>0</v>
      </c>
      <c r="AB187" s="206">
        <f t="shared" si="169"/>
        <v>2.3870015703203462E-2</v>
      </c>
    </row>
    <row r="188" spans="1:28" ht="12">
      <c r="A188" s="239" t="str">
        <f>'Tariff Changes'!$A$56</f>
        <v>2 Yard Special</v>
      </c>
      <c r="B188" s="209"/>
      <c r="C188" s="222">
        <f t="shared" si="156"/>
        <v>0</v>
      </c>
      <c r="D188" s="150">
        <v>2</v>
      </c>
      <c r="E188" s="157">
        <f t="shared" si="146"/>
        <v>0</v>
      </c>
      <c r="F188" s="209"/>
      <c r="G188" s="150">
        <v>52</v>
      </c>
      <c r="I188" s="287">
        <v>43.27</v>
      </c>
      <c r="J188" s="154">
        <f t="shared" si="157"/>
        <v>0</v>
      </c>
      <c r="K188" s="154">
        <f t="shared" si="158"/>
        <v>0</v>
      </c>
      <c r="L188" s="199">
        <f t="shared" si="159"/>
        <v>290</v>
      </c>
      <c r="M188" s="151">
        <f t="shared" si="160"/>
        <v>293.41816376798641</v>
      </c>
      <c r="N188" s="225">
        <f t="shared" si="161"/>
        <v>0</v>
      </c>
      <c r="O188" s="329">
        <f t="shared" si="151"/>
        <v>0</v>
      </c>
      <c r="Q188" s="177">
        <f t="shared" si="162"/>
        <v>0.91399758013727617</v>
      </c>
      <c r="R188" s="201"/>
      <c r="S188" s="201">
        <f t="shared" si="153"/>
        <v>2.3855336841582905E-2</v>
      </c>
      <c r="T188" s="202">
        <f t="shared" si="163"/>
        <v>0.93785291697885909</v>
      </c>
      <c r="V188" s="201">
        <f t="shared" si="164"/>
        <v>44.207852916978865</v>
      </c>
      <c r="W188" s="203">
        <f t="shared" si="165"/>
        <v>0</v>
      </c>
      <c r="X188" s="203">
        <f t="shared" si="166"/>
        <v>0</v>
      </c>
      <c r="Y188" s="204">
        <f t="shared" si="167"/>
        <v>0</v>
      </c>
      <c r="AA188" s="205">
        <f t="shared" si="168"/>
        <v>0</v>
      </c>
      <c r="AB188" s="206">
        <f t="shared" si="169"/>
        <v>2.1674437646842293E-2</v>
      </c>
    </row>
    <row r="189" spans="1:28" ht="12">
      <c r="A189" s="239" t="str">
        <f>'Tariff Changes'!A64</f>
        <v>2 Yard Temp</v>
      </c>
      <c r="B189" s="209"/>
      <c r="C189" s="222">
        <f t="shared" si="156"/>
        <v>0</v>
      </c>
      <c r="D189" s="150">
        <v>2</v>
      </c>
      <c r="E189" s="157">
        <f t="shared" si="146"/>
        <v>0</v>
      </c>
      <c r="F189" s="209"/>
      <c r="G189" s="150">
        <v>52</v>
      </c>
      <c r="I189" s="287">
        <v>43.27</v>
      </c>
      <c r="J189" s="154">
        <f t="shared" si="157"/>
        <v>0</v>
      </c>
      <c r="K189" s="154">
        <f t="shared" si="158"/>
        <v>0</v>
      </c>
      <c r="L189" s="199">
        <f t="shared" si="159"/>
        <v>290</v>
      </c>
      <c r="M189" s="151">
        <f t="shared" si="160"/>
        <v>293.41816376798641</v>
      </c>
      <c r="N189" s="225">
        <f t="shared" si="161"/>
        <v>0</v>
      </c>
      <c r="O189" s="329">
        <f t="shared" si="151"/>
        <v>0</v>
      </c>
      <c r="Q189" s="177">
        <f t="shared" si="162"/>
        <v>0.91399758013727617</v>
      </c>
      <c r="R189" s="201"/>
      <c r="S189" s="201">
        <f t="shared" si="153"/>
        <v>2.3855336841582905E-2</v>
      </c>
      <c r="T189" s="202">
        <f t="shared" si="163"/>
        <v>0.93785291697885909</v>
      </c>
      <c r="V189" s="201">
        <f t="shared" si="164"/>
        <v>44.207852916978865</v>
      </c>
      <c r="W189" s="203">
        <f t="shared" si="165"/>
        <v>0</v>
      </c>
      <c r="X189" s="203">
        <f t="shared" si="166"/>
        <v>0</v>
      </c>
      <c r="Y189" s="204">
        <f t="shared" si="167"/>
        <v>0</v>
      </c>
      <c r="AA189" s="205">
        <f t="shared" si="168"/>
        <v>0</v>
      </c>
      <c r="AB189" s="206">
        <f t="shared" si="169"/>
        <v>2.1674437646842293E-2</v>
      </c>
    </row>
    <row r="190" spans="1:28" ht="12">
      <c r="A190" s="221" t="s">
        <v>244</v>
      </c>
      <c r="B190" s="209"/>
      <c r="C190" s="222">
        <f t="shared" si="156"/>
        <v>0</v>
      </c>
      <c r="D190" s="150">
        <f>3*3.5</f>
        <v>10.5</v>
      </c>
      <c r="E190" s="157">
        <f t="shared" si="146"/>
        <v>0</v>
      </c>
      <c r="F190" s="209">
        <f t="shared" si="170"/>
        <v>0</v>
      </c>
      <c r="G190" s="150">
        <v>52</v>
      </c>
      <c r="I190" s="287">
        <v>247.79</v>
      </c>
      <c r="J190" s="154">
        <f t="shared" si="157"/>
        <v>0</v>
      </c>
      <c r="K190" s="154">
        <f t="shared" si="158"/>
        <v>0</v>
      </c>
      <c r="L190" s="199">
        <f t="shared" si="159"/>
        <v>1522.5</v>
      </c>
      <c r="M190" s="151">
        <f t="shared" si="160"/>
        <v>1540.4453597819288</v>
      </c>
      <c r="N190" s="225">
        <f t="shared" si="161"/>
        <v>0</v>
      </c>
      <c r="O190" s="329">
        <f t="shared" si="151"/>
        <v>0</v>
      </c>
      <c r="Q190" s="177">
        <f t="shared" si="162"/>
        <v>4.7984872957207001</v>
      </c>
      <c r="R190" s="201"/>
      <c r="S190" s="201">
        <f t="shared" ref="S190:S221" si="202">Q190*$U$12</f>
        <v>0.12524051841831027</v>
      </c>
      <c r="T190" s="202">
        <f t="shared" si="163"/>
        <v>4.92372781413901</v>
      </c>
      <c r="V190" s="201">
        <f t="shared" si="164"/>
        <v>252.71372781413899</v>
      </c>
      <c r="W190" s="203">
        <f t="shared" si="165"/>
        <v>0</v>
      </c>
      <c r="X190" s="203">
        <f t="shared" si="166"/>
        <v>0</v>
      </c>
      <c r="Y190" s="204">
        <f t="shared" si="167"/>
        <v>0</v>
      </c>
      <c r="AA190" s="205">
        <f t="shared" si="168"/>
        <v>0</v>
      </c>
      <c r="AB190" s="206">
        <f t="shared" si="169"/>
        <v>1.9870567069449896E-2</v>
      </c>
    </row>
    <row r="191" spans="1:28" s="324" customFormat="1" ht="12">
      <c r="A191" s="337" t="s">
        <v>310</v>
      </c>
      <c r="B191" s="336"/>
      <c r="C191" s="338">
        <f t="shared" ref="C191" si="203">B191*4.3333</f>
        <v>0</v>
      </c>
      <c r="D191" s="322">
        <f>3*3.5</f>
        <v>10.5</v>
      </c>
      <c r="E191" s="326">
        <f t="shared" ref="E191" si="204">C191*D191</f>
        <v>0</v>
      </c>
      <c r="F191" s="336">
        <f t="shared" ref="F191" si="205">B191</f>
        <v>0</v>
      </c>
      <c r="G191" s="322">
        <v>52</v>
      </c>
      <c r="H191" s="322"/>
      <c r="I191" s="287">
        <v>247.79</v>
      </c>
      <c r="J191" s="325">
        <f t="shared" ref="J191" si="206">+C191*I191</f>
        <v>0</v>
      </c>
      <c r="K191" s="325">
        <f t="shared" ref="K191" si="207">J191*12</f>
        <v>0</v>
      </c>
      <c r="L191" s="328">
        <f t="shared" ref="L191" si="208">+D191*L$16</f>
        <v>1522.5</v>
      </c>
      <c r="M191" s="323">
        <f t="shared" ref="M191" si="209">L191*$O$5</f>
        <v>1540.4453597819288</v>
      </c>
      <c r="N191" s="340">
        <f t="shared" ref="N191" si="210">ROUND((C191*L191*12)/2000,2)</f>
        <v>0</v>
      </c>
      <c r="O191" s="329">
        <f t="shared" si="151"/>
        <v>0</v>
      </c>
      <c r="P191" s="322"/>
      <c r="Q191" s="327">
        <f t="shared" ref="Q191" si="211">M191*$R$12</f>
        <v>4.7984872957207001</v>
      </c>
      <c r="R191" s="330"/>
      <c r="S191" s="330">
        <f t="shared" si="202"/>
        <v>0.12524051841831027</v>
      </c>
      <c r="T191" s="331">
        <f t="shared" ref="T191" si="212">+Q191+S191</f>
        <v>4.92372781413901</v>
      </c>
      <c r="U191" s="322"/>
      <c r="V191" s="330">
        <f t="shared" ref="V191" si="213">I191+T191</f>
        <v>252.71372781413899</v>
      </c>
      <c r="W191" s="332">
        <f t="shared" ref="W191" si="214">C191*V191</f>
        <v>0</v>
      </c>
      <c r="X191" s="332">
        <f t="shared" ref="X191" si="215">W191-J191</f>
        <v>0</v>
      </c>
      <c r="Y191" s="333">
        <f t="shared" ref="Y191" si="216">X191*12</f>
        <v>0</v>
      </c>
      <c r="Z191" s="322"/>
      <c r="AA191" s="334">
        <f t="shared" ref="AA191" si="217">O191*$R$11</f>
        <v>0</v>
      </c>
      <c r="AB191" s="335">
        <f t="shared" ref="AB191" si="218">IF(I191=0,"",V191/I191-1)</f>
        <v>1.9870567069449896E-2</v>
      </c>
    </row>
    <row r="192" spans="1:28" ht="12">
      <c r="A192" s="221" t="s">
        <v>245</v>
      </c>
      <c r="B192" s="209"/>
      <c r="C192" s="222">
        <f t="shared" si="156"/>
        <v>0</v>
      </c>
      <c r="D192" s="150">
        <f>3*5</f>
        <v>15</v>
      </c>
      <c r="E192" s="157">
        <f t="shared" si="146"/>
        <v>0</v>
      </c>
      <c r="F192" s="209">
        <f>B192</f>
        <v>0</v>
      </c>
      <c r="G192" s="150">
        <v>52</v>
      </c>
      <c r="I192" s="287">
        <v>297.93</v>
      </c>
      <c r="J192" s="154">
        <f t="shared" si="157"/>
        <v>0</v>
      </c>
      <c r="K192" s="154">
        <f t="shared" si="158"/>
        <v>0</v>
      </c>
      <c r="L192" s="199">
        <f t="shared" si="159"/>
        <v>2175</v>
      </c>
      <c r="M192" s="151">
        <f t="shared" si="160"/>
        <v>2200.6362282598984</v>
      </c>
      <c r="N192" s="225">
        <f t="shared" si="161"/>
        <v>0</v>
      </c>
      <c r="O192" s="329">
        <f t="shared" si="151"/>
        <v>0</v>
      </c>
      <c r="Q192" s="177">
        <f t="shared" si="162"/>
        <v>6.8549818510295726</v>
      </c>
      <c r="R192" s="201"/>
      <c r="S192" s="201">
        <f t="shared" si="202"/>
        <v>0.17891502631187184</v>
      </c>
      <c r="T192" s="202">
        <f t="shared" si="163"/>
        <v>7.0338968773414443</v>
      </c>
      <c r="V192" s="201">
        <f t="shared" si="164"/>
        <v>304.96389687734143</v>
      </c>
      <c r="W192" s="203">
        <f t="shared" si="165"/>
        <v>0</v>
      </c>
      <c r="X192" s="203">
        <f t="shared" si="166"/>
        <v>0</v>
      </c>
      <c r="Y192" s="204">
        <f t="shared" si="167"/>
        <v>0</v>
      </c>
      <c r="AA192" s="205">
        <f t="shared" si="168"/>
        <v>0</v>
      </c>
      <c r="AB192" s="206">
        <f t="shared" si="169"/>
        <v>2.3609226587928189E-2</v>
      </c>
    </row>
    <row r="193" spans="1:28" s="324" customFormat="1" ht="12">
      <c r="A193" s="337" t="s">
        <v>316</v>
      </c>
      <c r="B193" s="336"/>
      <c r="C193" s="338">
        <f t="shared" ref="C193" si="219">B193*4.3333</f>
        <v>0</v>
      </c>
      <c r="D193" s="322">
        <f>3*5</f>
        <v>15</v>
      </c>
      <c r="E193" s="326">
        <f t="shared" ref="E193" si="220">C193*D193</f>
        <v>0</v>
      </c>
      <c r="F193" s="336">
        <f>B193</f>
        <v>0</v>
      </c>
      <c r="G193" s="322">
        <v>52</v>
      </c>
      <c r="H193" s="322"/>
      <c r="I193" s="287">
        <v>297.93</v>
      </c>
      <c r="J193" s="325">
        <f t="shared" ref="J193" si="221">+C193*I193</f>
        <v>0</v>
      </c>
      <c r="K193" s="325">
        <f t="shared" ref="K193" si="222">J193*12</f>
        <v>0</v>
      </c>
      <c r="L193" s="328">
        <f t="shared" ref="L193" si="223">+D193*L$16</f>
        <v>2175</v>
      </c>
      <c r="M193" s="323">
        <f t="shared" ref="M193" si="224">L193*$O$5</f>
        <v>2200.6362282598984</v>
      </c>
      <c r="N193" s="340">
        <f t="shared" ref="N193" si="225">ROUND((C193*L193*12)/2000,2)</f>
        <v>0</v>
      </c>
      <c r="O193" s="329">
        <f t="shared" si="151"/>
        <v>0</v>
      </c>
      <c r="P193" s="322"/>
      <c r="Q193" s="327">
        <f t="shared" ref="Q193" si="226">M193*$R$12</f>
        <v>6.8549818510295726</v>
      </c>
      <c r="R193" s="330"/>
      <c r="S193" s="330">
        <f t="shared" si="202"/>
        <v>0.17891502631187184</v>
      </c>
      <c r="T193" s="331">
        <f t="shared" ref="T193" si="227">+Q193+S193</f>
        <v>7.0338968773414443</v>
      </c>
      <c r="U193" s="322"/>
      <c r="V193" s="330">
        <f t="shared" ref="V193" si="228">I193+T193</f>
        <v>304.96389687734143</v>
      </c>
      <c r="W193" s="332">
        <f t="shared" ref="W193" si="229">C193*V193</f>
        <v>0</v>
      </c>
      <c r="X193" s="332">
        <f t="shared" ref="X193" si="230">W193-J193</f>
        <v>0</v>
      </c>
      <c r="Y193" s="333">
        <f t="shared" ref="Y193" si="231">X193*12</f>
        <v>0</v>
      </c>
      <c r="Z193" s="322"/>
      <c r="AA193" s="334">
        <f t="shared" ref="AA193" si="232">O193*$R$11</f>
        <v>0</v>
      </c>
      <c r="AB193" s="335">
        <f t="shared" ref="AB193" si="233">IF(I193=0,"",V193/I193-1)</f>
        <v>2.3609226587928189E-2</v>
      </c>
    </row>
    <row r="194" spans="1:28" ht="12">
      <c r="A194" s="221" t="s">
        <v>137</v>
      </c>
      <c r="B194" s="209"/>
      <c r="C194" s="222">
        <f t="shared" si="156"/>
        <v>0</v>
      </c>
      <c r="D194" s="150">
        <v>3</v>
      </c>
      <c r="E194" s="157">
        <f t="shared" si="146"/>
        <v>0</v>
      </c>
      <c r="F194" s="209">
        <f t="shared" si="170"/>
        <v>0</v>
      </c>
      <c r="G194" s="150">
        <v>52</v>
      </c>
      <c r="I194" s="287">
        <v>60.94</v>
      </c>
      <c r="J194" s="154">
        <f t="shared" si="157"/>
        <v>0</v>
      </c>
      <c r="K194" s="154">
        <f t="shared" si="158"/>
        <v>0</v>
      </c>
      <c r="L194" s="199">
        <f t="shared" si="159"/>
        <v>435</v>
      </c>
      <c r="M194" s="151">
        <f t="shared" si="160"/>
        <v>440.12724565197965</v>
      </c>
      <c r="N194" s="225">
        <f t="shared" si="161"/>
        <v>0</v>
      </c>
      <c r="O194" s="329">
        <f t="shared" si="151"/>
        <v>0</v>
      </c>
      <c r="Q194" s="177">
        <f t="shared" si="162"/>
        <v>1.3709963702059145</v>
      </c>
      <c r="R194" s="201"/>
      <c r="S194" s="201">
        <f t="shared" si="202"/>
        <v>3.5783005262374365E-2</v>
      </c>
      <c r="T194" s="202">
        <f t="shared" si="163"/>
        <v>1.4067793754682889</v>
      </c>
      <c r="V194" s="201">
        <f t="shared" si="164"/>
        <v>62.346779375468287</v>
      </c>
      <c r="W194" s="203">
        <f t="shared" si="165"/>
        <v>0</v>
      </c>
      <c r="X194" s="203">
        <f t="shared" si="166"/>
        <v>0</v>
      </c>
      <c r="Y194" s="204">
        <f t="shared" si="167"/>
        <v>0</v>
      </c>
      <c r="AA194" s="205">
        <f t="shared" si="168"/>
        <v>0</v>
      </c>
      <c r="AB194" s="206">
        <f t="shared" si="169"/>
        <v>2.3084663200989342E-2</v>
      </c>
    </row>
    <row r="195" spans="1:28" ht="12">
      <c r="A195" s="221" t="s">
        <v>138</v>
      </c>
      <c r="B195" s="209">
        <v>39</v>
      </c>
      <c r="C195" s="222">
        <f t="shared" si="156"/>
        <v>168.99870000000001</v>
      </c>
      <c r="D195" s="150">
        <v>3</v>
      </c>
      <c r="E195" s="157">
        <v>468</v>
      </c>
      <c r="F195" s="209">
        <f t="shared" si="170"/>
        <v>39</v>
      </c>
      <c r="G195" s="150">
        <v>52</v>
      </c>
      <c r="I195" s="287">
        <v>55.63</v>
      </c>
      <c r="J195" s="154">
        <f t="shared" si="157"/>
        <v>9401.3976810000004</v>
      </c>
      <c r="K195" s="154">
        <f t="shared" si="158"/>
        <v>112816.772172</v>
      </c>
      <c r="L195" s="199">
        <f t="shared" si="159"/>
        <v>435</v>
      </c>
      <c r="M195" s="151">
        <f t="shared" si="160"/>
        <v>440.12724565197965</v>
      </c>
      <c r="N195" s="225">
        <f t="shared" si="161"/>
        <v>441.09</v>
      </c>
      <c r="O195" s="329">
        <f t="shared" si="151"/>
        <v>446.28902709110736</v>
      </c>
      <c r="Q195" s="177">
        <f t="shared" si="162"/>
        <v>1.3709963702059145</v>
      </c>
      <c r="R195" s="201"/>
      <c r="S195" s="201">
        <f t="shared" si="202"/>
        <v>3.5783005262374365E-2</v>
      </c>
      <c r="T195" s="202">
        <f t="shared" si="163"/>
        <v>1.4067793754682889</v>
      </c>
      <c r="V195" s="201">
        <f t="shared" si="164"/>
        <v>57.036779375468292</v>
      </c>
      <c r="W195" s="203">
        <f t="shared" si="165"/>
        <v>9639.1415666409539</v>
      </c>
      <c r="X195" s="203">
        <f t="shared" si="166"/>
        <v>237.74388564095352</v>
      </c>
      <c r="Y195" s="204">
        <f t="shared" si="167"/>
        <v>2852.9266276914423</v>
      </c>
      <c r="AA195" s="205">
        <f t="shared" si="168"/>
        <v>2780.3806387775944</v>
      </c>
      <c r="AB195" s="206">
        <f t="shared" si="169"/>
        <v>2.5288142647281964E-2</v>
      </c>
    </row>
    <row r="196" spans="1:28" ht="12">
      <c r="A196" s="221" t="s">
        <v>139</v>
      </c>
      <c r="B196" s="209"/>
      <c r="C196" s="222">
        <f t="shared" si="156"/>
        <v>0</v>
      </c>
      <c r="D196" s="150">
        <v>3</v>
      </c>
      <c r="E196" s="157">
        <f t="shared" si="146"/>
        <v>0</v>
      </c>
      <c r="F196" s="209">
        <f t="shared" si="170"/>
        <v>0</v>
      </c>
      <c r="G196" s="150">
        <v>52</v>
      </c>
      <c r="I196" s="287">
        <v>55.63</v>
      </c>
      <c r="J196" s="154">
        <f t="shared" si="157"/>
        <v>0</v>
      </c>
      <c r="K196" s="154">
        <f t="shared" si="158"/>
        <v>0</v>
      </c>
      <c r="L196" s="199">
        <f t="shared" si="159"/>
        <v>435</v>
      </c>
      <c r="M196" s="151">
        <f t="shared" si="160"/>
        <v>440.12724565197965</v>
      </c>
      <c r="N196" s="225">
        <f t="shared" si="161"/>
        <v>0</v>
      </c>
      <c r="O196" s="329">
        <f t="shared" si="151"/>
        <v>0</v>
      </c>
      <c r="Q196" s="177">
        <f t="shared" si="162"/>
        <v>1.3709963702059145</v>
      </c>
      <c r="R196" s="201"/>
      <c r="S196" s="201">
        <f t="shared" si="202"/>
        <v>3.5783005262374365E-2</v>
      </c>
      <c r="T196" s="202">
        <f t="shared" si="163"/>
        <v>1.4067793754682889</v>
      </c>
      <c r="V196" s="201">
        <f t="shared" si="164"/>
        <v>57.036779375468292</v>
      </c>
      <c r="W196" s="203">
        <f t="shared" si="165"/>
        <v>0</v>
      </c>
      <c r="X196" s="203">
        <f t="shared" si="166"/>
        <v>0</v>
      </c>
      <c r="Y196" s="204">
        <f t="shared" si="167"/>
        <v>0</v>
      </c>
      <c r="AA196" s="205">
        <f t="shared" si="168"/>
        <v>0</v>
      </c>
      <c r="AB196" s="206">
        <f t="shared" si="169"/>
        <v>2.5288142647281964E-2</v>
      </c>
    </row>
    <row r="197" spans="1:28" ht="12">
      <c r="A197" s="221" t="s">
        <v>140</v>
      </c>
      <c r="B197" s="209"/>
      <c r="C197" s="222">
        <f t="shared" si="156"/>
        <v>0</v>
      </c>
      <c r="D197" s="150">
        <v>3</v>
      </c>
      <c r="E197" s="157">
        <f t="shared" si="146"/>
        <v>0</v>
      </c>
      <c r="F197" s="209">
        <f t="shared" si="170"/>
        <v>0</v>
      </c>
      <c r="G197" s="150">
        <v>52</v>
      </c>
      <c r="I197" s="287">
        <v>55.63</v>
      </c>
      <c r="J197" s="154">
        <f t="shared" si="157"/>
        <v>0</v>
      </c>
      <c r="K197" s="154">
        <f t="shared" si="158"/>
        <v>0</v>
      </c>
      <c r="L197" s="199">
        <f t="shared" si="159"/>
        <v>435</v>
      </c>
      <c r="M197" s="151">
        <f t="shared" si="160"/>
        <v>440.12724565197965</v>
      </c>
      <c r="N197" s="225">
        <f t="shared" si="161"/>
        <v>0</v>
      </c>
      <c r="O197" s="329">
        <f t="shared" si="151"/>
        <v>0</v>
      </c>
      <c r="Q197" s="177">
        <f t="shared" si="162"/>
        <v>1.3709963702059145</v>
      </c>
      <c r="R197" s="201"/>
      <c r="S197" s="201">
        <f t="shared" si="202"/>
        <v>3.5783005262374365E-2</v>
      </c>
      <c r="T197" s="202">
        <f t="shared" si="163"/>
        <v>1.4067793754682889</v>
      </c>
      <c r="V197" s="201">
        <f t="shared" si="164"/>
        <v>57.036779375468292</v>
      </c>
      <c r="W197" s="203">
        <f t="shared" si="165"/>
        <v>0</v>
      </c>
      <c r="X197" s="203">
        <f t="shared" si="166"/>
        <v>0</v>
      </c>
      <c r="Y197" s="204">
        <f t="shared" si="167"/>
        <v>0</v>
      </c>
      <c r="AA197" s="205">
        <f t="shared" si="168"/>
        <v>0</v>
      </c>
      <c r="AB197" s="206">
        <f t="shared" si="169"/>
        <v>2.5288142647281964E-2</v>
      </c>
    </row>
    <row r="198" spans="1:28" ht="12">
      <c r="A198" s="221" t="s">
        <v>246</v>
      </c>
      <c r="B198" s="209"/>
      <c r="C198" s="222">
        <f t="shared" si="156"/>
        <v>0</v>
      </c>
      <c r="D198" s="150">
        <v>3</v>
      </c>
      <c r="E198" s="157">
        <f t="shared" si="146"/>
        <v>0</v>
      </c>
      <c r="F198" s="223">
        <f t="shared" si="170"/>
        <v>0</v>
      </c>
      <c r="G198" s="150">
        <v>52</v>
      </c>
      <c r="I198" s="287">
        <v>55.63</v>
      </c>
      <c r="J198" s="154">
        <f t="shared" si="157"/>
        <v>0</v>
      </c>
      <c r="K198" s="154">
        <f t="shared" si="158"/>
        <v>0</v>
      </c>
      <c r="L198" s="199">
        <f t="shared" si="159"/>
        <v>435</v>
      </c>
      <c r="M198" s="151">
        <f t="shared" si="160"/>
        <v>440.12724565197965</v>
      </c>
      <c r="N198" s="225">
        <f t="shared" si="161"/>
        <v>0</v>
      </c>
      <c r="O198" s="329">
        <f t="shared" si="151"/>
        <v>0</v>
      </c>
      <c r="Q198" s="177">
        <f t="shared" si="162"/>
        <v>1.3709963702059145</v>
      </c>
      <c r="R198" s="201"/>
      <c r="S198" s="201">
        <f t="shared" si="202"/>
        <v>3.5783005262374365E-2</v>
      </c>
      <c r="T198" s="202">
        <f t="shared" si="163"/>
        <v>1.4067793754682889</v>
      </c>
      <c r="V198" s="201">
        <f t="shared" si="164"/>
        <v>57.036779375468292</v>
      </c>
      <c r="W198" s="203">
        <f t="shared" si="165"/>
        <v>0</v>
      </c>
      <c r="X198" s="203">
        <f t="shared" si="166"/>
        <v>0</v>
      </c>
      <c r="Y198" s="204">
        <f t="shared" si="167"/>
        <v>0</v>
      </c>
      <c r="AA198" s="205">
        <f t="shared" si="168"/>
        <v>0</v>
      </c>
      <c r="AB198" s="206">
        <f t="shared" si="169"/>
        <v>2.5288142647281964E-2</v>
      </c>
    </row>
    <row r="199" spans="1:28" ht="12">
      <c r="A199" s="239" t="str">
        <f>'Tariff Changes'!$A$57</f>
        <v>3 Yard Special</v>
      </c>
      <c r="B199" s="209"/>
      <c r="C199" s="222">
        <f t="shared" si="156"/>
        <v>0</v>
      </c>
      <c r="D199" s="150">
        <v>3</v>
      </c>
      <c r="E199" s="157">
        <f t="shared" si="146"/>
        <v>0</v>
      </c>
      <c r="F199" s="339">
        <f t="shared" si="170"/>
        <v>0</v>
      </c>
      <c r="G199" s="150">
        <v>52</v>
      </c>
      <c r="I199" s="287">
        <v>60.94</v>
      </c>
      <c r="J199" s="154">
        <f t="shared" si="157"/>
        <v>0</v>
      </c>
      <c r="K199" s="154">
        <f t="shared" si="158"/>
        <v>0</v>
      </c>
      <c r="L199" s="199">
        <f t="shared" si="159"/>
        <v>435</v>
      </c>
      <c r="M199" s="151">
        <f t="shared" si="160"/>
        <v>440.12724565197965</v>
      </c>
      <c r="N199" s="225">
        <f t="shared" si="161"/>
        <v>0</v>
      </c>
      <c r="O199" s="329">
        <f t="shared" si="151"/>
        <v>0</v>
      </c>
      <c r="Q199" s="177">
        <f t="shared" si="162"/>
        <v>1.3709963702059145</v>
      </c>
      <c r="R199" s="201"/>
      <c r="S199" s="201">
        <f t="shared" si="202"/>
        <v>3.5783005262374365E-2</v>
      </c>
      <c r="T199" s="202">
        <f t="shared" si="163"/>
        <v>1.4067793754682889</v>
      </c>
      <c r="V199" s="201">
        <f t="shared" si="164"/>
        <v>62.346779375468287</v>
      </c>
      <c r="W199" s="203">
        <f t="shared" si="165"/>
        <v>0</v>
      </c>
      <c r="X199" s="203">
        <f t="shared" si="166"/>
        <v>0</v>
      </c>
      <c r="Y199" s="204">
        <f t="shared" si="167"/>
        <v>0</v>
      </c>
      <c r="AA199" s="205">
        <f t="shared" si="168"/>
        <v>0</v>
      </c>
      <c r="AB199" s="206">
        <f t="shared" si="169"/>
        <v>2.3084663200989342E-2</v>
      </c>
    </row>
    <row r="200" spans="1:28" ht="12">
      <c r="A200" s="239" t="str">
        <f>'Tariff Changes'!A65</f>
        <v>3 Yard Temp</v>
      </c>
      <c r="B200" s="209"/>
      <c r="C200" s="222">
        <f t="shared" si="156"/>
        <v>0</v>
      </c>
      <c r="D200" s="150">
        <v>3</v>
      </c>
      <c r="E200" s="157">
        <f t="shared" si="146"/>
        <v>0</v>
      </c>
      <c r="F200" s="339">
        <f t="shared" si="170"/>
        <v>0</v>
      </c>
      <c r="G200" s="150">
        <v>52</v>
      </c>
      <c r="I200" s="287">
        <v>60.94</v>
      </c>
      <c r="J200" s="154">
        <f t="shared" si="157"/>
        <v>0</v>
      </c>
      <c r="K200" s="154">
        <f t="shared" si="158"/>
        <v>0</v>
      </c>
      <c r="L200" s="199">
        <f t="shared" si="159"/>
        <v>435</v>
      </c>
      <c r="M200" s="151">
        <f t="shared" si="160"/>
        <v>440.12724565197965</v>
      </c>
      <c r="N200" s="225">
        <f t="shared" si="161"/>
        <v>0</v>
      </c>
      <c r="O200" s="329">
        <f t="shared" si="151"/>
        <v>0</v>
      </c>
      <c r="Q200" s="177">
        <f t="shared" si="162"/>
        <v>1.3709963702059145</v>
      </c>
      <c r="R200" s="201"/>
      <c r="S200" s="201">
        <f t="shared" si="202"/>
        <v>3.5783005262374365E-2</v>
      </c>
      <c r="T200" s="202">
        <f t="shared" si="163"/>
        <v>1.4067793754682889</v>
      </c>
      <c r="V200" s="201">
        <f t="shared" si="164"/>
        <v>62.346779375468287</v>
      </c>
      <c r="W200" s="203">
        <f t="shared" si="165"/>
        <v>0</v>
      </c>
      <c r="X200" s="203">
        <f t="shared" si="166"/>
        <v>0</v>
      </c>
      <c r="Y200" s="204">
        <f t="shared" si="167"/>
        <v>0</v>
      </c>
      <c r="AA200" s="205">
        <f t="shared" si="168"/>
        <v>0</v>
      </c>
      <c r="AB200" s="206">
        <f t="shared" si="169"/>
        <v>2.3084663200989342E-2</v>
      </c>
    </row>
    <row r="201" spans="1:28" ht="12">
      <c r="A201" s="221" t="s">
        <v>247</v>
      </c>
      <c r="B201" s="209"/>
      <c r="C201" s="222">
        <f t="shared" si="156"/>
        <v>0</v>
      </c>
      <c r="D201" s="150">
        <f>4*3.5</f>
        <v>14</v>
      </c>
      <c r="E201" s="157">
        <f t="shared" si="146"/>
        <v>0</v>
      </c>
      <c r="F201" s="209">
        <f t="shared" si="170"/>
        <v>0</v>
      </c>
      <c r="G201" s="150">
        <v>52</v>
      </c>
      <c r="I201" s="287">
        <v>307.01</v>
      </c>
      <c r="J201" s="154">
        <f t="shared" si="157"/>
        <v>0</v>
      </c>
      <c r="K201" s="154">
        <f t="shared" si="158"/>
        <v>0</v>
      </c>
      <c r="L201" s="199">
        <f t="shared" si="159"/>
        <v>2030</v>
      </c>
      <c r="M201" s="151">
        <f t="shared" si="160"/>
        <v>2053.9271463759051</v>
      </c>
      <c r="N201" s="225">
        <f t="shared" si="161"/>
        <v>0</v>
      </c>
      <c r="O201" s="329">
        <f t="shared" si="151"/>
        <v>0</v>
      </c>
      <c r="Q201" s="177">
        <f t="shared" si="162"/>
        <v>6.3979830609609341</v>
      </c>
      <c r="R201" s="201"/>
      <c r="S201" s="201">
        <f t="shared" si="202"/>
        <v>0.16698735789108038</v>
      </c>
      <c r="T201" s="202">
        <f t="shared" si="163"/>
        <v>6.5649704188520142</v>
      </c>
      <c r="V201" s="201">
        <f t="shared" si="164"/>
        <v>313.57497041885199</v>
      </c>
      <c r="W201" s="203">
        <f t="shared" si="165"/>
        <v>0</v>
      </c>
      <c r="X201" s="203">
        <f t="shared" si="166"/>
        <v>0</v>
      </c>
      <c r="Y201" s="204">
        <f t="shared" si="167"/>
        <v>0</v>
      </c>
      <c r="AA201" s="205">
        <f t="shared" si="168"/>
        <v>0</v>
      </c>
      <c r="AB201" s="206">
        <f t="shared" si="169"/>
        <v>2.1383571932028334E-2</v>
      </c>
    </row>
    <row r="202" spans="1:28" s="324" customFormat="1" ht="12">
      <c r="A202" s="337" t="s">
        <v>311</v>
      </c>
      <c r="B202" s="336"/>
      <c r="C202" s="338">
        <f t="shared" ref="C202" si="234">B202*4.3333</f>
        <v>0</v>
      </c>
      <c r="D202" s="322">
        <f>4*3.5</f>
        <v>14</v>
      </c>
      <c r="E202" s="326">
        <f t="shared" ref="E202" si="235">C202*D202</f>
        <v>0</v>
      </c>
      <c r="F202" s="336">
        <f t="shared" ref="F202" si="236">B202</f>
        <v>0</v>
      </c>
      <c r="G202" s="322">
        <v>52</v>
      </c>
      <c r="H202" s="322"/>
      <c r="I202" s="287">
        <v>307.01</v>
      </c>
      <c r="J202" s="325">
        <f t="shared" ref="J202" si="237">+C202*I202</f>
        <v>0</v>
      </c>
      <c r="K202" s="325">
        <f t="shared" ref="K202" si="238">J202*12</f>
        <v>0</v>
      </c>
      <c r="L202" s="328">
        <f t="shared" ref="L202" si="239">+D202*L$16</f>
        <v>2030</v>
      </c>
      <c r="M202" s="323">
        <f t="shared" ref="M202" si="240">L202*$O$5</f>
        <v>2053.9271463759051</v>
      </c>
      <c r="N202" s="340">
        <f t="shared" ref="N202" si="241">ROUND((C202*L202*12)/2000,2)</f>
        <v>0</v>
      </c>
      <c r="O202" s="329">
        <f t="shared" si="151"/>
        <v>0</v>
      </c>
      <c r="P202" s="322"/>
      <c r="Q202" s="327">
        <f t="shared" ref="Q202" si="242">M202*$R$12</f>
        <v>6.3979830609609341</v>
      </c>
      <c r="R202" s="330"/>
      <c r="S202" s="330">
        <f t="shared" si="202"/>
        <v>0.16698735789108038</v>
      </c>
      <c r="T202" s="331">
        <f t="shared" ref="T202" si="243">+Q202+S202</f>
        <v>6.5649704188520142</v>
      </c>
      <c r="U202" s="322"/>
      <c r="V202" s="330">
        <f t="shared" ref="V202" si="244">I202+T202</f>
        <v>313.57497041885199</v>
      </c>
      <c r="W202" s="332">
        <f t="shared" ref="W202" si="245">C202*V202</f>
        <v>0</v>
      </c>
      <c r="X202" s="332">
        <f t="shared" ref="X202" si="246">W202-J202</f>
        <v>0</v>
      </c>
      <c r="Y202" s="333">
        <f t="shared" ref="Y202" si="247">X202*12</f>
        <v>0</v>
      </c>
      <c r="Z202" s="322"/>
      <c r="AA202" s="334">
        <f t="shared" ref="AA202" si="248">O202*$R$11</f>
        <v>0</v>
      </c>
      <c r="AB202" s="335">
        <f t="shared" ref="AB202" si="249">IF(I202=0,"",V202/I202-1)</f>
        <v>2.1383571932028334E-2</v>
      </c>
    </row>
    <row r="203" spans="1:28" ht="12">
      <c r="A203" s="221" t="s">
        <v>248</v>
      </c>
      <c r="B203" s="209"/>
      <c r="C203" s="222">
        <f t="shared" si="156"/>
        <v>0</v>
      </c>
      <c r="D203" s="150">
        <f>4*5</f>
        <v>20</v>
      </c>
      <c r="E203" s="157">
        <f t="shared" si="146"/>
        <v>0</v>
      </c>
      <c r="F203" s="209">
        <f t="shared" si="170"/>
        <v>0</v>
      </c>
      <c r="G203" s="150">
        <v>52</v>
      </c>
      <c r="I203" s="287">
        <v>376.02</v>
      </c>
      <c r="J203" s="154">
        <f t="shared" si="157"/>
        <v>0</v>
      </c>
      <c r="K203" s="154">
        <f t="shared" si="158"/>
        <v>0</v>
      </c>
      <c r="L203" s="199">
        <f t="shared" si="159"/>
        <v>2900</v>
      </c>
      <c r="M203" s="151">
        <f t="shared" si="160"/>
        <v>2934.1816376798643</v>
      </c>
      <c r="N203" s="225">
        <f t="shared" si="161"/>
        <v>0</v>
      </c>
      <c r="O203" s="329">
        <f t="shared" si="151"/>
        <v>0</v>
      </c>
      <c r="Q203" s="177">
        <f t="shared" si="162"/>
        <v>9.1399758013727617</v>
      </c>
      <c r="R203" s="201"/>
      <c r="S203" s="201">
        <f t="shared" si="202"/>
        <v>0.23855336841582905</v>
      </c>
      <c r="T203" s="202">
        <f t="shared" si="163"/>
        <v>9.3785291697885906</v>
      </c>
      <c r="V203" s="201">
        <f t="shared" si="164"/>
        <v>385.39852916978856</v>
      </c>
      <c r="W203" s="203">
        <f t="shared" si="165"/>
        <v>0</v>
      </c>
      <c r="X203" s="203">
        <f t="shared" si="166"/>
        <v>0</v>
      </c>
      <c r="Y203" s="204">
        <f t="shared" si="167"/>
        <v>0</v>
      </c>
      <c r="AA203" s="205">
        <f t="shared" si="168"/>
        <v>0</v>
      </c>
      <c r="AB203" s="206">
        <f t="shared" si="169"/>
        <v>2.4941570048903294E-2</v>
      </c>
    </row>
    <row r="204" spans="1:28" s="324" customFormat="1" ht="12">
      <c r="A204" s="337" t="s">
        <v>317</v>
      </c>
      <c r="B204" s="336"/>
      <c r="C204" s="338">
        <f t="shared" ref="C204" si="250">B204*4.3333</f>
        <v>0</v>
      </c>
      <c r="D204" s="322">
        <f>4*5</f>
        <v>20</v>
      </c>
      <c r="E204" s="326">
        <f t="shared" ref="E204" si="251">C204*D204</f>
        <v>0</v>
      </c>
      <c r="F204" s="336">
        <f t="shared" ref="F204" si="252">B204</f>
        <v>0</v>
      </c>
      <c r="G204" s="322">
        <v>52</v>
      </c>
      <c r="H204" s="322"/>
      <c r="I204" s="287">
        <v>376.02</v>
      </c>
      <c r="J204" s="325">
        <f t="shared" ref="J204" si="253">+C204*I204</f>
        <v>0</v>
      </c>
      <c r="K204" s="325">
        <f t="shared" ref="K204" si="254">J204*12</f>
        <v>0</v>
      </c>
      <c r="L204" s="328">
        <f t="shared" ref="L204" si="255">+D204*L$16</f>
        <v>2900</v>
      </c>
      <c r="M204" s="323">
        <f t="shared" ref="M204" si="256">L204*$O$5</f>
        <v>2934.1816376798643</v>
      </c>
      <c r="N204" s="340">
        <f t="shared" ref="N204" si="257">ROUND((C204*L204*12)/2000,2)</f>
        <v>0</v>
      </c>
      <c r="O204" s="329">
        <f t="shared" si="151"/>
        <v>0</v>
      </c>
      <c r="P204" s="322"/>
      <c r="Q204" s="327">
        <f t="shared" ref="Q204" si="258">M204*$R$12</f>
        <v>9.1399758013727617</v>
      </c>
      <c r="R204" s="330"/>
      <c r="S204" s="330">
        <f t="shared" si="202"/>
        <v>0.23855336841582905</v>
      </c>
      <c r="T204" s="331">
        <f t="shared" ref="T204" si="259">+Q204+S204</f>
        <v>9.3785291697885906</v>
      </c>
      <c r="U204" s="322"/>
      <c r="V204" s="330">
        <f t="shared" ref="V204" si="260">I204+T204</f>
        <v>385.39852916978856</v>
      </c>
      <c r="W204" s="332">
        <f t="shared" ref="W204" si="261">C204*V204</f>
        <v>0</v>
      </c>
      <c r="X204" s="332">
        <f t="shared" ref="X204" si="262">W204-J204</f>
        <v>0</v>
      </c>
      <c r="Y204" s="333">
        <f t="shared" ref="Y204" si="263">X204*12</f>
        <v>0</v>
      </c>
      <c r="Z204" s="322"/>
      <c r="AA204" s="334">
        <f t="shared" ref="AA204" si="264">O204*$R$11</f>
        <v>0</v>
      </c>
      <c r="AB204" s="335">
        <f t="shared" ref="AB204" si="265">IF(I204=0,"",V204/I204-1)</f>
        <v>2.4941570048903294E-2</v>
      </c>
    </row>
    <row r="205" spans="1:28" ht="12">
      <c r="A205" s="221" t="s">
        <v>141</v>
      </c>
      <c r="B205" s="209"/>
      <c r="C205" s="222">
        <f t="shared" si="156"/>
        <v>0</v>
      </c>
      <c r="D205" s="150">
        <v>4</v>
      </c>
      <c r="E205" s="157">
        <f t="shared" si="146"/>
        <v>0</v>
      </c>
      <c r="F205" s="209">
        <f t="shared" si="170"/>
        <v>0</v>
      </c>
      <c r="G205" s="150">
        <v>52</v>
      </c>
      <c r="I205" s="287">
        <v>79.62</v>
      </c>
      <c r="J205" s="154">
        <f t="shared" si="157"/>
        <v>0</v>
      </c>
      <c r="K205" s="154">
        <f t="shared" si="158"/>
        <v>0</v>
      </c>
      <c r="L205" s="199">
        <f t="shared" si="159"/>
        <v>580</v>
      </c>
      <c r="M205" s="151">
        <f t="shared" si="160"/>
        <v>586.83632753597283</v>
      </c>
      <c r="N205" s="225">
        <f t="shared" si="161"/>
        <v>0</v>
      </c>
      <c r="O205" s="329">
        <f t="shared" si="151"/>
        <v>0</v>
      </c>
      <c r="Q205" s="177">
        <f t="shared" si="162"/>
        <v>1.8279951602745523</v>
      </c>
      <c r="R205" s="201"/>
      <c r="S205" s="201">
        <f t="shared" si="202"/>
        <v>4.7710673683165811E-2</v>
      </c>
      <c r="T205" s="202">
        <f t="shared" si="163"/>
        <v>1.8757058339577182</v>
      </c>
      <c r="V205" s="201">
        <f t="shared" si="164"/>
        <v>81.495705833957729</v>
      </c>
      <c r="W205" s="203">
        <f t="shared" si="165"/>
        <v>0</v>
      </c>
      <c r="X205" s="203">
        <f t="shared" si="166"/>
        <v>0</v>
      </c>
      <c r="Y205" s="204">
        <f t="shared" si="167"/>
        <v>0</v>
      </c>
      <c r="AA205" s="205">
        <f t="shared" si="168"/>
        <v>0</v>
      </c>
      <c r="AB205" s="206">
        <f t="shared" si="169"/>
        <v>2.3558224490802804E-2</v>
      </c>
    </row>
    <row r="206" spans="1:28" ht="12">
      <c r="A206" s="221" t="s">
        <v>142</v>
      </c>
      <c r="B206" s="209">
        <v>69</v>
      </c>
      <c r="C206" s="222">
        <f t="shared" si="156"/>
        <v>298.99770000000001</v>
      </c>
      <c r="D206" s="150">
        <v>4</v>
      </c>
      <c r="E206" s="157">
        <v>832</v>
      </c>
      <c r="F206" s="209">
        <f t="shared" si="170"/>
        <v>69</v>
      </c>
      <c r="G206" s="150">
        <v>52</v>
      </c>
      <c r="I206" s="287">
        <v>74.319999999999993</v>
      </c>
      <c r="J206" s="154">
        <f t="shared" si="157"/>
        <v>22221.509063999998</v>
      </c>
      <c r="K206" s="154">
        <f t="shared" si="158"/>
        <v>266658.10876799998</v>
      </c>
      <c r="L206" s="199">
        <f t="shared" si="159"/>
        <v>580</v>
      </c>
      <c r="M206" s="151">
        <f t="shared" si="160"/>
        <v>586.83632753597283</v>
      </c>
      <c r="N206" s="225">
        <f t="shared" si="161"/>
        <v>1040.51</v>
      </c>
      <c r="O206" s="329">
        <f t="shared" si="151"/>
        <v>1052.7742537318193</v>
      </c>
      <c r="Q206" s="177">
        <f t="shared" si="162"/>
        <v>1.8279951602745523</v>
      </c>
      <c r="R206" s="201"/>
      <c r="S206" s="201">
        <f t="shared" si="202"/>
        <v>4.7710673683165811E-2</v>
      </c>
      <c r="T206" s="202">
        <f t="shared" si="163"/>
        <v>1.8757058339577182</v>
      </c>
      <c r="V206" s="201">
        <f t="shared" si="164"/>
        <v>76.195705833957717</v>
      </c>
      <c r="W206" s="203">
        <f t="shared" si="165"/>
        <v>22782.340794229942</v>
      </c>
      <c r="X206" s="203">
        <f t="shared" si="166"/>
        <v>560.83173022994379</v>
      </c>
      <c r="Y206" s="204">
        <f t="shared" si="167"/>
        <v>6729.9807627593254</v>
      </c>
      <c r="AA206" s="205">
        <f t="shared" si="168"/>
        <v>6558.7836007492233</v>
      </c>
      <c r="AB206" s="206">
        <f t="shared" si="169"/>
        <v>2.5238237808903774E-2</v>
      </c>
    </row>
    <row r="207" spans="1:28" ht="12">
      <c r="A207" s="221" t="s">
        <v>143</v>
      </c>
      <c r="B207" s="209"/>
      <c r="C207" s="222">
        <f t="shared" si="156"/>
        <v>0</v>
      </c>
      <c r="D207" s="150">
        <v>4</v>
      </c>
      <c r="E207" s="157">
        <f t="shared" si="146"/>
        <v>0</v>
      </c>
      <c r="F207" s="209">
        <f t="shared" si="170"/>
        <v>0</v>
      </c>
      <c r="G207" s="150">
        <v>52</v>
      </c>
      <c r="I207" s="287">
        <v>74.319999999999993</v>
      </c>
      <c r="J207" s="154">
        <f t="shared" si="157"/>
        <v>0</v>
      </c>
      <c r="K207" s="154">
        <f t="shared" si="158"/>
        <v>0</v>
      </c>
      <c r="L207" s="199">
        <f t="shared" si="159"/>
        <v>580</v>
      </c>
      <c r="M207" s="151">
        <f t="shared" si="160"/>
        <v>586.83632753597283</v>
      </c>
      <c r="N207" s="225">
        <f t="shared" si="161"/>
        <v>0</v>
      </c>
      <c r="O207" s="329">
        <f t="shared" si="151"/>
        <v>0</v>
      </c>
      <c r="Q207" s="177">
        <f t="shared" si="162"/>
        <v>1.8279951602745523</v>
      </c>
      <c r="R207" s="201"/>
      <c r="S207" s="201">
        <f t="shared" si="202"/>
        <v>4.7710673683165811E-2</v>
      </c>
      <c r="T207" s="202">
        <f t="shared" si="163"/>
        <v>1.8757058339577182</v>
      </c>
      <c r="V207" s="201">
        <f t="shared" si="164"/>
        <v>76.195705833957717</v>
      </c>
      <c r="W207" s="203">
        <f t="shared" si="165"/>
        <v>0</v>
      </c>
      <c r="X207" s="203">
        <f t="shared" si="166"/>
        <v>0</v>
      </c>
      <c r="Y207" s="204">
        <f t="shared" si="167"/>
        <v>0</v>
      </c>
      <c r="AA207" s="205">
        <f t="shared" si="168"/>
        <v>0</v>
      </c>
      <c r="AB207" s="206">
        <f t="shared" si="169"/>
        <v>2.5238237808903774E-2</v>
      </c>
    </row>
    <row r="208" spans="1:28" ht="12">
      <c r="A208" s="221" t="s">
        <v>144</v>
      </c>
      <c r="B208" s="209"/>
      <c r="C208" s="222">
        <f t="shared" si="156"/>
        <v>0</v>
      </c>
      <c r="D208" s="150">
        <v>4</v>
      </c>
      <c r="E208" s="157">
        <f t="shared" si="146"/>
        <v>0</v>
      </c>
      <c r="F208" s="209">
        <f t="shared" si="170"/>
        <v>0</v>
      </c>
      <c r="G208" s="150">
        <v>52</v>
      </c>
      <c r="I208" s="287">
        <v>74.319999999999993</v>
      </c>
      <c r="J208" s="154">
        <f t="shared" si="157"/>
        <v>0</v>
      </c>
      <c r="K208" s="154">
        <f t="shared" si="158"/>
        <v>0</v>
      </c>
      <c r="L208" s="199">
        <f t="shared" si="159"/>
        <v>580</v>
      </c>
      <c r="M208" s="151">
        <f t="shared" si="160"/>
        <v>586.83632753597283</v>
      </c>
      <c r="N208" s="225">
        <f t="shared" si="161"/>
        <v>0</v>
      </c>
      <c r="O208" s="329">
        <f t="shared" si="151"/>
        <v>0</v>
      </c>
      <c r="Q208" s="177">
        <f t="shared" si="162"/>
        <v>1.8279951602745523</v>
      </c>
      <c r="R208" s="201"/>
      <c r="S208" s="201">
        <f t="shared" si="202"/>
        <v>4.7710673683165811E-2</v>
      </c>
      <c r="T208" s="202">
        <f t="shared" si="163"/>
        <v>1.8757058339577182</v>
      </c>
      <c r="V208" s="201">
        <f t="shared" si="164"/>
        <v>76.195705833957717</v>
      </c>
      <c r="W208" s="203">
        <f t="shared" si="165"/>
        <v>0</v>
      </c>
      <c r="X208" s="203">
        <f t="shared" si="166"/>
        <v>0</v>
      </c>
      <c r="Y208" s="204">
        <f t="shared" si="167"/>
        <v>0</v>
      </c>
      <c r="AA208" s="205">
        <f t="shared" si="168"/>
        <v>0</v>
      </c>
      <c r="AB208" s="206">
        <f t="shared" si="169"/>
        <v>2.5238237808903774E-2</v>
      </c>
    </row>
    <row r="209" spans="1:28" ht="12">
      <c r="A209" s="221" t="s">
        <v>249</v>
      </c>
      <c r="B209" s="209"/>
      <c r="C209" s="222">
        <f t="shared" si="156"/>
        <v>0</v>
      </c>
      <c r="D209" s="150">
        <v>4</v>
      </c>
      <c r="E209" s="157">
        <f t="shared" si="146"/>
        <v>0</v>
      </c>
      <c r="F209" s="209">
        <f t="shared" si="170"/>
        <v>0</v>
      </c>
      <c r="G209" s="150">
        <v>52</v>
      </c>
      <c r="I209" s="287">
        <v>74.319999999999993</v>
      </c>
      <c r="J209" s="154">
        <f t="shared" si="157"/>
        <v>0</v>
      </c>
      <c r="K209" s="154">
        <f t="shared" si="158"/>
        <v>0</v>
      </c>
      <c r="L209" s="199">
        <f t="shared" si="159"/>
        <v>580</v>
      </c>
      <c r="M209" s="151">
        <f t="shared" si="160"/>
        <v>586.83632753597283</v>
      </c>
      <c r="N209" s="225">
        <f t="shared" si="161"/>
        <v>0</v>
      </c>
      <c r="O209" s="329">
        <f t="shared" si="151"/>
        <v>0</v>
      </c>
      <c r="Q209" s="177">
        <f t="shared" si="162"/>
        <v>1.8279951602745523</v>
      </c>
      <c r="R209" s="201"/>
      <c r="S209" s="201">
        <f t="shared" si="202"/>
        <v>4.7710673683165811E-2</v>
      </c>
      <c r="T209" s="202">
        <f t="shared" si="163"/>
        <v>1.8757058339577182</v>
      </c>
      <c r="V209" s="201">
        <f t="shared" si="164"/>
        <v>76.195705833957717</v>
      </c>
      <c r="W209" s="203">
        <f t="shared" si="165"/>
        <v>0</v>
      </c>
      <c r="X209" s="203">
        <f t="shared" si="166"/>
        <v>0</v>
      </c>
      <c r="Y209" s="204">
        <f t="shared" si="167"/>
        <v>0</v>
      </c>
      <c r="AA209" s="205">
        <f t="shared" si="168"/>
        <v>0</v>
      </c>
      <c r="AB209" s="206">
        <f t="shared" si="169"/>
        <v>2.5238237808903774E-2</v>
      </c>
    </row>
    <row r="210" spans="1:28" ht="12">
      <c r="A210" s="221" t="s">
        <v>250</v>
      </c>
      <c r="B210" s="209"/>
      <c r="C210" s="222">
        <f t="shared" si="156"/>
        <v>0</v>
      </c>
      <c r="D210" s="150">
        <v>4</v>
      </c>
      <c r="E210" s="157">
        <f t="shared" si="146"/>
        <v>0</v>
      </c>
      <c r="F210" s="223">
        <f t="shared" si="170"/>
        <v>0</v>
      </c>
      <c r="G210" s="150">
        <v>52</v>
      </c>
      <c r="I210" s="287">
        <v>74.319999999999993</v>
      </c>
      <c r="J210" s="154">
        <f t="shared" si="157"/>
        <v>0</v>
      </c>
      <c r="K210" s="154">
        <f t="shared" si="158"/>
        <v>0</v>
      </c>
      <c r="L210" s="199">
        <f t="shared" si="159"/>
        <v>580</v>
      </c>
      <c r="M210" s="151">
        <f t="shared" si="160"/>
        <v>586.83632753597283</v>
      </c>
      <c r="N210" s="225">
        <f t="shared" si="161"/>
        <v>0</v>
      </c>
      <c r="O210" s="329">
        <f t="shared" si="151"/>
        <v>0</v>
      </c>
      <c r="Q210" s="177">
        <f t="shared" si="162"/>
        <v>1.8279951602745523</v>
      </c>
      <c r="R210" s="201"/>
      <c r="S210" s="201">
        <f t="shared" si="202"/>
        <v>4.7710673683165811E-2</v>
      </c>
      <c r="T210" s="202">
        <f t="shared" si="163"/>
        <v>1.8757058339577182</v>
      </c>
      <c r="V210" s="201">
        <f t="shared" si="164"/>
        <v>76.195705833957717</v>
      </c>
      <c r="W210" s="203">
        <f t="shared" si="165"/>
        <v>0</v>
      </c>
      <c r="X210" s="203">
        <f t="shared" si="166"/>
        <v>0</v>
      </c>
      <c r="Y210" s="204">
        <f t="shared" si="167"/>
        <v>0</v>
      </c>
      <c r="AA210" s="205">
        <f t="shared" si="168"/>
        <v>0</v>
      </c>
      <c r="AB210" s="206">
        <f t="shared" si="169"/>
        <v>2.5238237808903774E-2</v>
      </c>
    </row>
    <row r="211" spans="1:28" ht="12">
      <c r="A211" s="239" t="str">
        <f>'Tariff Changes'!$A$58</f>
        <v>4 Yard Special</v>
      </c>
      <c r="B211" s="209"/>
      <c r="C211" s="222">
        <f t="shared" si="156"/>
        <v>0</v>
      </c>
      <c r="D211" s="150">
        <v>4</v>
      </c>
      <c r="E211" s="157">
        <f t="shared" si="146"/>
        <v>0</v>
      </c>
      <c r="F211" s="209"/>
      <c r="G211" s="150">
        <v>52</v>
      </c>
      <c r="I211" s="287">
        <v>79.62</v>
      </c>
      <c r="J211" s="154">
        <f t="shared" si="157"/>
        <v>0</v>
      </c>
      <c r="K211" s="154">
        <f t="shared" si="158"/>
        <v>0</v>
      </c>
      <c r="L211" s="199">
        <f t="shared" si="159"/>
        <v>580</v>
      </c>
      <c r="M211" s="151">
        <f t="shared" si="160"/>
        <v>586.83632753597283</v>
      </c>
      <c r="N211" s="225">
        <f t="shared" si="161"/>
        <v>0</v>
      </c>
      <c r="O211" s="329">
        <f t="shared" si="151"/>
        <v>0</v>
      </c>
      <c r="Q211" s="177">
        <f t="shared" si="162"/>
        <v>1.8279951602745523</v>
      </c>
      <c r="R211" s="201"/>
      <c r="S211" s="201">
        <f t="shared" si="202"/>
        <v>4.7710673683165811E-2</v>
      </c>
      <c r="T211" s="202">
        <f t="shared" si="163"/>
        <v>1.8757058339577182</v>
      </c>
      <c r="V211" s="201">
        <f t="shared" si="164"/>
        <v>81.495705833957729</v>
      </c>
      <c r="W211" s="203">
        <f t="shared" si="165"/>
        <v>0</v>
      </c>
      <c r="X211" s="203">
        <f t="shared" si="166"/>
        <v>0</v>
      </c>
      <c r="Y211" s="204">
        <f t="shared" si="167"/>
        <v>0</v>
      </c>
      <c r="AA211" s="205">
        <f t="shared" si="168"/>
        <v>0</v>
      </c>
      <c r="AB211" s="206">
        <f t="shared" si="169"/>
        <v>2.3558224490802804E-2</v>
      </c>
    </row>
    <row r="212" spans="1:28" ht="12">
      <c r="A212" s="239" t="str">
        <f>'Tariff Changes'!A66</f>
        <v>4 Yard Temp</v>
      </c>
      <c r="B212" s="209"/>
      <c r="C212" s="222">
        <f t="shared" si="156"/>
        <v>0</v>
      </c>
      <c r="D212" s="150">
        <v>4</v>
      </c>
      <c r="E212" s="157">
        <f t="shared" si="146"/>
        <v>0</v>
      </c>
      <c r="F212" s="209"/>
      <c r="G212" s="150">
        <v>52</v>
      </c>
      <c r="I212" s="287">
        <v>79.62</v>
      </c>
      <c r="J212" s="154">
        <f t="shared" si="157"/>
        <v>0</v>
      </c>
      <c r="K212" s="154">
        <f t="shared" si="158"/>
        <v>0</v>
      </c>
      <c r="L212" s="199">
        <f t="shared" si="159"/>
        <v>580</v>
      </c>
      <c r="M212" s="151">
        <f t="shared" si="160"/>
        <v>586.83632753597283</v>
      </c>
      <c r="N212" s="225">
        <f t="shared" si="161"/>
        <v>0</v>
      </c>
      <c r="O212" s="329">
        <f t="shared" si="151"/>
        <v>0</v>
      </c>
      <c r="Q212" s="177">
        <f t="shared" si="162"/>
        <v>1.8279951602745523</v>
      </c>
      <c r="R212" s="201"/>
      <c r="S212" s="201">
        <f t="shared" si="202"/>
        <v>4.7710673683165811E-2</v>
      </c>
      <c r="T212" s="202">
        <f t="shared" si="163"/>
        <v>1.8757058339577182</v>
      </c>
      <c r="V212" s="201">
        <f t="shared" si="164"/>
        <v>81.495705833957729</v>
      </c>
      <c r="W212" s="203">
        <f t="shared" si="165"/>
        <v>0</v>
      </c>
      <c r="X212" s="203">
        <f t="shared" si="166"/>
        <v>0</v>
      </c>
      <c r="Y212" s="204">
        <f t="shared" si="167"/>
        <v>0</v>
      </c>
      <c r="AA212" s="205">
        <f t="shared" si="168"/>
        <v>0</v>
      </c>
      <c r="AB212" s="206">
        <f t="shared" si="169"/>
        <v>2.3558224490802804E-2</v>
      </c>
    </row>
    <row r="213" spans="1:28" ht="12">
      <c r="A213" s="221" t="s">
        <v>251</v>
      </c>
      <c r="B213" s="209"/>
      <c r="C213" s="222">
        <f t="shared" si="156"/>
        <v>0</v>
      </c>
      <c r="D213" s="150">
        <f>5*3.5</f>
        <v>17.5</v>
      </c>
      <c r="E213" s="157">
        <f t="shared" si="146"/>
        <v>0</v>
      </c>
      <c r="F213" s="209">
        <f>B213</f>
        <v>0</v>
      </c>
      <c r="G213" s="150">
        <v>52</v>
      </c>
      <c r="I213" s="287">
        <v>351.57</v>
      </c>
      <c r="J213" s="154">
        <f t="shared" si="157"/>
        <v>0</v>
      </c>
      <c r="K213" s="154">
        <f t="shared" si="158"/>
        <v>0</v>
      </c>
      <c r="L213" s="199">
        <f t="shared" si="159"/>
        <v>2537.5</v>
      </c>
      <c r="M213" s="151">
        <f t="shared" si="160"/>
        <v>2567.4089329698813</v>
      </c>
      <c r="N213" s="225">
        <f t="shared" si="161"/>
        <v>0</v>
      </c>
      <c r="O213" s="329">
        <f t="shared" si="151"/>
        <v>0</v>
      </c>
      <c r="Q213" s="177">
        <f t="shared" si="162"/>
        <v>7.9974788262011671</v>
      </c>
      <c r="R213" s="201"/>
      <c r="S213" s="201">
        <f t="shared" si="202"/>
        <v>0.20873419736385046</v>
      </c>
      <c r="T213" s="202">
        <f t="shared" si="163"/>
        <v>8.2062130235650184</v>
      </c>
      <c r="V213" s="201">
        <f t="shared" si="164"/>
        <v>359.77621302356499</v>
      </c>
      <c r="W213" s="203">
        <f t="shared" si="165"/>
        <v>0</v>
      </c>
      <c r="X213" s="203">
        <f t="shared" si="166"/>
        <v>0</v>
      </c>
      <c r="Y213" s="204">
        <f t="shared" si="167"/>
        <v>0</v>
      </c>
      <c r="AA213" s="205">
        <f t="shared" si="168"/>
        <v>0</v>
      </c>
      <c r="AB213" s="206">
        <f t="shared" si="169"/>
        <v>2.3341619090266441E-2</v>
      </c>
    </row>
    <row r="214" spans="1:28" s="324" customFormat="1" ht="12">
      <c r="A214" s="337" t="s">
        <v>312</v>
      </c>
      <c r="B214" s="336"/>
      <c r="C214" s="338">
        <f t="shared" ref="C214" si="266">B214*4.3333</f>
        <v>0</v>
      </c>
      <c r="D214" s="322">
        <f>5*3.5</f>
        <v>17.5</v>
      </c>
      <c r="E214" s="326">
        <f t="shared" ref="E214" si="267">C214*D214</f>
        <v>0</v>
      </c>
      <c r="F214" s="336">
        <f>B214</f>
        <v>0</v>
      </c>
      <c r="G214" s="322">
        <v>52</v>
      </c>
      <c r="H214" s="322"/>
      <c r="I214" s="287">
        <v>351.57</v>
      </c>
      <c r="J214" s="325">
        <f t="shared" ref="J214" si="268">+C214*I214</f>
        <v>0</v>
      </c>
      <c r="K214" s="325">
        <f t="shared" ref="K214" si="269">J214*12</f>
        <v>0</v>
      </c>
      <c r="L214" s="328">
        <f t="shared" ref="L214" si="270">+D214*L$16</f>
        <v>2537.5</v>
      </c>
      <c r="M214" s="323">
        <f t="shared" ref="M214" si="271">L214*$O$5</f>
        <v>2567.4089329698813</v>
      </c>
      <c r="N214" s="340">
        <f t="shared" ref="N214" si="272">ROUND((C214*L214*12)/2000,2)</f>
        <v>0</v>
      </c>
      <c r="O214" s="329">
        <f t="shared" si="151"/>
        <v>0</v>
      </c>
      <c r="P214" s="322"/>
      <c r="Q214" s="327">
        <f t="shared" ref="Q214" si="273">M214*$R$12</f>
        <v>7.9974788262011671</v>
      </c>
      <c r="R214" s="330"/>
      <c r="S214" s="330">
        <f t="shared" si="202"/>
        <v>0.20873419736385046</v>
      </c>
      <c r="T214" s="331">
        <f t="shared" ref="T214" si="274">+Q214+S214</f>
        <v>8.2062130235650184</v>
      </c>
      <c r="U214" s="322"/>
      <c r="V214" s="330">
        <f t="shared" ref="V214" si="275">I214+T214</f>
        <v>359.77621302356499</v>
      </c>
      <c r="W214" s="332">
        <f t="shared" ref="W214" si="276">C214*V214</f>
        <v>0</v>
      </c>
      <c r="X214" s="332">
        <f t="shared" ref="X214" si="277">W214-J214</f>
        <v>0</v>
      </c>
      <c r="Y214" s="333">
        <f t="shared" ref="Y214" si="278">X214*12</f>
        <v>0</v>
      </c>
      <c r="Z214" s="322"/>
      <c r="AA214" s="334">
        <f t="shared" ref="AA214" si="279">O214*$R$11</f>
        <v>0</v>
      </c>
      <c r="AB214" s="335">
        <f t="shared" ref="AB214" si="280">IF(I214=0,"",V214/I214-1)</f>
        <v>2.3341619090266441E-2</v>
      </c>
    </row>
    <row r="215" spans="1:28" ht="12">
      <c r="A215" s="221" t="s">
        <v>252</v>
      </c>
      <c r="B215" s="209"/>
      <c r="C215" s="222">
        <f t="shared" si="156"/>
        <v>0</v>
      </c>
      <c r="D215" s="150">
        <f>5*5</f>
        <v>25</v>
      </c>
      <c r="E215" s="157">
        <f t="shared" si="146"/>
        <v>0</v>
      </c>
      <c r="F215" s="209">
        <f>B215</f>
        <v>0</v>
      </c>
      <c r="G215" s="150">
        <v>52</v>
      </c>
      <c r="I215" s="287">
        <v>430.44</v>
      </c>
      <c r="J215" s="154">
        <f t="shared" si="157"/>
        <v>0</v>
      </c>
      <c r="K215" s="154">
        <f t="shared" si="158"/>
        <v>0</v>
      </c>
      <c r="L215" s="199">
        <f t="shared" si="159"/>
        <v>3625</v>
      </c>
      <c r="M215" s="151">
        <f t="shared" si="160"/>
        <v>3667.7270470998305</v>
      </c>
      <c r="N215" s="225">
        <f t="shared" si="161"/>
        <v>0</v>
      </c>
      <c r="O215" s="329">
        <f t="shared" si="151"/>
        <v>0</v>
      </c>
      <c r="Q215" s="177">
        <f t="shared" si="162"/>
        <v>11.424969751715954</v>
      </c>
      <c r="R215" s="201"/>
      <c r="S215" s="201">
        <f t="shared" si="202"/>
        <v>0.29819171051978638</v>
      </c>
      <c r="T215" s="202">
        <f t="shared" si="163"/>
        <v>11.723161462235741</v>
      </c>
      <c r="V215" s="201">
        <f t="shared" si="164"/>
        <v>442.16316146223573</v>
      </c>
      <c r="W215" s="203">
        <f t="shared" si="165"/>
        <v>0</v>
      </c>
      <c r="X215" s="203">
        <f t="shared" si="166"/>
        <v>0</v>
      </c>
      <c r="Y215" s="204">
        <f t="shared" si="167"/>
        <v>0</v>
      </c>
      <c r="AA215" s="205">
        <f t="shared" si="168"/>
        <v>0</v>
      </c>
      <c r="AB215" s="206">
        <f t="shared" si="169"/>
        <v>2.7235297514719203E-2</v>
      </c>
    </row>
    <row r="216" spans="1:28" s="324" customFormat="1" ht="12">
      <c r="A216" s="337" t="s">
        <v>318</v>
      </c>
      <c r="B216" s="336"/>
      <c r="C216" s="338">
        <f t="shared" ref="C216" si="281">B216*4.3333</f>
        <v>0</v>
      </c>
      <c r="D216" s="322">
        <f>5*5</f>
        <v>25</v>
      </c>
      <c r="E216" s="326">
        <f t="shared" ref="E216" si="282">C216*D216</f>
        <v>0</v>
      </c>
      <c r="F216" s="336">
        <f>B216</f>
        <v>0</v>
      </c>
      <c r="G216" s="322">
        <v>52</v>
      </c>
      <c r="H216" s="322"/>
      <c r="I216" s="287">
        <v>430.44</v>
      </c>
      <c r="J216" s="325">
        <f t="shared" ref="J216" si="283">+C216*I216</f>
        <v>0</v>
      </c>
      <c r="K216" s="325">
        <f t="shared" ref="K216" si="284">J216*12</f>
        <v>0</v>
      </c>
      <c r="L216" s="328">
        <f t="shared" ref="L216" si="285">+D216*L$16</f>
        <v>3625</v>
      </c>
      <c r="M216" s="323">
        <f t="shared" ref="M216" si="286">L216*$O$5</f>
        <v>3667.7270470998305</v>
      </c>
      <c r="N216" s="340">
        <f t="shared" ref="N216" si="287">ROUND((C216*L216*12)/2000,2)</f>
        <v>0</v>
      </c>
      <c r="O216" s="329">
        <f t="shared" si="151"/>
        <v>0</v>
      </c>
      <c r="P216" s="322"/>
      <c r="Q216" s="327">
        <f t="shared" ref="Q216" si="288">M216*$R$12</f>
        <v>11.424969751715954</v>
      </c>
      <c r="R216" s="330"/>
      <c r="S216" s="330">
        <f t="shared" si="202"/>
        <v>0.29819171051978638</v>
      </c>
      <c r="T216" s="331">
        <f t="shared" ref="T216" si="289">+Q216+S216</f>
        <v>11.723161462235741</v>
      </c>
      <c r="U216" s="322"/>
      <c r="V216" s="330">
        <f t="shared" ref="V216" si="290">I216+T216</f>
        <v>442.16316146223573</v>
      </c>
      <c r="W216" s="332">
        <f t="shared" ref="W216" si="291">C216*V216</f>
        <v>0</v>
      </c>
      <c r="X216" s="332">
        <f t="shared" ref="X216" si="292">W216-J216</f>
        <v>0</v>
      </c>
      <c r="Y216" s="333">
        <f t="shared" ref="Y216" si="293">X216*12</f>
        <v>0</v>
      </c>
      <c r="Z216" s="322"/>
      <c r="AA216" s="334">
        <f t="shared" ref="AA216" si="294">O216*$R$11</f>
        <v>0</v>
      </c>
      <c r="AB216" s="335">
        <f t="shared" ref="AB216" si="295">IF(I216=0,"",V216/I216-1)</f>
        <v>2.7235297514719203E-2</v>
      </c>
    </row>
    <row r="217" spans="1:28" ht="12">
      <c r="A217" s="221" t="s">
        <v>253</v>
      </c>
      <c r="B217" s="209"/>
      <c r="C217" s="222">
        <f t="shared" si="156"/>
        <v>0</v>
      </c>
      <c r="D217" s="150">
        <f>6*3.5</f>
        <v>21</v>
      </c>
      <c r="E217" s="157">
        <f t="shared" si="146"/>
        <v>0</v>
      </c>
      <c r="F217" s="209">
        <f t="shared" si="170"/>
        <v>0</v>
      </c>
      <c r="G217" s="150">
        <v>52</v>
      </c>
      <c r="I217" s="287">
        <v>416.78</v>
      </c>
      <c r="J217" s="154">
        <f t="shared" si="157"/>
        <v>0</v>
      </c>
      <c r="K217" s="154">
        <f t="shared" si="158"/>
        <v>0</v>
      </c>
      <c r="L217" s="199">
        <f t="shared" si="159"/>
        <v>3045</v>
      </c>
      <c r="M217" s="151">
        <f t="shared" si="160"/>
        <v>3080.8907195638576</v>
      </c>
      <c r="N217" s="225">
        <f t="shared" si="161"/>
        <v>0</v>
      </c>
      <c r="O217" s="329">
        <f t="shared" si="151"/>
        <v>0</v>
      </c>
      <c r="Q217" s="177">
        <f t="shared" si="162"/>
        <v>9.5969745914414002</v>
      </c>
      <c r="R217" s="201"/>
      <c r="S217" s="201">
        <f t="shared" si="202"/>
        <v>0.25048103683662054</v>
      </c>
      <c r="T217" s="202">
        <f t="shared" si="163"/>
        <v>9.8474556282780199</v>
      </c>
      <c r="V217" s="201">
        <f t="shared" si="164"/>
        <v>426.62745562827797</v>
      </c>
      <c r="W217" s="203">
        <f t="shared" si="165"/>
        <v>0</v>
      </c>
      <c r="X217" s="203">
        <f t="shared" si="166"/>
        <v>0</v>
      </c>
      <c r="Y217" s="204">
        <f t="shared" si="167"/>
        <v>0</v>
      </c>
      <c r="AA217" s="205">
        <f t="shared" si="168"/>
        <v>0</v>
      </c>
      <c r="AB217" s="206">
        <f t="shared" si="169"/>
        <v>2.3627466836887656E-2</v>
      </c>
    </row>
    <row r="218" spans="1:28" s="324" customFormat="1" ht="12">
      <c r="A218" s="337" t="s">
        <v>313</v>
      </c>
      <c r="B218" s="336"/>
      <c r="C218" s="338">
        <f t="shared" ref="C218" si="296">B218*4.3333</f>
        <v>0</v>
      </c>
      <c r="D218" s="322">
        <f>6*3.5</f>
        <v>21</v>
      </c>
      <c r="E218" s="326">
        <f t="shared" ref="E218" si="297">C218*D218</f>
        <v>0</v>
      </c>
      <c r="F218" s="336">
        <f t="shared" ref="F218" si="298">B218</f>
        <v>0</v>
      </c>
      <c r="G218" s="322">
        <v>52</v>
      </c>
      <c r="H218" s="322"/>
      <c r="I218" s="287">
        <v>416.78</v>
      </c>
      <c r="J218" s="325">
        <f t="shared" ref="J218" si="299">+C218*I218</f>
        <v>0</v>
      </c>
      <c r="K218" s="325">
        <f t="shared" ref="K218" si="300">J218*12</f>
        <v>0</v>
      </c>
      <c r="L218" s="328">
        <f t="shared" ref="L218" si="301">+D218*L$16</f>
        <v>3045</v>
      </c>
      <c r="M218" s="323">
        <f t="shared" ref="M218" si="302">L218*$O$5</f>
        <v>3080.8907195638576</v>
      </c>
      <c r="N218" s="340">
        <f t="shared" ref="N218" si="303">ROUND((C218*L218*12)/2000,2)</f>
        <v>0</v>
      </c>
      <c r="O218" s="329">
        <f t="shared" si="151"/>
        <v>0</v>
      </c>
      <c r="P218" s="322"/>
      <c r="Q218" s="327">
        <f t="shared" ref="Q218" si="304">M218*$R$12</f>
        <v>9.5969745914414002</v>
      </c>
      <c r="R218" s="330"/>
      <c r="S218" s="330">
        <f t="shared" si="202"/>
        <v>0.25048103683662054</v>
      </c>
      <c r="T218" s="331">
        <f t="shared" ref="T218" si="305">+Q218+S218</f>
        <v>9.8474556282780199</v>
      </c>
      <c r="U218" s="322"/>
      <c r="V218" s="330">
        <f t="shared" ref="V218" si="306">I218+T218</f>
        <v>426.62745562827797</v>
      </c>
      <c r="W218" s="332">
        <f t="shared" ref="W218" si="307">C218*V218</f>
        <v>0</v>
      </c>
      <c r="X218" s="332">
        <f t="shared" ref="X218" si="308">W218-J218</f>
        <v>0</v>
      </c>
      <c r="Y218" s="333">
        <f t="shared" ref="Y218" si="309">X218*12</f>
        <v>0</v>
      </c>
      <c r="Z218" s="322"/>
      <c r="AA218" s="334">
        <f t="shared" ref="AA218" si="310">O218*$R$11</f>
        <v>0</v>
      </c>
      <c r="AB218" s="335">
        <f t="shared" ref="AB218" si="311">IF(I218=0,"",V218/I218-1)</f>
        <v>2.3627466836887656E-2</v>
      </c>
    </row>
    <row r="219" spans="1:28" ht="12">
      <c r="A219" s="221" t="s">
        <v>254</v>
      </c>
      <c r="B219" s="209"/>
      <c r="C219" s="222">
        <f t="shared" si="156"/>
        <v>0</v>
      </c>
      <c r="D219" s="150">
        <f>6*5</f>
        <v>30</v>
      </c>
      <c r="E219" s="157">
        <f t="shared" si="146"/>
        <v>0</v>
      </c>
      <c r="F219" s="209">
        <f t="shared" si="170"/>
        <v>0</v>
      </c>
      <c r="G219" s="150">
        <v>52</v>
      </c>
      <c r="I219" s="287">
        <v>495.97</v>
      </c>
      <c r="J219" s="154">
        <f t="shared" si="157"/>
        <v>0</v>
      </c>
      <c r="K219" s="154">
        <f t="shared" si="158"/>
        <v>0</v>
      </c>
      <c r="L219" s="199">
        <f t="shared" si="159"/>
        <v>4350</v>
      </c>
      <c r="M219" s="151">
        <f t="shared" si="160"/>
        <v>4401.2724565197968</v>
      </c>
      <c r="N219" s="225">
        <f t="shared" si="161"/>
        <v>0</v>
      </c>
      <c r="O219" s="329">
        <f t="shared" si="151"/>
        <v>0</v>
      </c>
      <c r="Q219" s="177">
        <f t="shared" si="162"/>
        <v>13.709963702059145</v>
      </c>
      <c r="R219" s="201"/>
      <c r="S219" s="201">
        <f t="shared" si="202"/>
        <v>0.35783005262374368</v>
      </c>
      <c r="T219" s="202">
        <f t="shared" si="163"/>
        <v>14.067793754682889</v>
      </c>
      <c r="V219" s="201">
        <f t="shared" si="164"/>
        <v>510.03779375468292</v>
      </c>
      <c r="W219" s="203">
        <f t="shared" si="165"/>
        <v>0</v>
      </c>
      <c r="X219" s="203">
        <f t="shared" si="166"/>
        <v>0</v>
      </c>
      <c r="Y219" s="204">
        <f t="shared" si="167"/>
        <v>0</v>
      </c>
      <c r="AA219" s="205">
        <f t="shared" si="168"/>
        <v>0</v>
      </c>
      <c r="AB219" s="206">
        <f t="shared" si="169"/>
        <v>2.83642029854283E-2</v>
      </c>
    </row>
    <row r="220" spans="1:28" s="324" customFormat="1" ht="12">
      <c r="A220" s="337" t="s">
        <v>319</v>
      </c>
      <c r="B220" s="336"/>
      <c r="C220" s="338">
        <f t="shared" ref="C220" si="312">B220*4.3333</f>
        <v>0</v>
      </c>
      <c r="D220" s="322">
        <f>6*5</f>
        <v>30</v>
      </c>
      <c r="E220" s="326">
        <f t="shared" ref="E220" si="313">C220*D220</f>
        <v>0</v>
      </c>
      <c r="F220" s="336">
        <f t="shared" ref="F220" si="314">B220</f>
        <v>0</v>
      </c>
      <c r="G220" s="322">
        <v>52</v>
      </c>
      <c r="H220" s="322"/>
      <c r="I220" s="287">
        <v>495.97</v>
      </c>
      <c r="J220" s="325">
        <f t="shared" ref="J220" si="315">+C220*I220</f>
        <v>0</v>
      </c>
      <c r="K220" s="325">
        <f t="shared" ref="K220" si="316">J220*12</f>
        <v>0</v>
      </c>
      <c r="L220" s="328">
        <f t="shared" ref="L220" si="317">+D220*L$16</f>
        <v>4350</v>
      </c>
      <c r="M220" s="323">
        <f t="shared" ref="M220" si="318">L220*$O$5</f>
        <v>4401.2724565197968</v>
      </c>
      <c r="N220" s="340">
        <f t="shared" ref="N220" si="319">ROUND((C220*L220*12)/2000,2)</f>
        <v>0</v>
      </c>
      <c r="O220" s="329">
        <f t="shared" si="151"/>
        <v>0</v>
      </c>
      <c r="P220" s="322"/>
      <c r="Q220" s="327">
        <f t="shared" ref="Q220" si="320">M220*$R$12</f>
        <v>13.709963702059145</v>
      </c>
      <c r="R220" s="330"/>
      <c r="S220" s="330">
        <f t="shared" si="202"/>
        <v>0.35783005262374368</v>
      </c>
      <c r="T220" s="331">
        <f t="shared" ref="T220" si="321">+Q220+S220</f>
        <v>14.067793754682889</v>
      </c>
      <c r="U220" s="322"/>
      <c r="V220" s="330">
        <f t="shared" ref="V220" si="322">I220+T220</f>
        <v>510.03779375468292</v>
      </c>
      <c r="W220" s="332">
        <f t="shared" ref="W220" si="323">C220*V220</f>
        <v>0</v>
      </c>
      <c r="X220" s="332">
        <f t="shared" ref="X220" si="324">W220-J220</f>
        <v>0</v>
      </c>
      <c r="Y220" s="333">
        <f t="shared" ref="Y220" si="325">X220*12</f>
        <v>0</v>
      </c>
      <c r="Z220" s="322"/>
      <c r="AA220" s="334">
        <f t="shared" ref="AA220" si="326">O220*$R$11</f>
        <v>0</v>
      </c>
      <c r="AB220" s="335">
        <f t="shared" ref="AB220" si="327">IF(I220=0,"",V220/I220-1)</f>
        <v>2.83642029854283E-2</v>
      </c>
    </row>
    <row r="221" spans="1:28" ht="12">
      <c r="A221" s="221" t="s">
        <v>124</v>
      </c>
      <c r="B221" s="209"/>
      <c r="C221" s="222">
        <f t="shared" si="156"/>
        <v>0</v>
      </c>
      <c r="D221" s="150">
        <v>6</v>
      </c>
      <c r="E221" s="157">
        <f t="shared" si="146"/>
        <v>0</v>
      </c>
      <c r="F221" s="209">
        <f t="shared" si="170"/>
        <v>0</v>
      </c>
      <c r="G221" s="150">
        <v>52</v>
      </c>
      <c r="I221" s="287">
        <v>116.17</v>
      </c>
      <c r="J221" s="154">
        <f t="shared" si="157"/>
        <v>0</v>
      </c>
      <c r="K221" s="154">
        <f t="shared" si="158"/>
        <v>0</v>
      </c>
      <c r="L221" s="199">
        <f t="shared" si="159"/>
        <v>870</v>
      </c>
      <c r="M221" s="151">
        <f t="shared" si="160"/>
        <v>880.2544913039593</v>
      </c>
      <c r="N221" s="225">
        <f t="shared" si="161"/>
        <v>0</v>
      </c>
      <c r="O221" s="329">
        <f t="shared" si="151"/>
        <v>0</v>
      </c>
      <c r="Q221" s="177">
        <f t="shared" si="162"/>
        <v>2.7419927404118289</v>
      </c>
      <c r="R221" s="201"/>
      <c r="S221" s="201">
        <f t="shared" si="202"/>
        <v>7.156601052474873E-2</v>
      </c>
      <c r="T221" s="202">
        <f t="shared" si="163"/>
        <v>2.8135587509365778</v>
      </c>
      <c r="V221" s="201">
        <f t="shared" si="164"/>
        <v>118.98355875093658</v>
      </c>
      <c r="W221" s="203">
        <f t="shared" si="165"/>
        <v>0</v>
      </c>
      <c r="X221" s="203">
        <f t="shared" si="166"/>
        <v>0</v>
      </c>
      <c r="Y221" s="204">
        <f t="shared" si="167"/>
        <v>0</v>
      </c>
      <c r="AA221" s="205">
        <f t="shared" si="168"/>
        <v>0</v>
      </c>
      <c r="AB221" s="206">
        <f t="shared" si="169"/>
        <v>2.4219322983012548E-2</v>
      </c>
    </row>
    <row r="222" spans="1:28" ht="12">
      <c r="A222" s="221" t="s">
        <v>125</v>
      </c>
      <c r="B222" s="209"/>
      <c r="C222" s="222">
        <f t="shared" si="156"/>
        <v>0</v>
      </c>
      <c r="D222" s="150">
        <v>6</v>
      </c>
      <c r="E222" s="157">
        <f t="shared" si="146"/>
        <v>0</v>
      </c>
      <c r="F222" s="209">
        <f t="shared" si="170"/>
        <v>0</v>
      </c>
      <c r="G222" s="150">
        <v>52</v>
      </c>
      <c r="I222" s="287">
        <v>108.22</v>
      </c>
      <c r="J222" s="154">
        <f t="shared" si="157"/>
        <v>0</v>
      </c>
      <c r="K222" s="154">
        <f t="shared" si="158"/>
        <v>0</v>
      </c>
      <c r="L222" s="199">
        <f t="shared" si="159"/>
        <v>870</v>
      </c>
      <c r="M222" s="151">
        <f t="shared" si="160"/>
        <v>880.2544913039593</v>
      </c>
      <c r="N222" s="225">
        <f t="shared" si="161"/>
        <v>0</v>
      </c>
      <c r="O222" s="329">
        <f t="shared" ref="O222:O246" si="328">$O$5*N222</f>
        <v>0</v>
      </c>
      <c r="Q222" s="177">
        <f t="shared" si="162"/>
        <v>2.7419927404118289</v>
      </c>
      <c r="R222" s="201"/>
      <c r="S222" s="201">
        <f t="shared" ref="S222:S246" si="329">Q222*$U$12</f>
        <v>7.156601052474873E-2</v>
      </c>
      <c r="T222" s="202">
        <f t="shared" si="163"/>
        <v>2.8135587509365778</v>
      </c>
      <c r="V222" s="201">
        <f t="shared" si="164"/>
        <v>111.03355875093658</v>
      </c>
      <c r="W222" s="203">
        <f t="shared" si="165"/>
        <v>0</v>
      </c>
      <c r="X222" s="203">
        <f t="shared" si="166"/>
        <v>0</v>
      </c>
      <c r="Y222" s="204">
        <f t="shared" si="167"/>
        <v>0</v>
      </c>
      <c r="AA222" s="205">
        <f t="shared" si="168"/>
        <v>0</v>
      </c>
      <c r="AB222" s="206">
        <f t="shared" si="169"/>
        <v>2.5998509988325536E-2</v>
      </c>
    </row>
    <row r="223" spans="1:28" ht="12">
      <c r="A223" s="221" t="s">
        <v>126</v>
      </c>
      <c r="B223" s="209"/>
      <c r="C223" s="222">
        <f t="shared" si="156"/>
        <v>0</v>
      </c>
      <c r="D223" s="150">
        <v>6</v>
      </c>
      <c r="E223" s="157">
        <f t="shared" si="146"/>
        <v>0</v>
      </c>
      <c r="F223" s="209">
        <f t="shared" si="170"/>
        <v>0</v>
      </c>
      <c r="G223" s="150">
        <v>52</v>
      </c>
      <c r="I223" s="287">
        <v>108.22</v>
      </c>
      <c r="J223" s="154">
        <f t="shared" si="157"/>
        <v>0</v>
      </c>
      <c r="K223" s="154">
        <f t="shared" si="158"/>
        <v>0</v>
      </c>
      <c r="L223" s="199">
        <f t="shared" si="159"/>
        <v>870</v>
      </c>
      <c r="M223" s="151">
        <f t="shared" si="160"/>
        <v>880.2544913039593</v>
      </c>
      <c r="N223" s="225">
        <f t="shared" si="161"/>
        <v>0</v>
      </c>
      <c r="O223" s="329">
        <f t="shared" si="328"/>
        <v>0</v>
      </c>
      <c r="Q223" s="177">
        <f t="shared" si="162"/>
        <v>2.7419927404118289</v>
      </c>
      <c r="R223" s="201"/>
      <c r="S223" s="201">
        <f t="shared" si="329"/>
        <v>7.156601052474873E-2</v>
      </c>
      <c r="T223" s="202">
        <f t="shared" si="163"/>
        <v>2.8135587509365778</v>
      </c>
      <c r="V223" s="201">
        <f t="shared" si="164"/>
        <v>111.03355875093658</v>
      </c>
      <c r="W223" s="203">
        <f t="shared" si="165"/>
        <v>0</v>
      </c>
      <c r="X223" s="203">
        <f t="shared" si="166"/>
        <v>0</v>
      </c>
      <c r="Y223" s="204">
        <f t="shared" si="167"/>
        <v>0</v>
      </c>
      <c r="AA223" s="205">
        <f t="shared" si="168"/>
        <v>0</v>
      </c>
      <c r="AB223" s="206">
        <f t="shared" si="169"/>
        <v>2.5998509988325536E-2</v>
      </c>
    </row>
    <row r="224" spans="1:28" ht="12">
      <c r="A224" s="221" t="s">
        <v>255</v>
      </c>
      <c r="B224" s="209"/>
      <c r="C224" s="222">
        <f t="shared" si="156"/>
        <v>0</v>
      </c>
      <c r="D224" s="150">
        <v>6</v>
      </c>
      <c r="E224" s="157">
        <f t="shared" si="146"/>
        <v>0</v>
      </c>
      <c r="F224" s="209">
        <f t="shared" si="170"/>
        <v>0</v>
      </c>
      <c r="G224" s="150">
        <v>52</v>
      </c>
      <c r="I224" s="287">
        <v>108.22</v>
      </c>
      <c r="J224" s="154">
        <f t="shared" si="157"/>
        <v>0</v>
      </c>
      <c r="K224" s="154">
        <f t="shared" si="158"/>
        <v>0</v>
      </c>
      <c r="L224" s="199">
        <f t="shared" si="159"/>
        <v>870</v>
      </c>
      <c r="M224" s="151">
        <f t="shared" si="160"/>
        <v>880.2544913039593</v>
      </c>
      <c r="N224" s="225">
        <f t="shared" si="161"/>
        <v>0</v>
      </c>
      <c r="O224" s="329">
        <f t="shared" si="328"/>
        <v>0</v>
      </c>
      <c r="Q224" s="177">
        <f t="shared" si="162"/>
        <v>2.7419927404118289</v>
      </c>
      <c r="R224" s="201"/>
      <c r="S224" s="201">
        <f t="shared" si="329"/>
        <v>7.156601052474873E-2</v>
      </c>
      <c r="T224" s="202">
        <f t="shared" si="163"/>
        <v>2.8135587509365778</v>
      </c>
      <c r="V224" s="201">
        <f t="shared" si="164"/>
        <v>111.03355875093658</v>
      </c>
      <c r="W224" s="203">
        <f t="shared" si="165"/>
        <v>0</v>
      </c>
      <c r="X224" s="203">
        <f t="shared" si="166"/>
        <v>0</v>
      </c>
      <c r="Y224" s="204">
        <f t="shared" si="167"/>
        <v>0</v>
      </c>
      <c r="AA224" s="205">
        <f t="shared" si="168"/>
        <v>0</v>
      </c>
      <c r="AB224" s="206">
        <f t="shared" si="169"/>
        <v>2.5998509988325536E-2</v>
      </c>
    </row>
    <row r="225" spans="1:28" ht="12">
      <c r="A225" s="221" t="s">
        <v>256</v>
      </c>
      <c r="B225" s="209"/>
      <c r="C225" s="222">
        <f t="shared" si="156"/>
        <v>0</v>
      </c>
      <c r="D225" s="150">
        <v>6</v>
      </c>
      <c r="E225" s="157">
        <f t="shared" si="146"/>
        <v>0</v>
      </c>
      <c r="F225" s="209">
        <f t="shared" si="170"/>
        <v>0</v>
      </c>
      <c r="G225" s="150">
        <v>52</v>
      </c>
      <c r="I225" s="287">
        <v>108.22</v>
      </c>
      <c r="J225" s="154">
        <f t="shared" si="157"/>
        <v>0</v>
      </c>
      <c r="K225" s="154">
        <f t="shared" si="158"/>
        <v>0</v>
      </c>
      <c r="L225" s="199">
        <f t="shared" si="159"/>
        <v>870</v>
      </c>
      <c r="M225" s="151">
        <f t="shared" si="160"/>
        <v>880.2544913039593</v>
      </c>
      <c r="N225" s="225">
        <f t="shared" si="161"/>
        <v>0</v>
      </c>
      <c r="O225" s="329">
        <f t="shared" si="328"/>
        <v>0</v>
      </c>
      <c r="Q225" s="177">
        <f t="shared" si="162"/>
        <v>2.7419927404118289</v>
      </c>
      <c r="R225" s="201"/>
      <c r="S225" s="201">
        <f t="shared" si="329"/>
        <v>7.156601052474873E-2</v>
      </c>
      <c r="T225" s="202">
        <f t="shared" si="163"/>
        <v>2.8135587509365778</v>
      </c>
      <c r="V225" s="201">
        <f t="shared" si="164"/>
        <v>111.03355875093658</v>
      </c>
      <c r="W225" s="203">
        <f t="shared" si="165"/>
        <v>0</v>
      </c>
      <c r="X225" s="203">
        <f t="shared" si="166"/>
        <v>0</v>
      </c>
      <c r="Y225" s="204">
        <f t="shared" si="167"/>
        <v>0</v>
      </c>
      <c r="AA225" s="205">
        <f t="shared" si="168"/>
        <v>0</v>
      </c>
      <c r="AB225" s="206">
        <f t="shared" si="169"/>
        <v>2.5998509988325536E-2</v>
      </c>
    </row>
    <row r="226" spans="1:28" ht="12">
      <c r="A226" s="239" t="str">
        <f>'Tariff Changes'!$A$59</f>
        <v>6 Yard Sepcial</v>
      </c>
      <c r="B226" s="209"/>
      <c r="C226" s="222">
        <f t="shared" si="156"/>
        <v>0</v>
      </c>
      <c r="D226" s="150">
        <v>6</v>
      </c>
      <c r="E226" s="157">
        <f t="shared" si="146"/>
        <v>0</v>
      </c>
      <c r="F226" s="209"/>
      <c r="G226" s="150">
        <v>52</v>
      </c>
      <c r="I226" s="287">
        <v>116.17</v>
      </c>
      <c r="J226" s="154">
        <f t="shared" si="157"/>
        <v>0</v>
      </c>
      <c r="K226" s="154">
        <f t="shared" si="158"/>
        <v>0</v>
      </c>
      <c r="L226" s="199">
        <f t="shared" si="159"/>
        <v>870</v>
      </c>
      <c r="M226" s="151">
        <f t="shared" si="160"/>
        <v>880.2544913039593</v>
      </c>
      <c r="N226" s="225">
        <f t="shared" si="161"/>
        <v>0</v>
      </c>
      <c r="O226" s="329">
        <f t="shared" si="328"/>
        <v>0</v>
      </c>
      <c r="Q226" s="177">
        <f t="shared" si="162"/>
        <v>2.7419927404118289</v>
      </c>
      <c r="R226" s="201"/>
      <c r="S226" s="201">
        <f t="shared" si="329"/>
        <v>7.156601052474873E-2</v>
      </c>
      <c r="T226" s="202">
        <f t="shared" si="163"/>
        <v>2.8135587509365778</v>
      </c>
      <c r="V226" s="201">
        <f t="shared" si="164"/>
        <v>118.98355875093658</v>
      </c>
      <c r="W226" s="203">
        <f t="shared" si="165"/>
        <v>0</v>
      </c>
      <c r="X226" s="203">
        <f t="shared" si="166"/>
        <v>0</v>
      </c>
      <c r="Y226" s="204">
        <f t="shared" si="167"/>
        <v>0</v>
      </c>
      <c r="AA226" s="205">
        <f t="shared" si="168"/>
        <v>0</v>
      </c>
      <c r="AB226" s="206">
        <f t="shared" si="169"/>
        <v>2.4219322983012548E-2</v>
      </c>
    </row>
    <row r="227" spans="1:28" ht="12">
      <c r="A227" s="239" t="str">
        <f>'Tariff Changes'!A67</f>
        <v>6 Yard Temp</v>
      </c>
      <c r="B227" s="209"/>
      <c r="C227" s="222">
        <f t="shared" si="156"/>
        <v>0</v>
      </c>
      <c r="D227" s="150">
        <v>6</v>
      </c>
      <c r="E227" s="157">
        <f t="shared" si="146"/>
        <v>0</v>
      </c>
      <c r="F227" s="209"/>
      <c r="G227" s="150">
        <v>52</v>
      </c>
      <c r="I227" s="287">
        <v>116.17</v>
      </c>
      <c r="J227" s="154">
        <f t="shared" si="157"/>
        <v>0</v>
      </c>
      <c r="K227" s="154">
        <f t="shared" si="158"/>
        <v>0</v>
      </c>
      <c r="L227" s="199">
        <f t="shared" si="159"/>
        <v>870</v>
      </c>
      <c r="M227" s="151">
        <f t="shared" si="160"/>
        <v>880.2544913039593</v>
      </c>
      <c r="N227" s="225">
        <f t="shared" si="161"/>
        <v>0</v>
      </c>
      <c r="O227" s="329">
        <f t="shared" si="328"/>
        <v>0</v>
      </c>
      <c r="Q227" s="177">
        <f t="shared" si="162"/>
        <v>2.7419927404118289</v>
      </c>
      <c r="R227" s="201"/>
      <c r="S227" s="201">
        <f t="shared" si="329"/>
        <v>7.156601052474873E-2</v>
      </c>
      <c r="T227" s="202">
        <f t="shared" si="163"/>
        <v>2.8135587509365778</v>
      </c>
      <c r="V227" s="201">
        <f t="shared" si="164"/>
        <v>118.98355875093658</v>
      </c>
      <c r="W227" s="203">
        <f t="shared" si="165"/>
        <v>0</v>
      </c>
      <c r="X227" s="203">
        <f t="shared" si="166"/>
        <v>0</v>
      </c>
      <c r="Y227" s="204">
        <f t="shared" si="167"/>
        <v>0</v>
      </c>
      <c r="AA227" s="205">
        <f t="shared" si="168"/>
        <v>0</v>
      </c>
      <c r="AB227" s="206">
        <f t="shared" si="169"/>
        <v>2.4219322983012548E-2</v>
      </c>
    </row>
    <row r="228" spans="1:28" ht="12">
      <c r="A228" s="221" t="s">
        <v>127</v>
      </c>
      <c r="B228" s="209"/>
      <c r="C228" s="222">
        <f t="shared" si="156"/>
        <v>0</v>
      </c>
      <c r="D228" s="150">
        <v>8</v>
      </c>
      <c r="E228" s="157">
        <f t="shared" si="146"/>
        <v>0</v>
      </c>
      <c r="F228" s="209">
        <f t="shared" si="170"/>
        <v>0</v>
      </c>
      <c r="G228" s="150">
        <v>52</v>
      </c>
      <c r="I228" s="287">
        <v>156.38</v>
      </c>
      <c r="J228" s="154">
        <f t="shared" si="157"/>
        <v>0</v>
      </c>
      <c r="K228" s="154">
        <f t="shared" si="158"/>
        <v>0</v>
      </c>
      <c r="L228" s="199">
        <f t="shared" si="159"/>
        <v>1160</v>
      </c>
      <c r="M228" s="151">
        <f t="shared" si="160"/>
        <v>1173.6726550719457</v>
      </c>
      <c r="N228" s="225">
        <f t="shared" si="161"/>
        <v>0</v>
      </c>
      <c r="O228" s="329">
        <f t="shared" si="328"/>
        <v>0</v>
      </c>
      <c r="Q228" s="177">
        <f t="shared" si="162"/>
        <v>3.6559903205491047</v>
      </c>
      <c r="R228" s="201"/>
      <c r="S228" s="201">
        <f t="shared" si="329"/>
        <v>9.5421347366331621E-2</v>
      </c>
      <c r="T228" s="202">
        <f t="shared" si="163"/>
        <v>3.7514116679154363</v>
      </c>
      <c r="V228" s="201">
        <f t="shared" si="164"/>
        <v>160.13141166791544</v>
      </c>
      <c r="W228" s="203">
        <f t="shared" si="165"/>
        <v>0</v>
      </c>
      <c r="X228" s="203">
        <f t="shared" si="166"/>
        <v>0</v>
      </c>
      <c r="Y228" s="204">
        <f t="shared" si="167"/>
        <v>0</v>
      </c>
      <c r="AA228" s="205">
        <f t="shared" si="168"/>
        <v>0</v>
      </c>
      <c r="AB228" s="206">
        <f t="shared" si="169"/>
        <v>2.3989075763623635E-2</v>
      </c>
    </row>
    <row r="229" spans="1:28" ht="12">
      <c r="A229" s="221" t="s">
        <v>128</v>
      </c>
      <c r="B229" s="209">
        <v>13</v>
      </c>
      <c r="C229" s="222">
        <f t="shared" si="156"/>
        <v>56.332900000000002</v>
      </c>
      <c r="D229" s="150">
        <v>8</v>
      </c>
      <c r="E229" s="157">
        <v>156</v>
      </c>
      <c r="F229" s="209">
        <f t="shared" si="170"/>
        <v>13</v>
      </c>
      <c r="G229" s="150">
        <v>52</v>
      </c>
      <c r="I229" s="287">
        <v>145.4</v>
      </c>
      <c r="J229" s="154">
        <f t="shared" si="157"/>
        <v>8190.8036600000005</v>
      </c>
      <c r="K229" s="154">
        <f t="shared" si="158"/>
        <v>98289.643920000002</v>
      </c>
      <c r="L229" s="199">
        <f t="shared" si="159"/>
        <v>1160</v>
      </c>
      <c r="M229" s="151">
        <f t="shared" si="160"/>
        <v>1173.6726550719457</v>
      </c>
      <c r="N229" s="225">
        <f t="shared" si="161"/>
        <v>392.08</v>
      </c>
      <c r="O229" s="329">
        <f t="shared" si="328"/>
        <v>396.70135741431761</v>
      </c>
      <c r="Q229" s="177">
        <f t="shared" si="162"/>
        <v>3.6559903205491047</v>
      </c>
      <c r="R229" s="201"/>
      <c r="S229" s="201">
        <f t="shared" si="329"/>
        <v>9.5421347366331621E-2</v>
      </c>
      <c r="T229" s="202">
        <f t="shared" si="163"/>
        <v>3.7514116679154363</v>
      </c>
      <c r="V229" s="201">
        <f t="shared" si="164"/>
        <v>149.15141166791545</v>
      </c>
      <c r="W229" s="203">
        <f t="shared" si="165"/>
        <v>8402.1315583475152</v>
      </c>
      <c r="X229" s="203">
        <f t="shared" si="166"/>
        <v>211.32789834751475</v>
      </c>
      <c r="Y229" s="204">
        <f t="shared" si="167"/>
        <v>2535.934780170177</v>
      </c>
      <c r="AA229" s="205">
        <f t="shared" si="168"/>
        <v>2471.4494566911949</v>
      </c>
      <c r="AB229" s="206">
        <f t="shared" si="169"/>
        <v>2.5800630453338691E-2</v>
      </c>
    </row>
    <row r="230" spans="1:28" ht="12">
      <c r="A230" s="221" t="s">
        <v>129</v>
      </c>
      <c r="B230" s="209"/>
      <c r="C230" s="222">
        <f t="shared" si="156"/>
        <v>0</v>
      </c>
      <c r="D230" s="150">
        <v>8</v>
      </c>
      <c r="E230" s="157">
        <f t="shared" si="146"/>
        <v>0</v>
      </c>
      <c r="F230" s="209">
        <f t="shared" si="170"/>
        <v>0</v>
      </c>
      <c r="G230" s="150">
        <v>52</v>
      </c>
      <c r="I230" s="287">
        <v>145.4</v>
      </c>
      <c r="J230" s="154">
        <f t="shared" si="157"/>
        <v>0</v>
      </c>
      <c r="K230" s="154">
        <f t="shared" si="158"/>
        <v>0</v>
      </c>
      <c r="L230" s="199">
        <f t="shared" si="159"/>
        <v>1160</v>
      </c>
      <c r="M230" s="151">
        <f t="shared" si="160"/>
        <v>1173.6726550719457</v>
      </c>
      <c r="N230" s="225">
        <f t="shared" si="161"/>
        <v>0</v>
      </c>
      <c r="O230" s="329">
        <f t="shared" si="328"/>
        <v>0</v>
      </c>
      <c r="Q230" s="177">
        <f t="shared" si="162"/>
        <v>3.6559903205491047</v>
      </c>
      <c r="R230" s="201"/>
      <c r="S230" s="201">
        <f t="shared" si="329"/>
        <v>9.5421347366331621E-2</v>
      </c>
      <c r="T230" s="202">
        <f t="shared" si="163"/>
        <v>3.7514116679154363</v>
      </c>
      <c r="V230" s="201">
        <f t="shared" si="164"/>
        <v>149.15141166791545</v>
      </c>
      <c r="W230" s="203">
        <f t="shared" si="165"/>
        <v>0</v>
      </c>
      <c r="X230" s="203">
        <f t="shared" si="166"/>
        <v>0</v>
      </c>
      <c r="Y230" s="204">
        <f t="shared" si="167"/>
        <v>0</v>
      </c>
      <c r="AA230" s="205">
        <f t="shared" si="168"/>
        <v>0</v>
      </c>
      <c r="AB230" s="206">
        <f t="shared" si="169"/>
        <v>2.5800630453338691E-2</v>
      </c>
    </row>
    <row r="231" spans="1:28" ht="12">
      <c r="A231" s="221" t="s">
        <v>257</v>
      </c>
      <c r="B231" s="209"/>
      <c r="C231" s="222">
        <f t="shared" si="156"/>
        <v>0</v>
      </c>
      <c r="D231" s="150">
        <v>8</v>
      </c>
      <c r="E231" s="157">
        <f t="shared" si="146"/>
        <v>0</v>
      </c>
      <c r="F231" s="209">
        <f t="shared" si="170"/>
        <v>0</v>
      </c>
      <c r="G231" s="150">
        <v>52</v>
      </c>
      <c r="I231" s="287">
        <v>145.4</v>
      </c>
      <c r="J231" s="154">
        <f t="shared" si="157"/>
        <v>0</v>
      </c>
      <c r="K231" s="154">
        <f t="shared" si="158"/>
        <v>0</v>
      </c>
      <c r="L231" s="199">
        <f t="shared" si="159"/>
        <v>1160</v>
      </c>
      <c r="M231" s="151">
        <f t="shared" si="160"/>
        <v>1173.6726550719457</v>
      </c>
      <c r="N231" s="225">
        <f t="shared" si="161"/>
        <v>0</v>
      </c>
      <c r="O231" s="329">
        <f t="shared" si="328"/>
        <v>0</v>
      </c>
      <c r="Q231" s="177">
        <f t="shared" si="162"/>
        <v>3.6559903205491047</v>
      </c>
      <c r="R231" s="201"/>
      <c r="S231" s="201">
        <f t="shared" si="329"/>
        <v>9.5421347366331621E-2</v>
      </c>
      <c r="T231" s="202">
        <f t="shared" si="163"/>
        <v>3.7514116679154363</v>
      </c>
      <c r="V231" s="201">
        <f t="shared" si="164"/>
        <v>149.15141166791545</v>
      </c>
      <c r="W231" s="203">
        <f t="shared" si="165"/>
        <v>0</v>
      </c>
      <c r="X231" s="203">
        <f t="shared" si="166"/>
        <v>0</v>
      </c>
      <c r="Y231" s="204">
        <f t="shared" si="167"/>
        <v>0</v>
      </c>
      <c r="AA231" s="205">
        <f t="shared" si="168"/>
        <v>0</v>
      </c>
      <c r="AB231" s="206">
        <f t="shared" si="169"/>
        <v>2.5800630453338691E-2</v>
      </c>
    </row>
    <row r="232" spans="1:28" ht="12">
      <c r="A232" s="221" t="s">
        <v>258</v>
      </c>
      <c r="B232" s="209"/>
      <c r="C232" s="222">
        <f t="shared" ref="C232:C249" si="330">B232*4.3333</f>
        <v>0</v>
      </c>
      <c r="D232" s="150">
        <v>8</v>
      </c>
      <c r="E232" s="157">
        <f t="shared" si="146"/>
        <v>0</v>
      </c>
      <c r="F232" s="209">
        <f t="shared" si="170"/>
        <v>0</v>
      </c>
      <c r="G232" s="150">
        <v>52</v>
      </c>
      <c r="I232" s="287">
        <v>145.4</v>
      </c>
      <c r="J232" s="154">
        <f t="shared" ref="J232:J236" si="331">+C232*I232</f>
        <v>0</v>
      </c>
      <c r="K232" s="154">
        <f t="shared" ref="K232:K236" si="332">J232*12</f>
        <v>0</v>
      </c>
      <c r="L232" s="199">
        <f t="shared" ref="L232:L236" si="333">+D232*L$16</f>
        <v>1160</v>
      </c>
      <c r="M232" s="151">
        <f t="shared" ref="M232:M249" si="334">L232*$O$5</f>
        <v>1173.6726550719457</v>
      </c>
      <c r="N232" s="225">
        <f t="shared" ref="N232:N236" si="335">ROUND((C232*L232*12)/2000,2)</f>
        <v>0</v>
      </c>
      <c r="O232" s="329">
        <f t="shared" si="328"/>
        <v>0</v>
      </c>
      <c r="Q232" s="177">
        <f t="shared" ref="Q232:Q236" si="336">M232*$R$12</f>
        <v>3.6559903205491047</v>
      </c>
      <c r="R232" s="201"/>
      <c r="S232" s="201">
        <f t="shared" si="329"/>
        <v>9.5421347366331621E-2</v>
      </c>
      <c r="T232" s="202">
        <f t="shared" ref="T232:T236" si="337">+Q232+S232</f>
        <v>3.7514116679154363</v>
      </c>
      <c r="V232" s="201">
        <f t="shared" ref="V232:V236" si="338">I232+T232</f>
        <v>149.15141166791545</v>
      </c>
      <c r="W232" s="203">
        <f t="shared" ref="W232:W236" si="339">C232*V232</f>
        <v>0</v>
      </c>
      <c r="X232" s="203">
        <f t="shared" ref="X232:X236" si="340">W232-J232</f>
        <v>0</v>
      </c>
      <c r="Y232" s="204">
        <f t="shared" ref="Y232:Y236" si="341">X232*12</f>
        <v>0</v>
      </c>
      <c r="AA232" s="205">
        <f t="shared" ref="AA232:AA236" si="342">O232*$R$11</f>
        <v>0</v>
      </c>
      <c r="AB232" s="206">
        <f t="shared" ref="AB232:AB236" si="343">IF(I232=0,"",V232/I232-1)</f>
        <v>2.5800630453338691E-2</v>
      </c>
    </row>
    <row r="233" spans="1:28" ht="12">
      <c r="A233" s="221" t="s">
        <v>259</v>
      </c>
      <c r="B233" s="209"/>
      <c r="C233" s="222">
        <f t="shared" si="330"/>
        <v>0</v>
      </c>
      <c r="D233" s="150">
        <v>8</v>
      </c>
      <c r="E233" s="157">
        <f t="shared" si="146"/>
        <v>0</v>
      </c>
      <c r="F233" s="209">
        <f t="shared" si="170"/>
        <v>0</v>
      </c>
      <c r="G233" s="150">
        <v>52</v>
      </c>
      <c r="I233" s="287">
        <v>145.4</v>
      </c>
      <c r="J233" s="154">
        <f t="shared" si="331"/>
        <v>0</v>
      </c>
      <c r="K233" s="154">
        <f t="shared" si="332"/>
        <v>0</v>
      </c>
      <c r="L233" s="199">
        <f t="shared" si="333"/>
        <v>1160</v>
      </c>
      <c r="M233" s="151">
        <f t="shared" si="334"/>
        <v>1173.6726550719457</v>
      </c>
      <c r="N233" s="225">
        <f t="shared" si="335"/>
        <v>0</v>
      </c>
      <c r="O233" s="329">
        <f t="shared" si="328"/>
        <v>0</v>
      </c>
      <c r="Q233" s="177">
        <f t="shared" si="336"/>
        <v>3.6559903205491047</v>
      </c>
      <c r="R233" s="201"/>
      <c r="S233" s="201">
        <f t="shared" si="329"/>
        <v>9.5421347366331621E-2</v>
      </c>
      <c r="T233" s="202">
        <f t="shared" si="337"/>
        <v>3.7514116679154363</v>
      </c>
      <c r="V233" s="201">
        <f t="shared" si="338"/>
        <v>149.15141166791545</v>
      </c>
      <c r="W233" s="203">
        <f t="shared" si="339"/>
        <v>0</v>
      </c>
      <c r="X233" s="203">
        <f t="shared" si="340"/>
        <v>0</v>
      </c>
      <c r="Y233" s="204">
        <f t="shared" si="341"/>
        <v>0</v>
      </c>
      <c r="AA233" s="205">
        <f t="shared" si="342"/>
        <v>0</v>
      </c>
      <c r="AB233" s="206">
        <f t="shared" si="343"/>
        <v>2.5800630453338691E-2</v>
      </c>
    </row>
    <row r="234" spans="1:28" ht="12">
      <c r="A234" s="221" t="str">
        <f>'Tariff Changes'!A68</f>
        <v>8 Yard Temp</v>
      </c>
      <c r="B234" s="209"/>
      <c r="C234" s="222">
        <f t="shared" si="330"/>
        <v>0</v>
      </c>
      <c r="D234" s="150">
        <v>8</v>
      </c>
      <c r="E234" s="157">
        <f t="shared" si="146"/>
        <v>0</v>
      </c>
      <c r="F234" s="209"/>
      <c r="G234" s="150">
        <v>52</v>
      </c>
      <c r="I234" s="287">
        <v>156.38</v>
      </c>
      <c r="J234" s="154">
        <f t="shared" si="331"/>
        <v>0</v>
      </c>
      <c r="K234" s="154">
        <f t="shared" si="332"/>
        <v>0</v>
      </c>
      <c r="L234" s="199">
        <f t="shared" si="333"/>
        <v>1160</v>
      </c>
      <c r="M234" s="151">
        <f t="shared" si="334"/>
        <v>1173.6726550719457</v>
      </c>
      <c r="N234" s="225">
        <f t="shared" si="335"/>
        <v>0</v>
      </c>
      <c r="O234" s="329">
        <f t="shared" si="328"/>
        <v>0</v>
      </c>
      <c r="Q234" s="177">
        <f t="shared" si="336"/>
        <v>3.6559903205491047</v>
      </c>
      <c r="R234" s="201"/>
      <c r="S234" s="201">
        <f t="shared" si="329"/>
        <v>9.5421347366331621E-2</v>
      </c>
      <c r="T234" s="202">
        <f t="shared" si="337"/>
        <v>3.7514116679154363</v>
      </c>
      <c r="V234" s="201">
        <f t="shared" si="338"/>
        <v>160.13141166791544</v>
      </c>
      <c r="W234" s="203">
        <f t="shared" si="339"/>
        <v>0</v>
      </c>
      <c r="X234" s="203">
        <f t="shared" si="340"/>
        <v>0</v>
      </c>
      <c r="Y234" s="204">
        <f t="shared" si="341"/>
        <v>0</v>
      </c>
      <c r="AA234" s="205">
        <f t="shared" si="342"/>
        <v>0</v>
      </c>
      <c r="AB234" s="206">
        <f t="shared" si="343"/>
        <v>2.3989075763623635E-2</v>
      </c>
    </row>
    <row r="235" spans="1:28" ht="12">
      <c r="A235" s="239" t="str">
        <f>'Tariff Changes'!$A$60</f>
        <v>8 Yard Special</v>
      </c>
      <c r="B235" s="209"/>
      <c r="C235" s="222">
        <f>B235*4.3333</f>
        <v>0</v>
      </c>
      <c r="D235" s="150">
        <v>8</v>
      </c>
      <c r="E235" s="157">
        <f>C235*D235</f>
        <v>0</v>
      </c>
      <c r="F235" s="209"/>
      <c r="G235" s="150">
        <v>52</v>
      </c>
      <c r="I235" s="287">
        <v>156.38</v>
      </c>
      <c r="J235" s="154">
        <f>+C235*I235</f>
        <v>0</v>
      </c>
      <c r="K235" s="154">
        <f>J235*12</f>
        <v>0</v>
      </c>
      <c r="L235" s="199">
        <f>+D235*L$16</f>
        <v>1160</v>
      </c>
      <c r="M235" s="151">
        <f>L235*$O$5</f>
        <v>1173.6726550719457</v>
      </c>
      <c r="N235" s="225">
        <f>ROUND((C235*L235*12)/2000,2)</f>
        <v>0</v>
      </c>
      <c r="O235" s="329">
        <f t="shared" si="328"/>
        <v>0</v>
      </c>
      <c r="Q235" s="177">
        <f>M235*$R$12</f>
        <v>3.6559903205491047</v>
      </c>
      <c r="R235" s="201"/>
      <c r="S235" s="201">
        <f t="shared" si="329"/>
        <v>9.5421347366331621E-2</v>
      </c>
      <c r="T235" s="202">
        <f>+Q235+S235</f>
        <v>3.7514116679154363</v>
      </c>
      <c r="V235" s="201">
        <f>I235+T235</f>
        <v>160.13141166791544</v>
      </c>
      <c r="W235" s="203">
        <f>C235*V235</f>
        <v>0</v>
      </c>
      <c r="X235" s="203">
        <f>W235-J235</f>
        <v>0</v>
      </c>
      <c r="Y235" s="204">
        <f>X235*12</f>
        <v>0</v>
      </c>
      <c r="AA235" s="205">
        <f>O235*$R$11</f>
        <v>0</v>
      </c>
      <c r="AB235" s="206">
        <f>IF(I235=0,"",V235/I235-1)</f>
        <v>2.3989075763623635E-2</v>
      </c>
    </row>
    <row r="236" spans="1:28" ht="12">
      <c r="A236" s="148" t="s">
        <v>32</v>
      </c>
      <c r="B236" s="236"/>
      <c r="C236" s="222">
        <f t="shared" si="330"/>
        <v>0</v>
      </c>
      <c r="D236" s="150">
        <v>1</v>
      </c>
      <c r="E236" s="157">
        <f t="shared" si="146"/>
        <v>0</v>
      </c>
      <c r="F236" s="223">
        <f t="shared" si="170"/>
        <v>0</v>
      </c>
      <c r="G236" s="150">
        <v>12</v>
      </c>
      <c r="I236" s="287">
        <v>14.58</v>
      </c>
      <c r="J236" s="154">
        <f t="shared" si="331"/>
        <v>0</v>
      </c>
      <c r="K236" s="154">
        <f t="shared" si="332"/>
        <v>0</v>
      </c>
      <c r="L236" s="199">
        <f t="shared" si="333"/>
        <v>145</v>
      </c>
      <c r="M236" s="151">
        <f t="shared" si="334"/>
        <v>146.70908188399321</v>
      </c>
      <c r="N236" s="225">
        <f t="shared" si="335"/>
        <v>0</v>
      </c>
      <c r="O236" s="329">
        <f t="shared" si="328"/>
        <v>0</v>
      </c>
      <c r="Q236" s="177">
        <f t="shared" si="336"/>
        <v>0.45699879006863808</v>
      </c>
      <c r="R236" s="201"/>
      <c r="S236" s="201">
        <f t="shared" si="329"/>
        <v>1.1927668420791453E-2</v>
      </c>
      <c r="T236" s="202">
        <f t="shared" si="337"/>
        <v>0.46892645848942954</v>
      </c>
      <c r="V236" s="201">
        <f t="shared" si="338"/>
        <v>15.048926458489429</v>
      </c>
      <c r="W236" s="203">
        <f t="shared" si="339"/>
        <v>0</v>
      </c>
      <c r="X236" s="203">
        <f t="shared" si="340"/>
        <v>0</v>
      </c>
      <c r="Y236" s="204">
        <f t="shared" si="341"/>
        <v>0</v>
      </c>
      <c r="AA236" s="205">
        <f t="shared" si="342"/>
        <v>0</v>
      </c>
      <c r="AB236" s="206">
        <f t="shared" si="343"/>
        <v>3.2162308538369544E-2</v>
      </c>
    </row>
    <row r="237" spans="1:28" ht="12">
      <c r="A237" s="221" t="s">
        <v>260</v>
      </c>
      <c r="B237" s="209"/>
      <c r="C237" s="222">
        <f t="shared" si="330"/>
        <v>0</v>
      </c>
      <c r="E237" s="157">
        <f t="shared" si="146"/>
        <v>0</v>
      </c>
      <c r="F237" s="209">
        <f t="shared" si="170"/>
        <v>0</v>
      </c>
      <c r="G237" s="150">
        <v>12</v>
      </c>
      <c r="I237" s="237"/>
      <c r="J237" s="154">
        <f t="shared" ref="J237:J249" si="344">+C237*I237</f>
        <v>0</v>
      </c>
      <c r="K237" s="154">
        <f t="shared" ref="K237:K249" si="345">J237*12</f>
        <v>0</v>
      </c>
      <c r="L237" s="199">
        <f t="shared" ref="L237:L249" si="346">+D237*L$16</f>
        <v>0</v>
      </c>
      <c r="M237" s="151">
        <f t="shared" si="334"/>
        <v>0</v>
      </c>
      <c r="N237" s="225">
        <f t="shared" ref="N237:N249" si="347">ROUND((C237*L237*12)/2000,2)</f>
        <v>0</v>
      </c>
      <c r="O237" s="329">
        <f t="shared" si="328"/>
        <v>0</v>
      </c>
      <c r="Q237" s="177">
        <f t="shared" ref="Q237:Q249" si="348">M237*$R$12</f>
        <v>0</v>
      </c>
      <c r="R237" s="201"/>
      <c r="S237" s="201">
        <f t="shared" si="329"/>
        <v>0</v>
      </c>
      <c r="T237" s="202">
        <f t="shared" ref="T237:T249" si="349">+Q237+S237</f>
        <v>0</v>
      </c>
      <c r="V237" s="201">
        <f t="shared" ref="V237:V249" si="350">I237+T237</f>
        <v>0</v>
      </c>
      <c r="W237" s="203">
        <f t="shared" ref="W237:W249" si="351">C237*V237</f>
        <v>0</v>
      </c>
      <c r="X237" s="203">
        <f t="shared" ref="X237:X249" si="352">W237-J237</f>
        <v>0</v>
      </c>
      <c r="Y237" s="204">
        <f t="shared" ref="Y237:Y249" si="353">X237*12</f>
        <v>0</v>
      </c>
      <c r="AA237" s="205">
        <f t="shared" ref="AA237:AA249" si="354">O237*$R$11</f>
        <v>0</v>
      </c>
      <c r="AB237" s="206" t="str">
        <f t="shared" ref="AB237:AB249" si="355">IF(I237=0,"",V237/I237-1)</f>
        <v/>
      </c>
    </row>
    <row r="238" spans="1:28" ht="12">
      <c r="A238" s="221" t="s">
        <v>261</v>
      </c>
      <c r="B238" s="209"/>
      <c r="C238" s="222">
        <f t="shared" si="330"/>
        <v>0</v>
      </c>
      <c r="E238" s="157">
        <f t="shared" si="146"/>
        <v>0</v>
      </c>
      <c r="F238" s="209">
        <f t="shared" si="170"/>
        <v>0</v>
      </c>
      <c r="G238" s="150">
        <v>12</v>
      </c>
      <c r="I238" s="237"/>
      <c r="J238" s="154">
        <f t="shared" si="344"/>
        <v>0</v>
      </c>
      <c r="K238" s="154">
        <f t="shared" si="345"/>
        <v>0</v>
      </c>
      <c r="L238" s="199">
        <f t="shared" si="346"/>
        <v>0</v>
      </c>
      <c r="M238" s="151">
        <f t="shared" si="334"/>
        <v>0</v>
      </c>
      <c r="N238" s="225">
        <f t="shared" si="347"/>
        <v>0</v>
      </c>
      <c r="O238" s="329">
        <f t="shared" si="328"/>
        <v>0</v>
      </c>
      <c r="Q238" s="177">
        <f t="shared" si="348"/>
        <v>0</v>
      </c>
      <c r="R238" s="201"/>
      <c r="S238" s="201">
        <f t="shared" si="329"/>
        <v>0</v>
      </c>
      <c r="T238" s="202">
        <f t="shared" si="349"/>
        <v>0</v>
      </c>
      <c r="V238" s="201">
        <f t="shared" si="350"/>
        <v>0</v>
      </c>
      <c r="W238" s="203">
        <f t="shared" si="351"/>
        <v>0</v>
      </c>
      <c r="X238" s="203">
        <f t="shared" si="352"/>
        <v>0</v>
      </c>
      <c r="Y238" s="204">
        <f t="shared" si="353"/>
        <v>0</v>
      </c>
      <c r="AA238" s="205">
        <f t="shared" si="354"/>
        <v>0</v>
      </c>
      <c r="AB238" s="206" t="str">
        <f t="shared" si="355"/>
        <v/>
      </c>
    </row>
    <row r="239" spans="1:28" ht="12">
      <c r="A239" s="221" t="s">
        <v>262</v>
      </c>
      <c r="B239" s="209"/>
      <c r="C239" s="222">
        <f t="shared" si="330"/>
        <v>0</v>
      </c>
      <c r="E239" s="157">
        <f t="shared" si="146"/>
        <v>0</v>
      </c>
      <c r="F239" s="209">
        <f t="shared" si="170"/>
        <v>0</v>
      </c>
      <c r="G239" s="150">
        <v>12</v>
      </c>
      <c r="I239" s="237"/>
      <c r="J239" s="154">
        <f t="shared" si="344"/>
        <v>0</v>
      </c>
      <c r="K239" s="154">
        <f t="shared" si="345"/>
        <v>0</v>
      </c>
      <c r="L239" s="199">
        <f t="shared" si="346"/>
        <v>0</v>
      </c>
      <c r="M239" s="151">
        <f t="shared" si="334"/>
        <v>0</v>
      </c>
      <c r="N239" s="225">
        <f t="shared" si="347"/>
        <v>0</v>
      </c>
      <c r="O239" s="329">
        <f t="shared" si="328"/>
        <v>0</v>
      </c>
      <c r="Q239" s="177">
        <f t="shared" si="348"/>
        <v>0</v>
      </c>
      <c r="R239" s="201"/>
      <c r="S239" s="201">
        <f t="shared" si="329"/>
        <v>0</v>
      </c>
      <c r="T239" s="202">
        <f t="shared" si="349"/>
        <v>0</v>
      </c>
      <c r="V239" s="201">
        <f t="shared" si="350"/>
        <v>0</v>
      </c>
      <c r="W239" s="203">
        <f t="shared" si="351"/>
        <v>0</v>
      </c>
      <c r="X239" s="203">
        <f t="shared" si="352"/>
        <v>0</v>
      </c>
      <c r="Y239" s="204">
        <f t="shared" si="353"/>
        <v>0</v>
      </c>
      <c r="AA239" s="205">
        <f t="shared" si="354"/>
        <v>0</v>
      </c>
      <c r="AB239" s="206" t="str">
        <f t="shared" si="355"/>
        <v/>
      </c>
    </row>
    <row r="240" spans="1:28" ht="12">
      <c r="A240" s="221" t="s">
        <v>263</v>
      </c>
      <c r="B240" s="209"/>
      <c r="C240" s="222">
        <f t="shared" si="330"/>
        <v>0</v>
      </c>
      <c r="E240" s="157">
        <f t="shared" si="146"/>
        <v>0</v>
      </c>
      <c r="F240" s="209">
        <f t="shared" si="170"/>
        <v>0</v>
      </c>
      <c r="G240" s="150">
        <v>12</v>
      </c>
      <c r="I240" s="237"/>
      <c r="J240" s="154">
        <f t="shared" si="344"/>
        <v>0</v>
      </c>
      <c r="K240" s="154">
        <f t="shared" si="345"/>
        <v>0</v>
      </c>
      <c r="L240" s="199">
        <f t="shared" si="346"/>
        <v>0</v>
      </c>
      <c r="M240" s="151">
        <f t="shared" si="334"/>
        <v>0</v>
      </c>
      <c r="N240" s="225">
        <f t="shared" si="347"/>
        <v>0</v>
      </c>
      <c r="O240" s="329">
        <f t="shared" si="328"/>
        <v>0</v>
      </c>
      <c r="Q240" s="177">
        <f t="shared" si="348"/>
        <v>0</v>
      </c>
      <c r="R240" s="201"/>
      <c r="S240" s="201">
        <f t="shared" si="329"/>
        <v>0</v>
      </c>
      <c r="T240" s="202">
        <f t="shared" si="349"/>
        <v>0</v>
      </c>
      <c r="V240" s="201">
        <f t="shared" si="350"/>
        <v>0</v>
      </c>
      <c r="W240" s="203">
        <f t="shared" si="351"/>
        <v>0</v>
      </c>
      <c r="X240" s="203">
        <f t="shared" si="352"/>
        <v>0</v>
      </c>
      <c r="Y240" s="204">
        <f t="shared" si="353"/>
        <v>0</v>
      </c>
      <c r="AA240" s="205">
        <f t="shared" si="354"/>
        <v>0</v>
      </c>
      <c r="AB240" s="206" t="str">
        <f t="shared" si="355"/>
        <v/>
      </c>
    </row>
    <row r="241" spans="1:28" ht="12">
      <c r="A241" s="221" t="s">
        <v>264</v>
      </c>
      <c r="B241" s="209"/>
      <c r="C241" s="222">
        <f t="shared" si="330"/>
        <v>0</v>
      </c>
      <c r="E241" s="157">
        <f t="shared" si="146"/>
        <v>0</v>
      </c>
      <c r="F241" s="209">
        <f t="shared" si="170"/>
        <v>0</v>
      </c>
      <c r="G241" s="150">
        <v>12</v>
      </c>
      <c r="I241" s="237"/>
      <c r="J241" s="154">
        <f t="shared" si="344"/>
        <v>0</v>
      </c>
      <c r="K241" s="154">
        <f t="shared" si="345"/>
        <v>0</v>
      </c>
      <c r="L241" s="199">
        <f t="shared" si="346"/>
        <v>0</v>
      </c>
      <c r="M241" s="151">
        <f t="shared" si="334"/>
        <v>0</v>
      </c>
      <c r="N241" s="225">
        <f t="shared" si="347"/>
        <v>0</v>
      </c>
      <c r="O241" s="329">
        <f t="shared" si="328"/>
        <v>0</v>
      </c>
      <c r="Q241" s="177">
        <f t="shared" si="348"/>
        <v>0</v>
      </c>
      <c r="R241" s="201"/>
      <c r="S241" s="201">
        <f t="shared" si="329"/>
        <v>0</v>
      </c>
      <c r="T241" s="202">
        <f t="shared" si="349"/>
        <v>0</v>
      </c>
      <c r="V241" s="201">
        <f t="shared" si="350"/>
        <v>0</v>
      </c>
      <c r="W241" s="203">
        <f t="shared" si="351"/>
        <v>0</v>
      </c>
      <c r="X241" s="203">
        <f t="shared" si="352"/>
        <v>0</v>
      </c>
      <c r="Y241" s="204">
        <f t="shared" si="353"/>
        <v>0</v>
      </c>
      <c r="AA241" s="205">
        <f t="shared" si="354"/>
        <v>0</v>
      </c>
      <c r="AB241" s="206" t="str">
        <f t="shared" si="355"/>
        <v/>
      </c>
    </row>
    <row r="242" spans="1:28" ht="12">
      <c r="A242" s="221" t="s">
        <v>265</v>
      </c>
      <c r="B242" s="209"/>
      <c r="C242" s="222">
        <f t="shared" si="330"/>
        <v>0</v>
      </c>
      <c r="E242" s="157">
        <f t="shared" si="146"/>
        <v>0</v>
      </c>
      <c r="F242" s="209">
        <f t="shared" si="170"/>
        <v>0</v>
      </c>
      <c r="G242" s="150">
        <v>12</v>
      </c>
      <c r="I242" s="237"/>
      <c r="J242" s="154">
        <f t="shared" si="344"/>
        <v>0</v>
      </c>
      <c r="K242" s="154">
        <f t="shared" si="345"/>
        <v>0</v>
      </c>
      <c r="L242" s="199">
        <f t="shared" si="346"/>
        <v>0</v>
      </c>
      <c r="M242" s="151">
        <f t="shared" si="334"/>
        <v>0</v>
      </c>
      <c r="N242" s="225">
        <f t="shared" si="347"/>
        <v>0</v>
      </c>
      <c r="O242" s="329">
        <f t="shared" si="328"/>
        <v>0</v>
      </c>
      <c r="Q242" s="177">
        <f t="shared" si="348"/>
        <v>0</v>
      </c>
      <c r="R242" s="201"/>
      <c r="S242" s="201">
        <f t="shared" si="329"/>
        <v>0</v>
      </c>
      <c r="T242" s="202">
        <f t="shared" si="349"/>
        <v>0</v>
      </c>
      <c r="V242" s="201">
        <f t="shared" si="350"/>
        <v>0</v>
      </c>
      <c r="W242" s="203">
        <f t="shared" si="351"/>
        <v>0</v>
      </c>
      <c r="X242" s="203">
        <f t="shared" si="352"/>
        <v>0</v>
      </c>
      <c r="Y242" s="204">
        <f t="shared" si="353"/>
        <v>0</v>
      </c>
      <c r="AA242" s="205">
        <f t="shared" si="354"/>
        <v>0</v>
      </c>
      <c r="AB242" s="206" t="str">
        <f t="shared" si="355"/>
        <v/>
      </c>
    </row>
    <row r="243" spans="1:28" ht="12">
      <c r="A243" s="221" t="s">
        <v>266</v>
      </c>
      <c r="B243" s="209"/>
      <c r="C243" s="222">
        <f t="shared" si="330"/>
        <v>0</v>
      </c>
      <c r="E243" s="157">
        <f t="shared" si="146"/>
        <v>0</v>
      </c>
      <c r="F243" s="209">
        <f t="shared" si="170"/>
        <v>0</v>
      </c>
      <c r="G243" s="150">
        <v>12</v>
      </c>
      <c r="I243" s="237"/>
      <c r="J243" s="154">
        <f t="shared" si="344"/>
        <v>0</v>
      </c>
      <c r="K243" s="154">
        <f t="shared" si="345"/>
        <v>0</v>
      </c>
      <c r="L243" s="199">
        <f t="shared" si="346"/>
        <v>0</v>
      </c>
      <c r="M243" s="151">
        <f t="shared" si="334"/>
        <v>0</v>
      </c>
      <c r="N243" s="225">
        <f t="shared" si="347"/>
        <v>0</v>
      </c>
      <c r="O243" s="329">
        <f t="shared" si="328"/>
        <v>0</v>
      </c>
      <c r="Q243" s="177">
        <f t="shared" si="348"/>
        <v>0</v>
      </c>
      <c r="R243" s="201"/>
      <c r="S243" s="201">
        <f t="shared" si="329"/>
        <v>0</v>
      </c>
      <c r="T243" s="202">
        <f t="shared" si="349"/>
        <v>0</v>
      </c>
      <c r="V243" s="201">
        <f t="shared" si="350"/>
        <v>0</v>
      </c>
      <c r="W243" s="203">
        <f t="shared" si="351"/>
        <v>0</v>
      </c>
      <c r="X243" s="203">
        <f t="shared" si="352"/>
        <v>0</v>
      </c>
      <c r="Y243" s="204">
        <f t="shared" si="353"/>
        <v>0</v>
      </c>
      <c r="AA243" s="205">
        <f t="shared" si="354"/>
        <v>0</v>
      </c>
      <c r="AB243" s="206" t="str">
        <f t="shared" si="355"/>
        <v/>
      </c>
    </row>
    <row r="244" spans="1:28" ht="12">
      <c r="A244" s="221" t="s">
        <v>267</v>
      </c>
      <c r="B244" s="229"/>
      <c r="C244" s="222">
        <f t="shared" si="330"/>
        <v>0</v>
      </c>
      <c r="E244" s="157">
        <f t="shared" si="146"/>
        <v>0</v>
      </c>
      <c r="F244" s="209">
        <f t="shared" si="170"/>
        <v>0</v>
      </c>
      <c r="G244" s="150">
        <v>12</v>
      </c>
      <c r="I244" s="237"/>
      <c r="J244" s="154">
        <f t="shared" si="344"/>
        <v>0</v>
      </c>
      <c r="K244" s="154">
        <f t="shared" si="345"/>
        <v>0</v>
      </c>
      <c r="L244" s="199">
        <f t="shared" si="346"/>
        <v>0</v>
      </c>
      <c r="M244" s="151">
        <f t="shared" si="334"/>
        <v>0</v>
      </c>
      <c r="N244" s="225">
        <f t="shared" si="347"/>
        <v>0</v>
      </c>
      <c r="O244" s="329">
        <f t="shared" si="328"/>
        <v>0</v>
      </c>
      <c r="Q244" s="177">
        <f t="shared" si="348"/>
        <v>0</v>
      </c>
      <c r="R244" s="201"/>
      <c r="S244" s="201">
        <f t="shared" si="329"/>
        <v>0</v>
      </c>
      <c r="T244" s="202">
        <f t="shared" si="349"/>
        <v>0</v>
      </c>
      <c r="V244" s="201">
        <f t="shared" si="350"/>
        <v>0</v>
      </c>
      <c r="W244" s="203">
        <f t="shared" si="351"/>
        <v>0</v>
      </c>
      <c r="X244" s="203">
        <f t="shared" si="352"/>
        <v>0</v>
      </c>
      <c r="Y244" s="204">
        <f t="shared" si="353"/>
        <v>0</v>
      </c>
      <c r="AA244" s="205">
        <f t="shared" si="354"/>
        <v>0</v>
      </c>
      <c r="AB244" s="206" t="str">
        <f t="shared" si="355"/>
        <v/>
      </c>
    </row>
    <row r="245" spans="1:28" ht="12">
      <c r="A245" s="221" t="s">
        <v>268</v>
      </c>
      <c r="B245" s="229"/>
      <c r="C245" s="222">
        <f t="shared" si="330"/>
        <v>0</v>
      </c>
      <c r="E245" s="157">
        <f t="shared" si="146"/>
        <v>0</v>
      </c>
      <c r="F245" s="238"/>
      <c r="G245" s="150">
        <v>12</v>
      </c>
      <c r="I245" s="230"/>
      <c r="J245" s="154">
        <f t="shared" si="344"/>
        <v>0</v>
      </c>
      <c r="K245" s="154">
        <f t="shared" si="345"/>
        <v>0</v>
      </c>
      <c r="L245" s="199">
        <f t="shared" si="346"/>
        <v>0</v>
      </c>
      <c r="M245" s="151">
        <f t="shared" si="334"/>
        <v>0</v>
      </c>
      <c r="N245" s="225">
        <f t="shared" si="347"/>
        <v>0</v>
      </c>
      <c r="O245" s="329">
        <f t="shared" si="328"/>
        <v>0</v>
      </c>
      <c r="Q245" s="177">
        <f t="shared" si="348"/>
        <v>0</v>
      </c>
      <c r="R245" s="201"/>
      <c r="S245" s="201">
        <f t="shared" si="329"/>
        <v>0</v>
      </c>
      <c r="T245" s="202">
        <f t="shared" si="349"/>
        <v>0</v>
      </c>
      <c r="V245" s="201">
        <f t="shared" si="350"/>
        <v>0</v>
      </c>
      <c r="W245" s="203">
        <f t="shared" si="351"/>
        <v>0</v>
      </c>
      <c r="X245" s="203">
        <f t="shared" si="352"/>
        <v>0</v>
      </c>
      <c r="Y245" s="204">
        <f t="shared" si="353"/>
        <v>0</v>
      </c>
      <c r="AA245" s="205">
        <f t="shared" si="354"/>
        <v>0</v>
      </c>
      <c r="AB245" s="206" t="str">
        <f t="shared" si="355"/>
        <v/>
      </c>
    </row>
    <row r="246" spans="1:28" ht="12">
      <c r="A246" s="239" t="s">
        <v>269</v>
      </c>
      <c r="B246" s="209"/>
      <c r="C246" s="222">
        <f t="shared" si="330"/>
        <v>0</v>
      </c>
      <c r="E246" s="157">
        <f t="shared" ref="E246:E249" si="356">C246*D246</f>
        <v>0</v>
      </c>
      <c r="F246" s="209"/>
      <c r="G246" s="150">
        <v>12</v>
      </c>
      <c r="I246" s="210"/>
      <c r="J246" s="154">
        <f t="shared" si="344"/>
        <v>0</v>
      </c>
      <c r="K246" s="154">
        <f t="shared" si="345"/>
        <v>0</v>
      </c>
      <c r="L246" s="199">
        <f t="shared" si="346"/>
        <v>0</v>
      </c>
      <c r="M246" s="151">
        <f t="shared" si="334"/>
        <v>0</v>
      </c>
      <c r="N246" s="225">
        <f t="shared" si="347"/>
        <v>0</v>
      </c>
      <c r="O246" s="329">
        <f t="shared" si="328"/>
        <v>0</v>
      </c>
      <c r="Q246" s="177">
        <f t="shared" si="348"/>
        <v>0</v>
      </c>
      <c r="R246" s="201"/>
      <c r="S246" s="201">
        <f t="shared" si="329"/>
        <v>0</v>
      </c>
      <c r="T246" s="202">
        <f t="shared" si="349"/>
        <v>0</v>
      </c>
      <c r="V246" s="201">
        <f t="shared" si="350"/>
        <v>0</v>
      </c>
      <c r="W246" s="203">
        <f t="shared" si="351"/>
        <v>0</v>
      </c>
      <c r="X246" s="203">
        <f t="shared" si="352"/>
        <v>0</v>
      </c>
      <c r="Y246" s="204">
        <f t="shared" si="353"/>
        <v>0</v>
      </c>
      <c r="AA246" s="205">
        <f t="shared" si="354"/>
        <v>0</v>
      </c>
      <c r="AB246" s="206" t="str">
        <f t="shared" si="355"/>
        <v/>
      </c>
    </row>
    <row r="248" spans="1:28" ht="12">
      <c r="A248" s="239" t="str">
        <f>'Tariff Changes'!A97</f>
        <v>Bulky</v>
      </c>
      <c r="B248" s="209"/>
      <c r="C248" s="222">
        <f t="shared" si="330"/>
        <v>0</v>
      </c>
      <c r="D248" s="150">
        <v>1</v>
      </c>
      <c r="E248" s="157">
        <f t="shared" si="356"/>
        <v>0</v>
      </c>
      <c r="F248" s="209"/>
      <c r="G248" s="150">
        <v>12</v>
      </c>
      <c r="I248" s="210">
        <f>'Tariff Changes'!C97</f>
        <v>14.88</v>
      </c>
      <c r="J248" s="154">
        <f t="shared" si="344"/>
        <v>0</v>
      </c>
      <c r="K248" s="154">
        <f t="shared" si="345"/>
        <v>0</v>
      </c>
      <c r="L248" s="199">
        <f t="shared" si="346"/>
        <v>145</v>
      </c>
      <c r="M248" s="151">
        <f t="shared" si="334"/>
        <v>146.70908188399321</v>
      </c>
      <c r="N248" s="225">
        <f t="shared" si="347"/>
        <v>0</v>
      </c>
      <c r="O248" s="200">
        <f t="shared" ref="O248:O249" si="357">$S$5*N248</f>
        <v>0</v>
      </c>
      <c r="Q248" s="177">
        <f t="shared" si="348"/>
        <v>0.45699879006863808</v>
      </c>
      <c r="R248" s="201"/>
      <c r="S248" s="201">
        <f t="shared" ref="S248:S249" si="358">Q248*$U$12</f>
        <v>1.1927668420791453E-2</v>
      </c>
      <c r="T248" s="202">
        <f t="shared" si="349"/>
        <v>0.46892645848942954</v>
      </c>
      <c r="V248" s="201">
        <f t="shared" si="350"/>
        <v>15.34892645848943</v>
      </c>
      <c r="W248" s="203">
        <f t="shared" si="351"/>
        <v>0</v>
      </c>
      <c r="X248" s="203">
        <f t="shared" si="352"/>
        <v>0</v>
      </c>
      <c r="Y248" s="204">
        <f t="shared" si="353"/>
        <v>0</v>
      </c>
      <c r="AA248" s="205">
        <f t="shared" si="354"/>
        <v>0</v>
      </c>
      <c r="AB248" s="206">
        <f t="shared" si="355"/>
        <v>3.1513874898483119E-2</v>
      </c>
    </row>
    <row r="249" spans="1:28" ht="12">
      <c r="A249" s="239" t="str">
        <f>'Tariff Changes'!A98</f>
        <v>Loose Material</v>
      </c>
      <c r="B249" s="209"/>
      <c r="C249" s="222">
        <f t="shared" si="330"/>
        <v>0</v>
      </c>
      <c r="D249" s="150">
        <v>1</v>
      </c>
      <c r="E249" s="157">
        <f t="shared" si="356"/>
        <v>0</v>
      </c>
      <c r="F249" s="209"/>
      <c r="G249" s="150">
        <v>12</v>
      </c>
      <c r="I249" s="210">
        <f>'Tariff Changes'!C98</f>
        <v>14.88</v>
      </c>
      <c r="J249" s="154">
        <f t="shared" si="344"/>
        <v>0</v>
      </c>
      <c r="K249" s="154">
        <f t="shared" si="345"/>
        <v>0</v>
      </c>
      <c r="L249" s="199">
        <f t="shared" si="346"/>
        <v>145</v>
      </c>
      <c r="M249" s="151">
        <f t="shared" si="334"/>
        <v>146.70908188399321</v>
      </c>
      <c r="N249" s="225">
        <f t="shared" si="347"/>
        <v>0</v>
      </c>
      <c r="O249" s="200">
        <f t="shared" si="357"/>
        <v>0</v>
      </c>
      <c r="Q249" s="177">
        <f t="shared" si="348"/>
        <v>0.45699879006863808</v>
      </c>
      <c r="R249" s="201"/>
      <c r="S249" s="201">
        <f t="shared" si="358"/>
        <v>1.1927668420791453E-2</v>
      </c>
      <c r="T249" s="202">
        <f t="shared" si="349"/>
        <v>0.46892645848942954</v>
      </c>
      <c r="V249" s="201">
        <f t="shared" si="350"/>
        <v>15.34892645848943</v>
      </c>
      <c r="W249" s="203">
        <f t="shared" si="351"/>
        <v>0</v>
      </c>
      <c r="X249" s="203">
        <f t="shared" si="352"/>
        <v>0</v>
      </c>
      <c r="Y249" s="204">
        <f t="shared" si="353"/>
        <v>0</v>
      </c>
      <c r="AA249" s="205">
        <f t="shared" si="354"/>
        <v>0</v>
      </c>
      <c r="AB249" s="206">
        <f t="shared" si="355"/>
        <v>3.1513874898483119E-2</v>
      </c>
    </row>
    <row r="251" spans="1:28">
      <c r="A251" s="232" t="s">
        <v>273</v>
      </c>
      <c r="B251" s="209"/>
      <c r="C251" s="229"/>
      <c r="E251" s="158">
        <f>SUM(E157:E246)</f>
        <v>10920</v>
      </c>
      <c r="F251" s="209"/>
      <c r="I251" s="210"/>
      <c r="J251" s="154">
        <f>SUM(J157:J245)</f>
        <v>54036.855994999998</v>
      </c>
      <c r="K251" s="154">
        <f>SUM(K157:K245)</f>
        <v>648442.27193999989</v>
      </c>
      <c r="L251" s="154"/>
      <c r="M251" s="154"/>
      <c r="N251" s="154">
        <f>SUM(N157:N245)</f>
        <v>2455.6999999999998</v>
      </c>
      <c r="O251" s="154">
        <f>SUM(O157:O245)</f>
        <v>2484.6447750518764</v>
      </c>
      <c r="W251" s="203">
        <f>SUM(W157:W246)</f>
        <v>55360.468466252751</v>
      </c>
      <c r="X251" s="203">
        <f>SUM(X157:X246)</f>
        <v>1323.6124712527503</v>
      </c>
      <c r="Y251" s="203">
        <f>SUM(Y157:Y246)</f>
        <v>15883.349655033002</v>
      </c>
      <c r="AA251" s="212">
        <f>SUM(AA157:AA246)</f>
        <v>15479.336948573167</v>
      </c>
    </row>
    <row r="252" spans="1:28">
      <c r="A252" s="218"/>
      <c r="B252" s="218"/>
      <c r="C252" s="218"/>
      <c r="D252" s="218"/>
      <c r="E252" s="218"/>
      <c r="F252" s="218"/>
      <c r="G252" s="218"/>
      <c r="H252" s="218"/>
      <c r="I252" s="218"/>
      <c r="J252" s="218"/>
      <c r="K252" s="218"/>
      <c r="L252" s="218"/>
      <c r="M252" s="240"/>
      <c r="N252" s="241"/>
      <c r="O252" s="218"/>
      <c r="AA252" s="169"/>
    </row>
    <row r="253" spans="1:28">
      <c r="A253" s="152"/>
      <c r="B253" s="152"/>
      <c r="C253" s="152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  <c r="Y253" s="152"/>
      <c r="Z253" s="152"/>
      <c r="AA253" s="169"/>
    </row>
    <row r="254" spans="1:28">
      <c r="M254" s="150"/>
      <c r="AA254" s="169"/>
    </row>
    <row r="255" spans="1:28" ht="12" thickBot="1">
      <c r="M255" s="150"/>
      <c r="AA255" s="169"/>
    </row>
    <row r="256" spans="1:28" ht="12" thickBot="1">
      <c r="A256" s="242" t="s">
        <v>207</v>
      </c>
      <c r="B256" s="243"/>
      <c r="C256" s="243"/>
      <c r="D256" s="243"/>
      <c r="E256" s="244">
        <f>+E154+E251</f>
        <v>16533</v>
      </c>
      <c r="F256" s="243"/>
      <c r="G256" s="243"/>
      <c r="H256" s="243"/>
      <c r="I256" s="243"/>
      <c r="J256" s="245">
        <f>+J246+J154</f>
        <v>329532.87</v>
      </c>
      <c r="K256" s="245">
        <f>+K246+K154</f>
        <v>3954394.4399999995</v>
      </c>
      <c r="L256" s="243"/>
      <c r="M256" s="245">
        <f>+M246+M154</f>
        <v>0</v>
      </c>
      <c r="N256" s="245">
        <f>+N246+N154</f>
        <v>1503.57</v>
      </c>
      <c r="O256" s="245">
        <f>+O246+O154</f>
        <v>1521.2922361952803</v>
      </c>
      <c r="P256" s="245"/>
      <c r="Q256" s="245"/>
      <c r="R256" s="245"/>
      <c r="S256" s="245"/>
      <c r="T256" s="245"/>
      <c r="U256" s="245"/>
      <c r="V256" s="245"/>
      <c r="W256" s="246">
        <f>W58+W154+W251</f>
        <v>513270.24902429327</v>
      </c>
      <c r="X256" s="246">
        <f>X58+X154+X251</f>
        <v>13544.001362626657</v>
      </c>
      <c r="Y256" s="246">
        <f>Y58+Y154+Y251</f>
        <v>162528.01635151988</v>
      </c>
      <c r="Z256" s="246"/>
      <c r="AA256" s="247">
        <f>AA58+AA154+AA251</f>
        <v>54162.866255776273</v>
      </c>
    </row>
    <row r="257" spans="1:25">
      <c r="A257" s="219"/>
      <c r="O257" s="200"/>
      <c r="X257" s="226"/>
      <c r="Y257" s="226"/>
    </row>
    <row r="258" spans="1:25">
      <c r="A258" s="219"/>
      <c r="O258" s="200"/>
    </row>
    <row r="351" spans="1:27">
      <c r="A351" s="152"/>
      <c r="B351" s="152"/>
      <c r="C351" s="152"/>
      <c r="D351" s="152"/>
      <c r="E351" s="152"/>
      <c r="F351" s="152"/>
      <c r="G351" s="152"/>
      <c r="H351" s="152"/>
      <c r="I351" s="152"/>
      <c r="J351" s="152"/>
      <c r="K351" s="152"/>
      <c r="L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  <c r="Y351" s="152"/>
      <c r="Z351" s="152"/>
      <c r="AA351" s="152"/>
    </row>
    <row r="352" spans="1:27">
      <c r="A352" s="152"/>
      <c r="B352" s="152"/>
      <c r="C352" s="152"/>
      <c r="D352" s="152"/>
      <c r="E352" s="152"/>
      <c r="F352" s="152"/>
      <c r="G352" s="152"/>
      <c r="H352" s="152"/>
      <c r="I352" s="152"/>
      <c r="J352" s="152"/>
      <c r="K352" s="152"/>
      <c r="L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  <c r="Y352" s="152"/>
      <c r="Z352" s="152"/>
      <c r="AA352" s="152"/>
    </row>
    <row r="353" spans="1:27">
      <c r="A353" s="152"/>
      <c r="B353" s="152"/>
      <c r="C353" s="152"/>
      <c r="D353" s="152"/>
      <c r="E353" s="152"/>
      <c r="F353" s="152"/>
      <c r="G353" s="152"/>
      <c r="H353" s="152"/>
      <c r="I353" s="152"/>
      <c r="J353" s="152"/>
      <c r="K353" s="152"/>
      <c r="L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  <c r="Y353" s="152"/>
      <c r="Z353" s="152"/>
      <c r="AA353" s="152"/>
    </row>
    <row r="354" spans="1:27">
      <c r="A354" s="152"/>
      <c r="B354" s="152"/>
      <c r="C354" s="152"/>
      <c r="D354" s="152"/>
      <c r="E354" s="152"/>
      <c r="F354" s="152"/>
      <c r="G354" s="152"/>
      <c r="H354" s="152"/>
      <c r="I354" s="152"/>
      <c r="J354" s="152"/>
      <c r="K354" s="152"/>
      <c r="L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  <c r="Y354" s="152"/>
      <c r="Z354" s="152"/>
      <c r="AA354" s="152"/>
    </row>
    <row r="355" spans="1:27">
      <c r="A355" s="152"/>
      <c r="B355" s="152"/>
      <c r="C355" s="152"/>
      <c r="D355" s="152"/>
      <c r="E355" s="152"/>
      <c r="F355" s="152"/>
      <c r="G355" s="152"/>
      <c r="H355" s="152"/>
      <c r="I355" s="152"/>
      <c r="J355" s="152"/>
      <c r="K355" s="152"/>
      <c r="L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  <c r="Y355" s="152"/>
      <c r="Z355" s="152"/>
      <c r="AA355" s="152"/>
    </row>
    <row r="356" spans="1:27">
      <c r="A356" s="152"/>
      <c r="B356" s="152"/>
      <c r="C356" s="152"/>
      <c r="D356" s="152"/>
      <c r="E356" s="152"/>
      <c r="F356" s="152"/>
      <c r="G356" s="152"/>
      <c r="H356" s="152"/>
      <c r="I356" s="152"/>
      <c r="J356" s="152"/>
      <c r="K356" s="152"/>
      <c r="L356" s="152"/>
      <c r="N356" s="152"/>
      <c r="O356" s="152"/>
      <c r="P356" s="152"/>
      <c r="Q356" s="152"/>
      <c r="R356" s="152"/>
      <c r="S356" s="152"/>
      <c r="T356" s="152"/>
      <c r="U356" s="152"/>
      <c r="V356" s="152"/>
      <c r="W356" s="152"/>
      <c r="X356" s="152"/>
      <c r="Y356" s="152"/>
      <c r="Z356" s="152"/>
      <c r="AA356" s="152"/>
    </row>
    <row r="357" spans="1:27">
      <c r="A357" s="152"/>
      <c r="B357" s="152"/>
      <c r="C357" s="152"/>
      <c r="D357" s="152"/>
      <c r="E357" s="152"/>
      <c r="F357" s="152"/>
      <c r="G357" s="152"/>
      <c r="H357" s="152"/>
      <c r="I357" s="152"/>
      <c r="J357" s="152"/>
      <c r="K357" s="152"/>
      <c r="L357" s="152"/>
      <c r="N357" s="152"/>
      <c r="O357" s="152"/>
      <c r="P357" s="152"/>
      <c r="Q357" s="152"/>
      <c r="R357" s="152"/>
      <c r="S357" s="152"/>
      <c r="T357" s="152"/>
      <c r="U357" s="152"/>
      <c r="V357" s="152"/>
      <c r="W357" s="152"/>
      <c r="X357" s="152"/>
      <c r="Y357" s="152"/>
      <c r="Z357" s="152"/>
      <c r="AA357" s="152"/>
    </row>
    <row r="358" spans="1:27">
      <c r="A358" s="152"/>
      <c r="B358" s="152"/>
      <c r="C358" s="152"/>
      <c r="D358" s="152"/>
      <c r="E358" s="152"/>
      <c r="F358" s="152"/>
      <c r="G358" s="152"/>
      <c r="H358" s="152"/>
      <c r="I358" s="152"/>
      <c r="J358" s="152"/>
      <c r="K358" s="152"/>
      <c r="L358" s="152"/>
      <c r="N358" s="152"/>
      <c r="O358" s="152"/>
      <c r="P358" s="152"/>
      <c r="Q358" s="152"/>
      <c r="R358" s="152"/>
      <c r="S358" s="152"/>
      <c r="T358" s="152"/>
      <c r="U358" s="152"/>
      <c r="V358" s="152"/>
      <c r="W358" s="152"/>
      <c r="X358" s="152"/>
      <c r="Y358" s="152"/>
      <c r="Z358" s="152"/>
      <c r="AA358" s="152"/>
    </row>
    <row r="359" spans="1:27">
      <c r="A359" s="152"/>
      <c r="B359" s="152"/>
      <c r="C359" s="152"/>
      <c r="D359" s="152"/>
      <c r="E359" s="152"/>
      <c r="F359" s="152"/>
      <c r="G359" s="152"/>
      <c r="H359" s="152"/>
      <c r="I359" s="152"/>
      <c r="J359" s="152"/>
      <c r="K359" s="152"/>
      <c r="L359" s="152"/>
      <c r="N359" s="152"/>
      <c r="O359" s="152"/>
      <c r="P359" s="152"/>
      <c r="Q359" s="152"/>
      <c r="R359" s="152"/>
      <c r="S359" s="152"/>
      <c r="T359" s="152"/>
      <c r="U359" s="152"/>
      <c r="V359" s="152"/>
      <c r="W359" s="152"/>
      <c r="X359" s="152"/>
      <c r="Y359" s="152"/>
      <c r="Z359" s="152"/>
      <c r="AA359" s="152"/>
    </row>
    <row r="360" spans="1:27">
      <c r="A360" s="152"/>
      <c r="B360" s="152"/>
      <c r="C360" s="152"/>
      <c r="D360" s="152"/>
      <c r="E360" s="152"/>
      <c r="F360" s="152"/>
      <c r="G360" s="152"/>
      <c r="H360" s="152"/>
      <c r="I360" s="152"/>
      <c r="J360" s="152"/>
      <c r="K360" s="152"/>
      <c r="L360" s="152"/>
      <c r="N360" s="152"/>
      <c r="O360" s="152"/>
      <c r="P360" s="152"/>
      <c r="Q360" s="152"/>
      <c r="R360" s="152"/>
      <c r="S360" s="152"/>
      <c r="T360" s="152"/>
      <c r="U360" s="152"/>
      <c r="V360" s="152"/>
      <c r="W360" s="152"/>
      <c r="X360" s="152"/>
      <c r="Y360" s="152"/>
      <c r="Z360" s="152"/>
      <c r="AA360" s="152"/>
    </row>
    <row r="361" spans="1:27">
      <c r="A361" s="152"/>
      <c r="B361" s="152"/>
      <c r="C361" s="152"/>
      <c r="D361" s="152"/>
      <c r="E361" s="152"/>
      <c r="F361" s="152"/>
      <c r="G361" s="152"/>
      <c r="H361" s="152"/>
      <c r="I361" s="152"/>
      <c r="J361" s="152"/>
      <c r="K361" s="152"/>
      <c r="L361" s="152"/>
      <c r="N361" s="152"/>
      <c r="O361" s="152"/>
      <c r="P361" s="152"/>
      <c r="Q361" s="152"/>
      <c r="R361" s="152"/>
      <c r="S361" s="152"/>
      <c r="T361" s="152"/>
      <c r="U361" s="152"/>
      <c r="V361" s="152"/>
      <c r="W361" s="152"/>
      <c r="X361" s="152"/>
      <c r="Y361" s="152"/>
      <c r="Z361" s="152"/>
      <c r="AA361" s="152"/>
    </row>
    <row r="362" spans="1:27">
      <c r="A362" s="152"/>
      <c r="B362" s="152"/>
      <c r="C362" s="152"/>
      <c r="D362" s="152"/>
      <c r="E362" s="152"/>
      <c r="F362" s="152"/>
      <c r="G362" s="152"/>
      <c r="H362" s="152"/>
      <c r="I362" s="152"/>
      <c r="J362" s="152"/>
      <c r="K362" s="152"/>
      <c r="L362" s="152"/>
      <c r="N362" s="152"/>
      <c r="O362" s="152"/>
      <c r="P362" s="152"/>
      <c r="Q362" s="152"/>
      <c r="R362" s="152"/>
      <c r="S362" s="152"/>
      <c r="T362" s="152"/>
      <c r="U362" s="152"/>
      <c r="V362" s="152"/>
      <c r="W362" s="152"/>
      <c r="X362" s="152"/>
      <c r="Y362" s="152"/>
      <c r="Z362" s="152"/>
      <c r="AA362" s="152"/>
    </row>
    <row r="363" spans="1:27">
      <c r="A363" s="152"/>
      <c r="B363" s="152"/>
      <c r="C363" s="152"/>
      <c r="D363" s="152"/>
      <c r="E363" s="152"/>
      <c r="F363" s="152"/>
      <c r="G363" s="152"/>
      <c r="H363" s="152"/>
      <c r="I363" s="152"/>
      <c r="J363" s="152"/>
      <c r="K363" s="152"/>
      <c r="L363" s="152"/>
      <c r="N363" s="152"/>
      <c r="O363" s="152"/>
      <c r="P363" s="152"/>
      <c r="Q363" s="152"/>
      <c r="R363" s="152"/>
      <c r="S363" s="152"/>
      <c r="T363" s="152"/>
      <c r="U363" s="152"/>
      <c r="V363" s="152"/>
      <c r="W363" s="152"/>
      <c r="X363" s="152"/>
      <c r="Y363" s="152"/>
      <c r="Z363" s="152"/>
      <c r="AA363" s="152"/>
    </row>
    <row r="364" spans="1:27">
      <c r="A364" s="152"/>
      <c r="B364" s="152"/>
      <c r="C364" s="152"/>
      <c r="D364" s="152"/>
      <c r="E364" s="152"/>
      <c r="F364" s="152"/>
      <c r="G364" s="152"/>
      <c r="H364" s="152"/>
      <c r="I364" s="152"/>
      <c r="J364" s="152"/>
      <c r="K364" s="152"/>
      <c r="L364" s="152"/>
      <c r="N364" s="152"/>
      <c r="O364" s="152"/>
      <c r="P364" s="152"/>
      <c r="Q364" s="152"/>
      <c r="R364" s="152"/>
      <c r="S364" s="152"/>
      <c r="T364" s="152"/>
      <c r="U364" s="152"/>
      <c r="V364" s="152"/>
      <c r="W364" s="152"/>
      <c r="X364" s="152"/>
      <c r="Y364" s="152"/>
      <c r="Z364" s="152"/>
      <c r="AA364" s="152"/>
    </row>
    <row r="365" spans="1:27">
      <c r="A365" s="152"/>
      <c r="B365" s="152"/>
      <c r="C365" s="152"/>
      <c r="D365" s="152"/>
      <c r="E365" s="152"/>
      <c r="F365" s="152"/>
      <c r="G365" s="152"/>
      <c r="H365" s="152"/>
      <c r="I365" s="152"/>
      <c r="J365" s="152"/>
      <c r="K365" s="152"/>
      <c r="L365" s="152"/>
      <c r="N365" s="152"/>
      <c r="O365" s="152"/>
      <c r="P365" s="152"/>
      <c r="Q365" s="152"/>
      <c r="R365" s="152"/>
      <c r="S365" s="152"/>
      <c r="T365" s="152"/>
      <c r="U365" s="152"/>
      <c r="V365" s="152"/>
      <c r="W365" s="152"/>
      <c r="X365" s="152"/>
      <c r="Y365" s="152"/>
      <c r="Z365" s="152"/>
      <c r="AA365" s="152"/>
    </row>
    <row r="366" spans="1:27">
      <c r="A366" s="152"/>
      <c r="B366" s="152"/>
      <c r="C366" s="152"/>
      <c r="D366" s="152"/>
      <c r="E366" s="152"/>
      <c r="F366" s="152"/>
      <c r="G366" s="152"/>
      <c r="H366" s="152"/>
      <c r="I366" s="152"/>
      <c r="J366" s="152"/>
      <c r="K366" s="152"/>
      <c r="L366" s="152"/>
      <c r="N366" s="152"/>
      <c r="O366" s="152"/>
      <c r="P366" s="152"/>
      <c r="Q366" s="152"/>
      <c r="R366" s="152"/>
      <c r="S366" s="152"/>
      <c r="T366" s="152"/>
      <c r="U366" s="152"/>
      <c r="V366" s="152"/>
      <c r="W366" s="152"/>
      <c r="X366" s="152"/>
      <c r="Y366" s="152"/>
      <c r="Z366" s="152"/>
      <c r="AA366" s="152"/>
    </row>
  </sheetData>
  <pageMargins left="0.7" right="0.7" top="0.75" bottom="0.75" header="0.3" footer="0.3"/>
  <pageSetup scale="40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417078128F67F47AD6E5138C02EA052" ma:contentTypeVersion="68" ma:contentTypeDescription="" ma:contentTypeScope="" ma:versionID="c584e22b2a1a69295eca351f9db49a0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2018-11-15T08:00:00+00:00</OpenedDate>
    <SignificantOrder xmlns="dc463f71-b30c-4ab2-9473-d307f9d35888">false</SignificantOrder>
    <Date1 xmlns="dc463f71-b30c-4ab2-9473-d307f9d35888">2018-11-15T08:00:00+00:00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RABANCO LTD</CaseCompanyNames>
    <Nickname xmlns="http://schemas.microsoft.com/sharepoint/v3" xsi:nil="true"/>
    <DocketNumber xmlns="dc463f71-b30c-4ab2-9473-d307f9d35888">180939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9E82D4F-DCC4-4C28-B2C4-EC8D1C746364}"/>
</file>

<file path=customXml/itemProps2.xml><?xml version="1.0" encoding="utf-8"?>
<ds:datastoreItem xmlns:ds="http://schemas.openxmlformats.org/officeDocument/2006/customXml" ds:itemID="{B67946F6-253B-40F3-ADF9-DBD760147FC0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www.w3.org/XML/1998/namespace"/>
    <ds:schemaRef ds:uri="7429f450-94b4-4416-870d-2c1407281566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7CCDAC-5E1F-495F-8818-BFE4B069189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2FDB58A-8E36-4263-97D7-4C4B8C9DFB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References</vt:lpstr>
      <vt:lpstr>Staff Calcs </vt:lpstr>
      <vt:lpstr>Tariff Changes</vt:lpstr>
      <vt:lpstr>Company Price Out Rates Compare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 Calculations</dc:title>
  <dc:creator>Mike Young</dc:creator>
  <cp:lastModifiedBy>Cramer, Diane</cp:lastModifiedBy>
  <cp:lastPrinted>2016-12-19T19:12:30Z</cp:lastPrinted>
  <dcterms:created xsi:type="dcterms:W3CDTF">2013-10-29T22:33:54Z</dcterms:created>
  <dcterms:modified xsi:type="dcterms:W3CDTF">2018-11-12T20:41:58Z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0x0101006E56B4D1795A2E4DB2F0B01679ED314A003417078128F67F47AD6E5138C02EA052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