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3380" windowHeight="7350" tabRatio="730" activeTab="1"/>
  </bookViews>
  <sheets>
    <sheet name="References" sheetId="4" r:id="rId1"/>
    <sheet name="Staff Calcs " sheetId="7" r:id="rId2"/>
    <sheet name="Tariff Changes" sheetId="10" r:id="rId3"/>
    <sheet name="Company Price Out Rates Compare" sheetId="1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W60" i="7" l="1"/>
  <c r="N54" i="7" l="1"/>
  <c r="V171" i="13"/>
  <c r="V215" i="13"/>
  <c r="N82" i="7" l="1"/>
  <c r="N81" i="7"/>
  <c r="N76" i="7"/>
  <c r="O118" i="7" l="1"/>
  <c r="O119" i="7"/>
  <c r="O120" i="7"/>
  <c r="O121" i="7"/>
  <c r="O122" i="7"/>
  <c r="O123" i="7"/>
  <c r="O124" i="7"/>
  <c r="O125" i="7"/>
  <c r="O104" i="7" l="1"/>
  <c r="O105" i="7"/>
  <c r="O106" i="7"/>
  <c r="O107" i="7"/>
  <c r="O108" i="7"/>
  <c r="O110" i="7"/>
  <c r="M104" i="7"/>
  <c r="M105" i="7"/>
  <c r="M106" i="7"/>
  <c r="M107" i="7"/>
  <c r="M108" i="7"/>
  <c r="M110" i="7"/>
  <c r="M118" i="7"/>
  <c r="M119" i="7"/>
  <c r="M120" i="7"/>
  <c r="M121" i="7"/>
  <c r="M122" i="7"/>
  <c r="M123" i="7"/>
  <c r="M124" i="7"/>
  <c r="M125" i="7"/>
  <c r="F74" i="13" l="1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21" i="13"/>
  <c r="C165" i="13" l="1"/>
  <c r="F5" i="13"/>
  <c r="L85" i="13" l="1"/>
  <c r="G85" i="13"/>
  <c r="C85" i="13"/>
  <c r="J85" i="13" s="1"/>
  <c r="K85" i="13" s="1"/>
  <c r="L84" i="13"/>
  <c r="G84" i="13"/>
  <c r="C84" i="13"/>
  <c r="E84" i="13" s="1"/>
  <c r="L135" i="13"/>
  <c r="G135" i="13"/>
  <c r="C135" i="13"/>
  <c r="E135" i="13" s="1"/>
  <c r="L126" i="13"/>
  <c r="G126" i="13"/>
  <c r="C126" i="13"/>
  <c r="J126" i="13" s="1"/>
  <c r="K126" i="13" s="1"/>
  <c r="L114" i="13"/>
  <c r="F114" i="13"/>
  <c r="G114" i="13"/>
  <c r="C114" i="13"/>
  <c r="E114" i="13" s="1"/>
  <c r="L105" i="13"/>
  <c r="G105" i="13"/>
  <c r="C105" i="13"/>
  <c r="J96" i="13"/>
  <c r="K96" i="13" s="1"/>
  <c r="L96" i="13"/>
  <c r="N96" i="13" s="1"/>
  <c r="E96" i="13"/>
  <c r="F96" i="13"/>
  <c r="G96" i="13"/>
  <c r="F91" i="13"/>
  <c r="G91" i="13"/>
  <c r="L91" i="13"/>
  <c r="C91" i="13"/>
  <c r="E91" i="13" s="1"/>
  <c r="G86" i="13"/>
  <c r="G87" i="13"/>
  <c r="C86" i="13"/>
  <c r="F86" i="13" s="1"/>
  <c r="L86" i="13"/>
  <c r="L214" i="13"/>
  <c r="C214" i="13"/>
  <c r="F214" i="13" s="1"/>
  <c r="L205" i="13"/>
  <c r="C205" i="13"/>
  <c r="N205" i="13" s="1"/>
  <c r="L193" i="13"/>
  <c r="C193" i="13"/>
  <c r="J193" i="13" s="1"/>
  <c r="K193" i="13" s="1"/>
  <c r="L184" i="13"/>
  <c r="C184" i="13"/>
  <c r="F184" i="13" s="1"/>
  <c r="L175" i="13"/>
  <c r="C175" i="13"/>
  <c r="F175" i="13" s="1"/>
  <c r="F170" i="13"/>
  <c r="L170" i="13"/>
  <c r="C170" i="13"/>
  <c r="G170" i="13" s="1"/>
  <c r="AB166" i="13"/>
  <c r="J165" i="13"/>
  <c r="K165" i="13" s="1"/>
  <c r="F165" i="13"/>
  <c r="G165" i="13"/>
  <c r="L165" i="13"/>
  <c r="N165" i="13" s="1"/>
  <c r="L162" i="13"/>
  <c r="L163" i="13"/>
  <c r="L164" i="13"/>
  <c r="C163" i="13"/>
  <c r="J163" i="13" s="1"/>
  <c r="K163" i="13" s="1"/>
  <c r="C164" i="13"/>
  <c r="F164" i="13" s="1"/>
  <c r="C162" i="13"/>
  <c r="J162" i="13" s="1"/>
  <c r="K162" i="13" s="1"/>
  <c r="G75" i="7"/>
  <c r="H75" i="7" s="1"/>
  <c r="G71" i="7"/>
  <c r="H71" i="7" s="1"/>
  <c r="G72" i="7"/>
  <c r="H72" i="7" s="1"/>
  <c r="G73" i="7"/>
  <c r="H73" i="7" s="1"/>
  <c r="G74" i="7"/>
  <c r="H74" i="7" s="1"/>
  <c r="G70" i="7"/>
  <c r="H70" i="7" s="1"/>
  <c r="AB129" i="13"/>
  <c r="L128" i="13"/>
  <c r="G128" i="13"/>
  <c r="C128" i="13"/>
  <c r="J128" i="13" s="1"/>
  <c r="K128" i="13" s="1"/>
  <c r="L116" i="13"/>
  <c r="G116" i="13"/>
  <c r="C116" i="13"/>
  <c r="J116" i="13" s="1"/>
  <c r="K116" i="13" s="1"/>
  <c r="L108" i="13"/>
  <c r="G108" i="13"/>
  <c r="C108" i="13"/>
  <c r="E108" i="13" s="1"/>
  <c r="E73" i="10"/>
  <c r="E72" i="10"/>
  <c r="E71" i="10"/>
  <c r="L207" i="13"/>
  <c r="AB208" i="13"/>
  <c r="C207" i="13"/>
  <c r="F207" i="13" s="1"/>
  <c r="L195" i="13"/>
  <c r="C195" i="13"/>
  <c r="J195" i="13" s="1"/>
  <c r="K195" i="13" s="1"/>
  <c r="AB186" i="13"/>
  <c r="L187" i="13"/>
  <c r="C187" i="13"/>
  <c r="J187" i="13" s="1"/>
  <c r="K187" i="13" s="1"/>
  <c r="E119" i="10"/>
  <c r="E117" i="10"/>
  <c r="E116" i="10"/>
  <c r="E115" i="10"/>
  <c r="E111" i="10"/>
  <c r="E110" i="10"/>
  <c r="L59" i="13"/>
  <c r="N59" i="13" s="1"/>
  <c r="J59" i="13"/>
  <c r="K59" i="13" s="1"/>
  <c r="L33" i="13"/>
  <c r="N33" i="13" s="1"/>
  <c r="J33" i="13"/>
  <c r="K33" i="13" s="1"/>
  <c r="L34" i="13"/>
  <c r="N34" i="13" s="1"/>
  <c r="L58" i="13"/>
  <c r="N58" i="13" s="1"/>
  <c r="N32" i="13"/>
  <c r="L32" i="13"/>
  <c r="J32" i="13"/>
  <c r="K32" i="13" s="1"/>
  <c r="J58" i="13"/>
  <c r="K58" i="13" s="1"/>
  <c r="E107" i="10"/>
  <c r="E106" i="10"/>
  <c r="O109" i="7" s="1"/>
  <c r="E105" i="10"/>
  <c r="E104" i="10"/>
  <c r="L81" i="13"/>
  <c r="L82" i="13"/>
  <c r="L83" i="13"/>
  <c r="G81" i="13"/>
  <c r="G82" i="13"/>
  <c r="G83" i="13"/>
  <c r="C81" i="13"/>
  <c r="F81" i="13" s="1"/>
  <c r="C82" i="13"/>
  <c r="J82" i="13" s="1"/>
  <c r="K82" i="13" s="1"/>
  <c r="C83" i="13"/>
  <c r="AB87" i="13"/>
  <c r="S232" i="13"/>
  <c r="X232" i="13"/>
  <c r="F231" i="13"/>
  <c r="E24" i="10"/>
  <c r="E23" i="10"/>
  <c r="G163" i="13" l="1"/>
  <c r="J184" i="13"/>
  <c r="K184" i="13" s="1"/>
  <c r="N83" i="13"/>
  <c r="J83" i="13"/>
  <c r="K83" i="13" s="1"/>
  <c r="J114" i="13"/>
  <c r="K114" i="13" s="1"/>
  <c r="E82" i="13"/>
  <c r="N105" i="13"/>
  <c r="F84" i="13"/>
  <c r="E128" i="13"/>
  <c r="F195" i="13"/>
  <c r="G214" i="13"/>
  <c r="J214" i="13"/>
  <c r="K214" i="13" s="1"/>
  <c r="N207" i="13"/>
  <c r="G195" i="13"/>
  <c r="G193" i="13"/>
  <c r="G184" i="13"/>
  <c r="J175" i="13"/>
  <c r="K175" i="13" s="1"/>
  <c r="J86" i="13"/>
  <c r="K86" i="13" s="1"/>
  <c r="E81" i="13"/>
  <c r="F116" i="13"/>
  <c r="N175" i="13"/>
  <c r="J91" i="13"/>
  <c r="K91" i="13" s="1"/>
  <c r="F105" i="13"/>
  <c r="J105" i="13"/>
  <c r="K105" i="13" s="1"/>
  <c r="E85" i="13"/>
  <c r="E86" i="13"/>
  <c r="F82" i="13"/>
  <c r="J81" i="13"/>
  <c r="K81" i="13" s="1"/>
  <c r="N116" i="13"/>
  <c r="F128" i="13"/>
  <c r="N184" i="13"/>
  <c r="N86" i="13"/>
  <c r="E105" i="13"/>
  <c r="J84" i="13"/>
  <c r="K84" i="13" s="1"/>
  <c r="N187" i="13"/>
  <c r="J207" i="13"/>
  <c r="K207" i="13" s="1"/>
  <c r="N162" i="13"/>
  <c r="N135" i="13"/>
  <c r="G187" i="13"/>
  <c r="G207" i="13"/>
  <c r="J108" i="13"/>
  <c r="K108" i="13" s="1"/>
  <c r="G162" i="13"/>
  <c r="E83" i="13"/>
  <c r="F187" i="13"/>
  <c r="F108" i="13"/>
  <c r="N108" i="13"/>
  <c r="E116" i="13"/>
  <c r="F162" i="13"/>
  <c r="G164" i="13"/>
  <c r="J170" i="13"/>
  <c r="K170" i="13" s="1"/>
  <c r="G175" i="13"/>
  <c r="N193" i="13"/>
  <c r="F205" i="13"/>
  <c r="N114" i="13"/>
  <c r="F126" i="13"/>
  <c r="F135" i="13"/>
  <c r="J135" i="13"/>
  <c r="K135" i="13" s="1"/>
  <c r="N85" i="13"/>
  <c r="J164" i="13"/>
  <c r="K164" i="13" s="1"/>
  <c r="J205" i="13"/>
  <c r="K205" i="13" s="1"/>
  <c r="N126" i="13"/>
  <c r="F83" i="13"/>
  <c r="F163" i="13"/>
  <c r="N164" i="13"/>
  <c r="F193" i="13"/>
  <c r="G205" i="13"/>
  <c r="N81" i="13"/>
  <c r="N195" i="13"/>
  <c r="N163" i="13"/>
  <c r="E126" i="13"/>
  <c r="N84" i="13"/>
  <c r="F85" i="13"/>
  <c r="N91" i="13"/>
  <c r="N214" i="13"/>
  <c r="N170" i="13"/>
  <c r="G76" i="7"/>
  <c r="H76" i="7" s="1"/>
  <c r="N128" i="13"/>
  <c r="N82" i="13"/>
  <c r="C52" i="10"/>
  <c r="E52" i="10" s="1"/>
  <c r="C51" i="10"/>
  <c r="E51" i="10" s="1"/>
  <c r="C101" i="10"/>
  <c r="C102" i="10"/>
  <c r="C100" i="10"/>
  <c r="C99" i="10"/>
  <c r="C98" i="10"/>
  <c r="C97" i="10"/>
  <c r="C95" i="10"/>
  <c r="C96" i="10"/>
  <c r="C94" i="10"/>
  <c r="C93" i="10"/>
  <c r="C91" i="10"/>
  <c r="C92" i="10"/>
  <c r="C90" i="10"/>
  <c r="C89" i="10"/>
  <c r="C88" i="10"/>
  <c r="C87" i="10"/>
  <c r="C86" i="10"/>
  <c r="C85" i="10"/>
  <c r="C84" i="10"/>
  <c r="C83" i="10"/>
  <c r="C82" i="10"/>
  <c r="C80" i="10"/>
  <c r="C81" i="10"/>
  <c r="C79" i="10"/>
  <c r="E79" i="10" s="1"/>
  <c r="C69" i="10"/>
  <c r="C68" i="10"/>
  <c r="C67" i="10"/>
  <c r="C64" i="10"/>
  <c r="E64" i="10" s="1"/>
  <c r="C63" i="10"/>
  <c r="E63" i="10" s="1"/>
  <c r="C62" i="10"/>
  <c r="E62" i="10" s="1"/>
  <c r="C61" i="10"/>
  <c r="E61" i="10" s="1"/>
  <c r="C60" i="10"/>
  <c r="E60" i="10" s="1"/>
  <c r="C59" i="10"/>
  <c r="E59" i="10" s="1"/>
  <c r="C58" i="10"/>
  <c r="E58" i="10" s="1"/>
  <c r="C57" i="10"/>
  <c r="E57" i="10" s="1"/>
  <c r="C56" i="10"/>
  <c r="E56" i="10" s="1"/>
  <c r="C55" i="10"/>
  <c r="E55" i="10" s="1"/>
  <c r="C54" i="10"/>
  <c r="E54" i="10" s="1"/>
  <c r="C53" i="10"/>
  <c r="E53" i="10" s="1"/>
  <c r="C50" i="10"/>
  <c r="E50" i="10" s="1"/>
  <c r="C48" i="10"/>
  <c r="E48" i="10" s="1"/>
  <c r="C49" i="10"/>
  <c r="E49" i="10" s="1"/>
  <c r="C47" i="10"/>
  <c r="E47" i="10" s="1"/>
  <c r="C35" i="10"/>
  <c r="E35" i="10" s="1"/>
  <c r="C36" i="10"/>
  <c r="E36" i="10" s="1"/>
  <c r="C34" i="10"/>
  <c r="E34" i="10" s="1"/>
  <c r="C33" i="10"/>
  <c r="E33" i="10" s="1"/>
  <c r="C29" i="10"/>
  <c r="C37" i="10" s="1"/>
  <c r="E37" i="10" s="1"/>
  <c r="C30" i="10"/>
  <c r="E30" i="10" s="1"/>
  <c r="C31" i="10"/>
  <c r="C39" i="10" s="1"/>
  <c r="C32" i="10"/>
  <c r="E32" i="10" s="1"/>
  <c r="C28" i="10"/>
  <c r="E28" i="10" s="1"/>
  <c r="C17" i="10"/>
  <c r="C16" i="10"/>
  <c r="C15" i="10"/>
  <c r="C14" i="10"/>
  <c r="C10" i="10"/>
  <c r="C11" i="10"/>
  <c r="C12" i="10"/>
  <c r="C13" i="10"/>
  <c r="C9" i="10"/>
  <c r="C8" i="10"/>
  <c r="E69" i="10" l="1"/>
  <c r="O103" i="7" s="1"/>
  <c r="M103" i="7"/>
  <c r="E67" i="10"/>
  <c r="O101" i="7" s="1"/>
  <c r="M101" i="7"/>
  <c r="E68" i="10"/>
  <c r="O102" i="7" s="1"/>
  <c r="M102" i="7"/>
  <c r="E14" i="10"/>
  <c r="O76" i="7" s="1"/>
  <c r="M76" i="7"/>
  <c r="E12" i="10"/>
  <c r="O74" i="7" s="1"/>
  <c r="M74" i="7"/>
  <c r="E15" i="10"/>
  <c r="O77" i="7" s="1"/>
  <c r="M77" i="7"/>
  <c r="E8" i="10"/>
  <c r="O70" i="7" s="1"/>
  <c r="M70" i="7"/>
  <c r="C20" i="10"/>
  <c r="E20" i="10" s="1"/>
  <c r="O82" i="7" s="1"/>
  <c r="M73" i="7"/>
  <c r="E16" i="10"/>
  <c r="O78" i="7" s="1"/>
  <c r="M78" i="7"/>
  <c r="E39" i="10"/>
  <c r="M82" i="7"/>
  <c r="E13" i="10"/>
  <c r="O75" i="7" s="1"/>
  <c r="M75" i="7"/>
  <c r="C18" i="10"/>
  <c r="M71" i="7"/>
  <c r="E10" i="10"/>
  <c r="O72" i="7" s="1"/>
  <c r="M72" i="7"/>
  <c r="E17" i="10"/>
  <c r="O79" i="7" s="1"/>
  <c r="M79" i="7"/>
  <c r="E9" i="10"/>
  <c r="O71" i="7" s="1"/>
  <c r="C19" i="10"/>
  <c r="E19" i="10" s="1"/>
  <c r="O81" i="7" s="1"/>
  <c r="E29" i="10"/>
  <c r="C38" i="10"/>
  <c r="E11" i="10"/>
  <c r="O73" i="7" s="1"/>
  <c r="E31" i="10"/>
  <c r="G63" i="7"/>
  <c r="M63" i="7"/>
  <c r="C63" i="7"/>
  <c r="B63" i="7"/>
  <c r="E63" i="7"/>
  <c r="F63" i="7" s="1"/>
  <c r="O63" i="7" l="1"/>
  <c r="E18" i="10"/>
  <c r="O80" i="7" s="1"/>
  <c r="M80" i="7"/>
  <c r="E38" i="10"/>
  <c r="M81" i="7"/>
  <c r="H63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G106" i="7"/>
  <c r="G105" i="7"/>
  <c r="G104" i="7"/>
  <c r="G103" i="7"/>
  <c r="G102" i="7"/>
  <c r="G101" i="7"/>
  <c r="O83" i="7"/>
  <c r="O68" i="7"/>
  <c r="O67" i="7"/>
  <c r="O66" i="7"/>
  <c r="O65" i="7"/>
  <c r="M83" i="7"/>
  <c r="M68" i="7"/>
  <c r="M67" i="7"/>
  <c r="M65" i="7"/>
  <c r="M66" i="7"/>
  <c r="M64" i="7"/>
  <c r="G125" i="7"/>
  <c r="G124" i="7"/>
  <c r="G123" i="7"/>
  <c r="G122" i="7"/>
  <c r="G121" i="7"/>
  <c r="G120" i="7"/>
  <c r="G119" i="7"/>
  <c r="G118" i="7"/>
  <c r="G110" i="7"/>
  <c r="G109" i="7"/>
  <c r="G108" i="7"/>
  <c r="G107" i="7"/>
  <c r="G83" i="7"/>
  <c r="G67" i="7"/>
  <c r="G68" i="7"/>
  <c r="G66" i="7"/>
  <c r="G82" i="7" s="1"/>
  <c r="H82" i="7" s="1"/>
  <c r="G65" i="7"/>
  <c r="G81" i="7" s="1"/>
  <c r="H81" i="7" s="1"/>
  <c r="G64" i="7"/>
  <c r="G80" i="7" s="1"/>
  <c r="H80" i="7" s="1"/>
  <c r="F104" i="7"/>
  <c r="F105" i="7"/>
  <c r="F106" i="7"/>
  <c r="F107" i="7"/>
  <c r="F108" i="7"/>
  <c r="F109" i="7"/>
  <c r="F110" i="7"/>
  <c r="F118" i="7"/>
  <c r="F119" i="7"/>
  <c r="H119" i="7" s="1"/>
  <c r="F120" i="7"/>
  <c r="F121" i="7"/>
  <c r="F122" i="7"/>
  <c r="F123" i="7"/>
  <c r="H123" i="7" s="1"/>
  <c r="F124" i="7"/>
  <c r="F125" i="7"/>
  <c r="B124" i="7"/>
  <c r="B125" i="7"/>
  <c r="B121" i="7"/>
  <c r="B122" i="7"/>
  <c r="B123" i="7"/>
  <c r="B120" i="7"/>
  <c r="B119" i="7"/>
  <c r="B118" i="7"/>
  <c r="B108" i="7"/>
  <c r="B109" i="7"/>
  <c r="B110" i="7"/>
  <c r="B107" i="7"/>
  <c r="B102" i="7"/>
  <c r="B103" i="7"/>
  <c r="B104" i="7"/>
  <c r="B105" i="7"/>
  <c r="B106" i="7"/>
  <c r="B101" i="7"/>
  <c r="B83" i="7"/>
  <c r="B67" i="7"/>
  <c r="B66" i="7"/>
  <c r="B65" i="7"/>
  <c r="B64" i="7"/>
  <c r="C124" i="7"/>
  <c r="C125" i="7"/>
  <c r="C123" i="7"/>
  <c r="C121" i="7"/>
  <c r="C122" i="7"/>
  <c r="C120" i="7"/>
  <c r="C119" i="7"/>
  <c r="C118" i="7"/>
  <c r="C108" i="7"/>
  <c r="C109" i="7"/>
  <c r="C110" i="7"/>
  <c r="C107" i="7"/>
  <c r="C105" i="7"/>
  <c r="C106" i="7"/>
  <c r="C104" i="7"/>
  <c r="C102" i="7"/>
  <c r="C103" i="7"/>
  <c r="C101" i="7"/>
  <c r="C83" i="7"/>
  <c r="C67" i="7"/>
  <c r="C65" i="7"/>
  <c r="C66" i="7"/>
  <c r="C64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4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15" i="7"/>
  <c r="B16" i="7"/>
  <c r="B17" i="7"/>
  <c r="B18" i="7"/>
  <c r="B19" i="7"/>
  <c r="B20" i="7"/>
  <c r="B14" i="7"/>
  <c r="B3" i="7"/>
  <c r="B4" i="7"/>
  <c r="B5" i="7"/>
  <c r="B6" i="7"/>
  <c r="B7" i="7"/>
  <c r="B8" i="7"/>
  <c r="B9" i="7"/>
  <c r="B10" i="7"/>
  <c r="B2" i="7"/>
  <c r="F103" i="7"/>
  <c r="F102" i="7"/>
  <c r="F101" i="7"/>
  <c r="F68" i="7"/>
  <c r="F67" i="7"/>
  <c r="D76" i="10"/>
  <c r="H124" i="7" l="1"/>
  <c r="H102" i="7"/>
  <c r="O64" i="7"/>
  <c r="H105" i="7"/>
  <c r="H125" i="7"/>
  <c r="H121" i="7"/>
  <c r="H101" i="7"/>
  <c r="H68" i="7"/>
  <c r="H122" i="7"/>
  <c r="H107" i="7"/>
  <c r="H120" i="7"/>
  <c r="H109" i="7"/>
  <c r="H108" i="7"/>
  <c r="H104" i="7"/>
  <c r="H118" i="7"/>
  <c r="H110" i="7"/>
  <c r="H106" i="7"/>
  <c r="H103" i="7"/>
  <c r="H67" i="7"/>
  <c r="B237" i="13"/>
  <c r="C230" i="13"/>
  <c r="F230" i="13" s="1"/>
  <c r="L229" i="13"/>
  <c r="C229" i="13"/>
  <c r="F229" i="13" s="1"/>
  <c r="L228" i="13"/>
  <c r="C228" i="13"/>
  <c r="L227" i="13"/>
  <c r="C227" i="13"/>
  <c r="L226" i="13"/>
  <c r="C226" i="13"/>
  <c r="F226" i="13" s="1"/>
  <c r="L225" i="13"/>
  <c r="C225" i="13"/>
  <c r="L224" i="13"/>
  <c r="C224" i="13"/>
  <c r="F224" i="13" s="1"/>
  <c r="L223" i="13"/>
  <c r="C223" i="13"/>
  <c r="L222" i="13"/>
  <c r="C222" i="13"/>
  <c r="F222" i="13" s="1"/>
  <c r="L221" i="13"/>
  <c r="C221" i="13"/>
  <c r="L220" i="13"/>
  <c r="C220" i="13"/>
  <c r="F220" i="13" s="1"/>
  <c r="L219" i="13"/>
  <c r="C219" i="13"/>
  <c r="L218" i="13"/>
  <c r="C218" i="13"/>
  <c r="F218" i="13" s="1"/>
  <c r="L217" i="13"/>
  <c r="C217" i="13"/>
  <c r="L216" i="13"/>
  <c r="C216" i="13"/>
  <c r="F216" i="13" s="1"/>
  <c r="L215" i="13"/>
  <c r="C215" i="13"/>
  <c r="L213" i="13"/>
  <c r="C213" i="13"/>
  <c r="L212" i="13"/>
  <c r="C212" i="13"/>
  <c r="L211" i="13"/>
  <c r="C211" i="13"/>
  <c r="L210" i="13"/>
  <c r="C210" i="13"/>
  <c r="L209" i="13"/>
  <c r="C209" i="13"/>
  <c r="F209" i="13" s="1"/>
  <c r="E208" i="13"/>
  <c r="L208" i="13" s="1"/>
  <c r="C208" i="13"/>
  <c r="E206" i="13"/>
  <c r="C206" i="13"/>
  <c r="F206" i="13" s="1"/>
  <c r="AB204" i="13"/>
  <c r="E204" i="13"/>
  <c r="L204" i="13" s="1"/>
  <c r="C204" i="13"/>
  <c r="AB203" i="13"/>
  <c r="E203" i="13"/>
  <c r="L203" i="13" s="1"/>
  <c r="C203" i="13"/>
  <c r="F203" i="13" s="1"/>
  <c r="L202" i="13"/>
  <c r="C202" i="13"/>
  <c r="L201" i="13"/>
  <c r="C201" i="13"/>
  <c r="F201" i="13" s="1"/>
  <c r="L200" i="13"/>
  <c r="C200" i="13"/>
  <c r="F200" i="13" s="1"/>
  <c r="L199" i="13"/>
  <c r="C199" i="13"/>
  <c r="L198" i="13"/>
  <c r="C198" i="13"/>
  <c r="F198" i="13" s="1"/>
  <c r="L197" i="13"/>
  <c r="C197" i="13"/>
  <c r="E196" i="13"/>
  <c r="L196" i="13" s="1"/>
  <c r="C196" i="13"/>
  <c r="E194" i="13"/>
  <c r="L194" i="13" s="1"/>
  <c r="C194" i="13"/>
  <c r="F194" i="13" s="1"/>
  <c r="L192" i="13"/>
  <c r="C192" i="13"/>
  <c r="L191" i="13"/>
  <c r="C191" i="13"/>
  <c r="F191" i="13" s="1"/>
  <c r="L190" i="13"/>
  <c r="C190" i="13"/>
  <c r="L189" i="13"/>
  <c r="C189" i="13"/>
  <c r="L188" i="13"/>
  <c r="C188" i="13"/>
  <c r="E186" i="13"/>
  <c r="L186" i="13" s="1"/>
  <c r="C186" i="13"/>
  <c r="F186" i="13" s="1"/>
  <c r="E185" i="13"/>
  <c r="L185" i="13" s="1"/>
  <c r="C185" i="13"/>
  <c r="F185" i="13" s="1"/>
  <c r="L183" i="13"/>
  <c r="C183" i="13"/>
  <c r="L182" i="13"/>
  <c r="C182" i="13"/>
  <c r="F182" i="13" s="1"/>
  <c r="L181" i="13"/>
  <c r="C181" i="13"/>
  <c r="F181" i="13" s="1"/>
  <c r="L180" i="13"/>
  <c r="C180" i="13"/>
  <c r="F180" i="13" s="1"/>
  <c r="L179" i="13"/>
  <c r="C179" i="13"/>
  <c r="L178" i="13"/>
  <c r="C178" i="13"/>
  <c r="F178" i="13" s="1"/>
  <c r="L177" i="13"/>
  <c r="C177" i="13"/>
  <c r="F177" i="13" s="1"/>
  <c r="E176" i="13"/>
  <c r="L176" i="13" s="1"/>
  <c r="C176" i="13"/>
  <c r="F176" i="13" s="1"/>
  <c r="L174" i="13"/>
  <c r="C174" i="13"/>
  <c r="L173" i="13"/>
  <c r="C173" i="13"/>
  <c r="L172" i="13"/>
  <c r="C172" i="13"/>
  <c r="L171" i="13"/>
  <c r="C171" i="13"/>
  <c r="L169" i="13"/>
  <c r="C169" i="13"/>
  <c r="L168" i="13"/>
  <c r="C168" i="13"/>
  <c r="L167" i="13"/>
  <c r="C167" i="13"/>
  <c r="F167" i="13" s="1"/>
  <c r="E166" i="13"/>
  <c r="L166" i="13" s="1"/>
  <c r="C166" i="13"/>
  <c r="L161" i="13"/>
  <c r="C161" i="13"/>
  <c r="L160" i="13"/>
  <c r="C160" i="13"/>
  <c r="F160" i="13" s="1"/>
  <c r="L159" i="13"/>
  <c r="C159" i="13"/>
  <c r="F159" i="13" s="1"/>
  <c r="L158" i="13"/>
  <c r="C158" i="13"/>
  <c r="F158" i="13" s="1"/>
  <c r="B154" i="13"/>
  <c r="L152" i="13"/>
  <c r="G152" i="13"/>
  <c r="C152" i="13"/>
  <c r="F152" i="13" s="1"/>
  <c r="L151" i="13"/>
  <c r="G151" i="13"/>
  <c r="C151" i="13"/>
  <c r="L150" i="13"/>
  <c r="G150" i="13"/>
  <c r="C150" i="13"/>
  <c r="F150" i="13" s="1"/>
  <c r="L149" i="13"/>
  <c r="G149" i="13"/>
  <c r="C149" i="13"/>
  <c r="L148" i="13"/>
  <c r="G148" i="13"/>
  <c r="C148" i="13"/>
  <c r="F148" i="13" s="1"/>
  <c r="L147" i="13"/>
  <c r="G147" i="13"/>
  <c r="C147" i="13"/>
  <c r="F147" i="13" s="1"/>
  <c r="L146" i="13"/>
  <c r="G146" i="13"/>
  <c r="C146" i="13"/>
  <c r="L145" i="13"/>
  <c r="G145" i="13"/>
  <c r="C145" i="13"/>
  <c r="L144" i="13"/>
  <c r="G144" i="13"/>
  <c r="C144" i="13"/>
  <c r="F144" i="13" s="1"/>
  <c r="L143" i="13"/>
  <c r="G143" i="13"/>
  <c r="C143" i="13"/>
  <c r="F143" i="13" s="1"/>
  <c r="L142" i="13"/>
  <c r="G142" i="13"/>
  <c r="J142" i="13" s="1"/>
  <c r="K142" i="13" s="1"/>
  <c r="C142" i="13"/>
  <c r="F142" i="13" s="1"/>
  <c r="L141" i="13"/>
  <c r="G141" i="13"/>
  <c r="C141" i="13"/>
  <c r="F141" i="13" s="1"/>
  <c r="L140" i="13"/>
  <c r="G140" i="13"/>
  <c r="C140" i="13"/>
  <c r="F140" i="13" s="1"/>
  <c r="L139" i="13"/>
  <c r="G139" i="13"/>
  <c r="C139" i="13"/>
  <c r="F139" i="13" s="1"/>
  <c r="L138" i="13"/>
  <c r="G138" i="13"/>
  <c r="C138" i="13"/>
  <c r="F138" i="13" s="1"/>
  <c r="L137" i="13"/>
  <c r="G137" i="13"/>
  <c r="C137" i="13"/>
  <c r="F137" i="13" s="1"/>
  <c r="L136" i="13"/>
  <c r="G136" i="13"/>
  <c r="C136" i="13"/>
  <c r="L134" i="13"/>
  <c r="G134" i="13"/>
  <c r="C134" i="13"/>
  <c r="F134" i="13" s="1"/>
  <c r="L133" i="13"/>
  <c r="G133" i="13"/>
  <c r="C133" i="13"/>
  <c r="L132" i="13"/>
  <c r="G132" i="13"/>
  <c r="C132" i="13"/>
  <c r="F132" i="13" s="1"/>
  <c r="L131" i="13"/>
  <c r="G131" i="13"/>
  <c r="C131" i="13"/>
  <c r="L130" i="13"/>
  <c r="G130" i="13"/>
  <c r="C130" i="13"/>
  <c r="F130" i="13" s="1"/>
  <c r="G129" i="13"/>
  <c r="D129" i="13"/>
  <c r="L129" i="13" s="1"/>
  <c r="C129" i="13"/>
  <c r="F129" i="13" s="1"/>
  <c r="G127" i="13"/>
  <c r="D127" i="13"/>
  <c r="L127" i="13" s="1"/>
  <c r="C127" i="13"/>
  <c r="F127" i="13" s="1"/>
  <c r="G125" i="13"/>
  <c r="D125" i="13"/>
  <c r="C125" i="13"/>
  <c r="F125" i="13" s="1"/>
  <c r="G124" i="13"/>
  <c r="D124" i="13"/>
  <c r="L124" i="13" s="1"/>
  <c r="C124" i="13"/>
  <c r="L123" i="13"/>
  <c r="G123" i="13"/>
  <c r="C123" i="13"/>
  <c r="F123" i="13" s="1"/>
  <c r="L122" i="13"/>
  <c r="G122" i="13"/>
  <c r="C122" i="13"/>
  <c r="F122" i="13" s="1"/>
  <c r="L121" i="13"/>
  <c r="G121" i="13"/>
  <c r="C121" i="13"/>
  <c r="L120" i="13"/>
  <c r="G120" i="13"/>
  <c r="C120" i="13"/>
  <c r="F120" i="13" s="1"/>
  <c r="L119" i="13"/>
  <c r="G119" i="13"/>
  <c r="C119" i="13"/>
  <c r="L118" i="13"/>
  <c r="G118" i="13"/>
  <c r="C118" i="13"/>
  <c r="F118" i="13" s="1"/>
  <c r="G117" i="13"/>
  <c r="D117" i="13"/>
  <c r="L117" i="13" s="1"/>
  <c r="C117" i="13"/>
  <c r="G115" i="13"/>
  <c r="D115" i="13"/>
  <c r="L115" i="13" s="1"/>
  <c r="C115" i="13"/>
  <c r="F115" i="13" s="1"/>
  <c r="L113" i="13"/>
  <c r="G113" i="13"/>
  <c r="C113" i="13"/>
  <c r="L112" i="13"/>
  <c r="G112" i="13"/>
  <c r="C112" i="13"/>
  <c r="L111" i="13"/>
  <c r="G111" i="13"/>
  <c r="C111" i="13"/>
  <c r="L110" i="13"/>
  <c r="G110" i="13"/>
  <c r="C110" i="13"/>
  <c r="L109" i="13"/>
  <c r="G109" i="13"/>
  <c r="C109" i="13"/>
  <c r="G107" i="13"/>
  <c r="D107" i="13"/>
  <c r="L107" i="13" s="1"/>
  <c r="C107" i="13"/>
  <c r="G106" i="13"/>
  <c r="D106" i="13"/>
  <c r="L106" i="13" s="1"/>
  <c r="C106" i="13"/>
  <c r="F106" i="13" s="1"/>
  <c r="L104" i="13"/>
  <c r="G104" i="13"/>
  <c r="C104" i="13"/>
  <c r="L103" i="13"/>
  <c r="G103" i="13"/>
  <c r="C103" i="13"/>
  <c r="L102" i="13"/>
  <c r="G102" i="13"/>
  <c r="C102" i="13"/>
  <c r="F102" i="13" s="1"/>
  <c r="L101" i="13"/>
  <c r="G101" i="13"/>
  <c r="C101" i="13"/>
  <c r="F101" i="13" s="1"/>
  <c r="L100" i="13"/>
  <c r="G100" i="13"/>
  <c r="C100" i="13"/>
  <c r="F100" i="13" s="1"/>
  <c r="L99" i="13"/>
  <c r="G99" i="13"/>
  <c r="C99" i="13"/>
  <c r="F99" i="13" s="1"/>
  <c r="L98" i="13"/>
  <c r="G98" i="13"/>
  <c r="C98" i="13"/>
  <c r="F98" i="13" s="1"/>
  <c r="G97" i="13"/>
  <c r="D97" i="13"/>
  <c r="L97" i="13" s="1"/>
  <c r="C97" i="13"/>
  <c r="F97" i="13" s="1"/>
  <c r="L95" i="13"/>
  <c r="G95" i="13"/>
  <c r="C95" i="13"/>
  <c r="L94" i="13"/>
  <c r="G94" i="13"/>
  <c r="C94" i="13"/>
  <c r="F94" i="13" s="1"/>
  <c r="L93" i="13"/>
  <c r="G93" i="13"/>
  <c r="C93" i="13"/>
  <c r="L92" i="13"/>
  <c r="G92" i="13"/>
  <c r="C92" i="13"/>
  <c r="L90" i="13"/>
  <c r="G90" i="13"/>
  <c r="C90" i="13"/>
  <c r="F90" i="13" s="1"/>
  <c r="L89" i="13"/>
  <c r="G89" i="13"/>
  <c r="C89" i="13"/>
  <c r="F89" i="13" s="1"/>
  <c r="L88" i="13"/>
  <c r="G88" i="13"/>
  <c r="C88" i="13"/>
  <c r="D87" i="13"/>
  <c r="L87" i="13" s="1"/>
  <c r="C87" i="13"/>
  <c r="L80" i="13"/>
  <c r="G80" i="13"/>
  <c r="C80" i="13"/>
  <c r="L79" i="13"/>
  <c r="G79" i="13"/>
  <c r="C79" i="13"/>
  <c r="L78" i="13"/>
  <c r="G78" i="13"/>
  <c r="C78" i="13"/>
  <c r="F78" i="13" s="1"/>
  <c r="N71" i="13"/>
  <c r="N70" i="13"/>
  <c r="N69" i="13"/>
  <c r="N68" i="13"/>
  <c r="J68" i="13"/>
  <c r="K68" i="13" s="1"/>
  <c r="N67" i="13"/>
  <c r="J67" i="13"/>
  <c r="K67" i="13" s="1"/>
  <c r="N66" i="13"/>
  <c r="J66" i="13"/>
  <c r="K66" i="13" s="1"/>
  <c r="N65" i="13"/>
  <c r="J65" i="13"/>
  <c r="K65" i="13" s="1"/>
  <c r="N64" i="13"/>
  <c r="J64" i="13"/>
  <c r="K64" i="13" s="1"/>
  <c r="L63" i="13"/>
  <c r="N63" i="13" s="1"/>
  <c r="J63" i="13"/>
  <c r="K63" i="13" s="1"/>
  <c r="L62" i="13"/>
  <c r="J62" i="13"/>
  <c r="K62" i="13" s="1"/>
  <c r="L61" i="13"/>
  <c r="N61" i="13" s="1"/>
  <c r="J61" i="13"/>
  <c r="K61" i="13" s="1"/>
  <c r="L60" i="13"/>
  <c r="N60" i="13" s="1"/>
  <c r="J60" i="13"/>
  <c r="K60" i="13" s="1"/>
  <c r="L57" i="13"/>
  <c r="J57" i="13"/>
  <c r="K57" i="13" s="1"/>
  <c r="L56" i="13"/>
  <c r="N56" i="13" s="1"/>
  <c r="J56" i="13"/>
  <c r="K56" i="13" s="1"/>
  <c r="L55" i="13"/>
  <c r="N55" i="13" s="1"/>
  <c r="J55" i="13"/>
  <c r="K55" i="13" s="1"/>
  <c r="L54" i="13"/>
  <c r="N54" i="13" s="1"/>
  <c r="J54" i="13"/>
  <c r="K54" i="13" s="1"/>
  <c r="L53" i="13"/>
  <c r="N53" i="13" s="1"/>
  <c r="J53" i="13"/>
  <c r="K53" i="13" s="1"/>
  <c r="L52" i="13"/>
  <c r="N52" i="13" s="1"/>
  <c r="J52" i="13"/>
  <c r="K52" i="13" s="1"/>
  <c r="L51" i="13"/>
  <c r="N51" i="13" s="1"/>
  <c r="J51" i="13"/>
  <c r="K51" i="13" s="1"/>
  <c r="L50" i="13"/>
  <c r="N50" i="13" s="1"/>
  <c r="J50" i="13"/>
  <c r="K50" i="13" s="1"/>
  <c r="L49" i="13"/>
  <c r="N49" i="13" s="1"/>
  <c r="J49" i="13"/>
  <c r="K49" i="13" s="1"/>
  <c r="L48" i="13"/>
  <c r="N48" i="13" s="1"/>
  <c r="J48" i="13"/>
  <c r="K48" i="13" s="1"/>
  <c r="L47" i="13"/>
  <c r="N47" i="13" s="1"/>
  <c r="J47" i="13"/>
  <c r="K47" i="13" s="1"/>
  <c r="N45" i="13"/>
  <c r="J45" i="13"/>
  <c r="K45" i="13" s="1"/>
  <c r="N44" i="13"/>
  <c r="J44" i="13"/>
  <c r="K44" i="13" s="1"/>
  <c r="N43" i="13"/>
  <c r="J43" i="13"/>
  <c r="K43" i="13" s="1"/>
  <c r="N42" i="13"/>
  <c r="J42" i="13"/>
  <c r="K42" i="13" s="1"/>
  <c r="N41" i="13"/>
  <c r="J41" i="13"/>
  <c r="K41" i="13" s="1"/>
  <c r="N40" i="13"/>
  <c r="J40" i="13"/>
  <c r="N39" i="13"/>
  <c r="J39" i="13"/>
  <c r="K39" i="13" s="1"/>
  <c r="N38" i="13"/>
  <c r="J38" i="13"/>
  <c r="K38" i="13" s="1"/>
  <c r="L37" i="13"/>
  <c r="N37" i="13" s="1"/>
  <c r="J37" i="13"/>
  <c r="K37" i="13" s="1"/>
  <c r="L36" i="13"/>
  <c r="L35" i="13"/>
  <c r="L31" i="13"/>
  <c r="J31" i="13"/>
  <c r="K31" i="13" s="1"/>
  <c r="L30" i="13"/>
  <c r="J30" i="13"/>
  <c r="K30" i="13" s="1"/>
  <c r="L29" i="13"/>
  <c r="N29" i="13" s="1"/>
  <c r="J29" i="13"/>
  <c r="K29" i="13" s="1"/>
  <c r="L28" i="13"/>
  <c r="J28" i="13"/>
  <c r="K28" i="13" s="1"/>
  <c r="L27" i="13"/>
  <c r="J27" i="13"/>
  <c r="K27" i="13" s="1"/>
  <c r="L26" i="13"/>
  <c r="N26" i="13" s="1"/>
  <c r="J26" i="13"/>
  <c r="K26" i="13" s="1"/>
  <c r="L25" i="13"/>
  <c r="D74" i="13"/>
  <c r="L24" i="13"/>
  <c r="N24" i="13" s="1"/>
  <c r="J24" i="13"/>
  <c r="K24" i="13" s="1"/>
  <c r="L23" i="13"/>
  <c r="N23" i="13" s="1"/>
  <c r="J23" i="13"/>
  <c r="K23" i="13" s="1"/>
  <c r="L22" i="13"/>
  <c r="N22" i="13" s="1"/>
  <c r="J22" i="13"/>
  <c r="K22" i="13" s="1"/>
  <c r="L21" i="13"/>
  <c r="N21" i="13" s="1"/>
  <c r="J21" i="13"/>
  <c r="K21" i="13" s="1"/>
  <c r="U12" i="13"/>
  <c r="R11" i="13"/>
  <c r="R12" i="13" s="1"/>
  <c r="F8" i="13"/>
  <c r="L6" i="13"/>
  <c r="L5" i="13"/>
  <c r="F6" i="13"/>
  <c r="F166" i="13" l="1"/>
  <c r="N166" i="13"/>
  <c r="E87" i="13"/>
  <c r="F87" i="13"/>
  <c r="F208" i="13"/>
  <c r="N208" i="13"/>
  <c r="F221" i="13"/>
  <c r="J221" i="13"/>
  <c r="K221" i="13" s="1"/>
  <c r="J92" i="13"/>
  <c r="K92" i="13" s="1"/>
  <c r="F92" i="13"/>
  <c r="E111" i="13"/>
  <c r="F111" i="13"/>
  <c r="J117" i="13"/>
  <c r="K117" i="13" s="1"/>
  <c r="F117" i="13"/>
  <c r="J131" i="13"/>
  <c r="K131" i="13" s="1"/>
  <c r="F131" i="13"/>
  <c r="J136" i="13"/>
  <c r="K136" i="13" s="1"/>
  <c r="F136" i="13"/>
  <c r="G190" i="13"/>
  <c r="F190" i="13"/>
  <c r="G212" i="13"/>
  <c r="F212" i="13"/>
  <c r="G217" i="13"/>
  <c r="F217" i="13"/>
  <c r="G225" i="13"/>
  <c r="F225" i="13"/>
  <c r="E80" i="13"/>
  <c r="F80" i="13"/>
  <c r="E104" i="13"/>
  <c r="F104" i="13"/>
  <c r="E151" i="13"/>
  <c r="F151" i="13"/>
  <c r="J169" i="13"/>
  <c r="K169" i="13" s="1"/>
  <c r="F169" i="13"/>
  <c r="J174" i="13"/>
  <c r="K174" i="13" s="1"/>
  <c r="F174" i="13"/>
  <c r="G199" i="13"/>
  <c r="F199" i="13"/>
  <c r="J204" i="13"/>
  <c r="K204" i="13" s="1"/>
  <c r="F204" i="13"/>
  <c r="J211" i="13"/>
  <c r="K211" i="13" s="1"/>
  <c r="F211" i="13"/>
  <c r="J228" i="13"/>
  <c r="K228" i="13" s="1"/>
  <c r="F228" i="13"/>
  <c r="J79" i="13"/>
  <c r="K79" i="13" s="1"/>
  <c r="F79" i="13"/>
  <c r="E103" i="13"/>
  <c r="F103" i="13"/>
  <c r="E109" i="13"/>
  <c r="F109" i="13"/>
  <c r="E113" i="13"/>
  <c r="F113" i="13"/>
  <c r="J119" i="13"/>
  <c r="K119" i="13" s="1"/>
  <c r="F119" i="13"/>
  <c r="J133" i="13"/>
  <c r="K133" i="13" s="1"/>
  <c r="F133" i="13"/>
  <c r="J146" i="13"/>
  <c r="K146" i="13" s="1"/>
  <c r="F146" i="13"/>
  <c r="G168" i="13"/>
  <c r="F168" i="13"/>
  <c r="G173" i="13"/>
  <c r="F173" i="13"/>
  <c r="J188" i="13"/>
  <c r="K188" i="13" s="1"/>
  <c r="F188" i="13"/>
  <c r="J192" i="13"/>
  <c r="K192" i="13" s="1"/>
  <c r="F192" i="13"/>
  <c r="J202" i="13"/>
  <c r="K202" i="13" s="1"/>
  <c r="F202" i="13"/>
  <c r="G210" i="13"/>
  <c r="F210" i="13"/>
  <c r="G215" i="13"/>
  <c r="F215" i="13"/>
  <c r="G219" i="13"/>
  <c r="F219" i="13"/>
  <c r="G223" i="13"/>
  <c r="F223" i="13"/>
  <c r="G227" i="13"/>
  <c r="F227" i="13"/>
  <c r="J121" i="13"/>
  <c r="K121" i="13" s="1"/>
  <c r="F121" i="13"/>
  <c r="G171" i="13"/>
  <c r="F171" i="13"/>
  <c r="J196" i="13"/>
  <c r="K196" i="13" s="1"/>
  <c r="F196" i="13"/>
  <c r="E95" i="13"/>
  <c r="F95" i="13"/>
  <c r="N110" i="13"/>
  <c r="F110" i="13"/>
  <c r="J124" i="13"/>
  <c r="K124" i="13" s="1"/>
  <c r="F124" i="13"/>
  <c r="G161" i="13"/>
  <c r="F161" i="13"/>
  <c r="G179" i="13"/>
  <c r="F179" i="13"/>
  <c r="G183" i="13"/>
  <c r="F183" i="13"/>
  <c r="J189" i="13"/>
  <c r="K189" i="13" s="1"/>
  <c r="F189" i="13"/>
  <c r="E78" i="13"/>
  <c r="E88" i="13"/>
  <c r="F88" i="13"/>
  <c r="E93" i="13"/>
  <c r="F93" i="13"/>
  <c r="J107" i="13"/>
  <c r="K107" i="13" s="1"/>
  <c r="F107" i="13"/>
  <c r="J112" i="13"/>
  <c r="K112" i="13" s="1"/>
  <c r="F112" i="13"/>
  <c r="E145" i="13"/>
  <c r="F145" i="13"/>
  <c r="E149" i="13"/>
  <c r="F149" i="13"/>
  <c r="J172" i="13"/>
  <c r="K172" i="13" s="1"/>
  <c r="F172" i="13"/>
  <c r="G197" i="13"/>
  <c r="F197" i="13"/>
  <c r="J213" i="13"/>
  <c r="K213" i="13" s="1"/>
  <c r="F213" i="13"/>
  <c r="N123" i="13"/>
  <c r="N142" i="13"/>
  <c r="N101" i="13"/>
  <c r="N181" i="13"/>
  <c r="N191" i="13"/>
  <c r="N201" i="13"/>
  <c r="N90" i="13"/>
  <c r="E142" i="13"/>
  <c r="N216" i="13"/>
  <c r="N220" i="13"/>
  <c r="N224" i="13"/>
  <c r="N89" i="13"/>
  <c r="N140" i="13"/>
  <c r="J179" i="13"/>
  <c r="K179" i="13" s="1"/>
  <c r="N198" i="13"/>
  <c r="N119" i="13"/>
  <c r="N176" i="13"/>
  <c r="N97" i="13"/>
  <c r="E112" i="13"/>
  <c r="N112" i="13"/>
  <c r="J89" i="13"/>
  <c r="K89" i="13" s="1"/>
  <c r="J110" i="13"/>
  <c r="K110" i="13" s="1"/>
  <c r="E119" i="13"/>
  <c r="J123" i="13"/>
  <c r="K123" i="13" s="1"/>
  <c r="J140" i="13"/>
  <c r="K140" i="13" s="1"/>
  <c r="N185" i="13"/>
  <c r="N200" i="13"/>
  <c r="N94" i="13"/>
  <c r="N115" i="13"/>
  <c r="N138" i="13"/>
  <c r="N150" i="13"/>
  <c r="J94" i="13"/>
  <c r="K94" i="13" s="1"/>
  <c r="J138" i="13"/>
  <c r="K138" i="13" s="1"/>
  <c r="N143" i="13"/>
  <c r="J145" i="13"/>
  <c r="K145" i="13" s="1"/>
  <c r="J150" i="13"/>
  <c r="K150" i="13" s="1"/>
  <c r="N209" i="13"/>
  <c r="N218" i="13"/>
  <c r="J201" i="13"/>
  <c r="K201" i="13" s="1"/>
  <c r="J209" i="13"/>
  <c r="K209" i="13" s="1"/>
  <c r="J227" i="13"/>
  <c r="K227" i="13" s="1"/>
  <c r="G228" i="13"/>
  <c r="J197" i="13"/>
  <c r="K197" i="13" s="1"/>
  <c r="J198" i="13"/>
  <c r="K198" i="13" s="1"/>
  <c r="J199" i="13"/>
  <c r="K199" i="13" s="1"/>
  <c r="J183" i="13"/>
  <c r="K183" i="13" s="1"/>
  <c r="J224" i="13"/>
  <c r="K224" i="13" s="1"/>
  <c r="G166" i="13"/>
  <c r="J181" i="13"/>
  <c r="K181" i="13" s="1"/>
  <c r="J185" i="13"/>
  <c r="K185" i="13" s="1"/>
  <c r="J190" i="13"/>
  <c r="K190" i="13" s="1"/>
  <c r="J191" i="13"/>
  <c r="K191" i="13" s="1"/>
  <c r="J216" i="13"/>
  <c r="K216" i="13" s="1"/>
  <c r="J218" i="13"/>
  <c r="K218" i="13" s="1"/>
  <c r="N228" i="13"/>
  <c r="N131" i="13"/>
  <c r="N133" i="13"/>
  <c r="N172" i="13"/>
  <c r="N188" i="13"/>
  <c r="N211" i="13"/>
  <c r="N223" i="13"/>
  <c r="E92" i="13"/>
  <c r="N92" i="13"/>
  <c r="N99" i="13"/>
  <c r="E101" i="13"/>
  <c r="E106" i="13"/>
  <c r="N121" i="13"/>
  <c r="E127" i="13"/>
  <c r="E136" i="13"/>
  <c r="E143" i="13"/>
  <c r="E146" i="13"/>
  <c r="N149" i="13"/>
  <c r="N221" i="13"/>
  <c r="N229" i="13"/>
  <c r="E97" i="13"/>
  <c r="E99" i="13"/>
  <c r="E110" i="13"/>
  <c r="E123" i="13"/>
  <c r="E138" i="13"/>
  <c r="N147" i="13"/>
  <c r="N177" i="13"/>
  <c r="G181" i="13"/>
  <c r="N183" i="13"/>
  <c r="J200" i="13"/>
  <c r="K200" i="13" s="1"/>
  <c r="G201" i="13"/>
  <c r="J220" i="13"/>
  <c r="K220" i="13" s="1"/>
  <c r="G221" i="13"/>
  <c r="J223" i="13"/>
  <c r="K223" i="13" s="1"/>
  <c r="G224" i="13"/>
  <c r="N227" i="13"/>
  <c r="G229" i="13"/>
  <c r="E90" i="13"/>
  <c r="E121" i="13"/>
  <c r="N136" i="13"/>
  <c r="N146" i="13"/>
  <c r="N174" i="13"/>
  <c r="N179" i="13"/>
  <c r="G188" i="13"/>
  <c r="N189" i="13"/>
  <c r="G192" i="13"/>
  <c r="G203" i="13"/>
  <c r="N213" i="13"/>
  <c r="L7" i="13"/>
  <c r="J25" i="13"/>
  <c r="K25" i="13" s="1"/>
  <c r="N78" i="13"/>
  <c r="N88" i="13"/>
  <c r="E94" i="13"/>
  <c r="N106" i="13"/>
  <c r="E115" i="13"/>
  <c r="N127" i="13"/>
  <c r="E140" i="13"/>
  <c r="N145" i="13"/>
  <c r="E147" i="13"/>
  <c r="J149" i="13"/>
  <c r="K149" i="13" s="1"/>
  <c r="E150" i="13"/>
  <c r="G177" i="13"/>
  <c r="N202" i="13"/>
  <c r="N203" i="13"/>
  <c r="G208" i="13"/>
  <c r="N137" i="13"/>
  <c r="J137" i="13"/>
  <c r="K137" i="13" s="1"/>
  <c r="E137" i="13"/>
  <c r="N57" i="13"/>
  <c r="N95" i="13"/>
  <c r="N141" i="13"/>
  <c r="J141" i="13"/>
  <c r="K141" i="13" s="1"/>
  <c r="E141" i="13"/>
  <c r="L74" i="13"/>
  <c r="N102" i="13"/>
  <c r="J102" i="13"/>
  <c r="K102" i="13" s="1"/>
  <c r="E102" i="13"/>
  <c r="N28" i="13"/>
  <c r="N30" i="13"/>
  <c r="N31" i="13"/>
  <c r="N36" i="13"/>
  <c r="K40" i="13"/>
  <c r="N62" i="13"/>
  <c r="N139" i="13"/>
  <c r="J139" i="13"/>
  <c r="K139" i="13" s="1"/>
  <c r="E139" i="13"/>
  <c r="E79" i="13"/>
  <c r="N79" i="13"/>
  <c r="N25" i="13"/>
  <c r="N27" i="13"/>
  <c r="N80" i="13"/>
  <c r="N87" i="13"/>
  <c r="N35" i="13"/>
  <c r="J87" i="13"/>
  <c r="K87" i="13" s="1"/>
  <c r="N98" i="13"/>
  <c r="J98" i="13"/>
  <c r="K98" i="13" s="1"/>
  <c r="E98" i="13"/>
  <c r="N100" i="13"/>
  <c r="J100" i="13"/>
  <c r="K100" i="13" s="1"/>
  <c r="E100" i="13"/>
  <c r="J69" i="13"/>
  <c r="K69" i="13" s="1"/>
  <c r="J70" i="13"/>
  <c r="K70" i="13" s="1"/>
  <c r="J71" i="13"/>
  <c r="K71" i="13" s="1"/>
  <c r="N93" i="13"/>
  <c r="N134" i="13"/>
  <c r="J134" i="13"/>
  <c r="K134" i="13" s="1"/>
  <c r="E134" i="13"/>
  <c r="N148" i="13"/>
  <c r="J148" i="13"/>
  <c r="K148" i="13" s="1"/>
  <c r="E148" i="13"/>
  <c r="J78" i="13"/>
  <c r="J80" i="13"/>
  <c r="K80" i="13" s="1"/>
  <c r="J97" i="13"/>
  <c r="K97" i="13" s="1"/>
  <c r="J99" i="13"/>
  <c r="K99" i="13" s="1"/>
  <c r="J101" i="13"/>
  <c r="K101" i="13" s="1"/>
  <c r="J103" i="13"/>
  <c r="K103" i="13" s="1"/>
  <c r="N103" i="13"/>
  <c r="N104" i="13"/>
  <c r="J104" i="13"/>
  <c r="K104" i="13" s="1"/>
  <c r="N107" i="13"/>
  <c r="N111" i="13"/>
  <c r="J111" i="13"/>
  <c r="K111" i="13" s="1"/>
  <c r="E117" i="13"/>
  <c r="N117" i="13"/>
  <c r="N132" i="13"/>
  <c r="J132" i="13"/>
  <c r="K132" i="13" s="1"/>
  <c r="E132" i="13"/>
  <c r="N151" i="13"/>
  <c r="N152" i="13"/>
  <c r="J152" i="13"/>
  <c r="K152" i="13" s="1"/>
  <c r="E152" i="13"/>
  <c r="N158" i="13"/>
  <c r="J158" i="13"/>
  <c r="G158" i="13"/>
  <c r="F9" i="13" s="1"/>
  <c r="J88" i="13"/>
  <c r="K88" i="13" s="1"/>
  <c r="E89" i="13"/>
  <c r="J90" i="13"/>
  <c r="J93" i="13"/>
  <c r="K93" i="13" s="1"/>
  <c r="J95" i="13"/>
  <c r="K95" i="13" s="1"/>
  <c r="N118" i="13"/>
  <c r="J118" i="13"/>
  <c r="K118" i="13" s="1"/>
  <c r="E118" i="13"/>
  <c r="N120" i="13"/>
  <c r="J120" i="13"/>
  <c r="K120" i="13" s="1"/>
  <c r="E120" i="13"/>
  <c r="N122" i="13"/>
  <c r="J122" i="13"/>
  <c r="K122" i="13" s="1"/>
  <c r="E122" i="13"/>
  <c r="E124" i="13"/>
  <c r="N124" i="13"/>
  <c r="N130" i="13"/>
  <c r="J130" i="13"/>
  <c r="K130" i="13" s="1"/>
  <c r="E130" i="13"/>
  <c r="N178" i="13"/>
  <c r="J178" i="13"/>
  <c r="K178" i="13" s="1"/>
  <c r="G178" i="13"/>
  <c r="E107" i="13"/>
  <c r="N109" i="13"/>
  <c r="J109" i="13"/>
  <c r="K109" i="13" s="1"/>
  <c r="N113" i="13"/>
  <c r="J113" i="13"/>
  <c r="K113" i="13" s="1"/>
  <c r="L125" i="13"/>
  <c r="E125" i="13"/>
  <c r="N144" i="13"/>
  <c r="J144" i="13"/>
  <c r="K144" i="13" s="1"/>
  <c r="E144" i="13"/>
  <c r="N160" i="13"/>
  <c r="J160" i="13"/>
  <c r="K160" i="13" s="1"/>
  <c r="G160" i="13"/>
  <c r="J129" i="13"/>
  <c r="K129" i="13" s="1"/>
  <c r="N129" i="13"/>
  <c r="J159" i="13"/>
  <c r="K159" i="13" s="1"/>
  <c r="N159" i="13"/>
  <c r="G169" i="13"/>
  <c r="N171" i="13"/>
  <c r="J182" i="13"/>
  <c r="K182" i="13" s="1"/>
  <c r="N182" i="13"/>
  <c r="G182" i="13"/>
  <c r="N190" i="13"/>
  <c r="N199" i="13"/>
  <c r="J106" i="13"/>
  <c r="K106" i="13" s="1"/>
  <c r="J115" i="13"/>
  <c r="K115" i="13" s="1"/>
  <c r="J127" i="13"/>
  <c r="K127" i="13" s="1"/>
  <c r="J143" i="13"/>
  <c r="K143" i="13" s="1"/>
  <c r="J147" i="13"/>
  <c r="K147" i="13" s="1"/>
  <c r="J151" i="13"/>
  <c r="K151" i="13" s="1"/>
  <c r="N169" i="13"/>
  <c r="J125" i="13"/>
  <c r="K125" i="13" s="1"/>
  <c r="E129" i="13"/>
  <c r="E131" i="13"/>
  <c r="E133" i="13"/>
  <c r="G159" i="13"/>
  <c r="N161" i="13"/>
  <c r="J161" i="13"/>
  <c r="K161" i="13" s="1"/>
  <c r="N167" i="13"/>
  <c r="J167" i="13"/>
  <c r="K167" i="13" s="1"/>
  <c r="G167" i="13"/>
  <c r="N173" i="13"/>
  <c r="N180" i="13"/>
  <c r="J180" i="13"/>
  <c r="K180" i="13" s="1"/>
  <c r="G180" i="13"/>
  <c r="L206" i="13"/>
  <c r="G206" i="13"/>
  <c r="J166" i="13"/>
  <c r="K166" i="13" s="1"/>
  <c r="J168" i="13"/>
  <c r="K168" i="13" s="1"/>
  <c r="N168" i="13"/>
  <c r="G176" i="13"/>
  <c r="J177" i="13"/>
  <c r="K177" i="13" s="1"/>
  <c r="G185" i="13"/>
  <c r="G186" i="13"/>
  <c r="G196" i="13"/>
  <c r="N196" i="13"/>
  <c r="N197" i="13"/>
  <c r="J171" i="13"/>
  <c r="K171" i="13" s="1"/>
  <c r="G172" i="13"/>
  <c r="J173" i="13"/>
  <c r="K173" i="13" s="1"/>
  <c r="G174" i="13"/>
  <c r="N186" i="13"/>
  <c r="J176" i="13"/>
  <c r="K176" i="13" s="1"/>
  <c r="J186" i="13"/>
  <c r="K186" i="13" s="1"/>
  <c r="N192" i="13"/>
  <c r="J194" i="13"/>
  <c r="K194" i="13" s="1"/>
  <c r="N194" i="13"/>
  <c r="N210" i="13"/>
  <c r="N215" i="13"/>
  <c r="N219" i="13"/>
  <c r="N222" i="13"/>
  <c r="J222" i="13"/>
  <c r="K222" i="13" s="1"/>
  <c r="G222" i="13"/>
  <c r="G189" i="13"/>
  <c r="G191" i="13"/>
  <c r="G198" i="13"/>
  <c r="G200" i="13"/>
  <c r="G202" i="13"/>
  <c r="G204" i="13"/>
  <c r="N225" i="13"/>
  <c r="N226" i="13"/>
  <c r="J226" i="13"/>
  <c r="K226" i="13" s="1"/>
  <c r="G226" i="13"/>
  <c r="G194" i="13"/>
  <c r="N204" i="13"/>
  <c r="N206" i="13"/>
  <c r="N212" i="13"/>
  <c r="N217" i="13"/>
  <c r="J230" i="13"/>
  <c r="K230" i="13" s="1"/>
  <c r="G230" i="13"/>
  <c r="J203" i="13"/>
  <c r="K203" i="13" s="1"/>
  <c r="J208" i="13"/>
  <c r="K208" i="13" s="1"/>
  <c r="G209" i="13"/>
  <c r="J210" i="13"/>
  <c r="K210" i="13" s="1"/>
  <c r="G211" i="13"/>
  <c r="J212" i="13"/>
  <c r="K212" i="13" s="1"/>
  <c r="G213" i="13"/>
  <c r="J215" i="13"/>
  <c r="K215" i="13" s="1"/>
  <c r="G216" i="13"/>
  <c r="J217" i="13"/>
  <c r="K217" i="13" s="1"/>
  <c r="G218" i="13"/>
  <c r="J219" i="13"/>
  <c r="K219" i="13" s="1"/>
  <c r="G220" i="13"/>
  <c r="J225" i="13"/>
  <c r="K225" i="13" s="1"/>
  <c r="J229" i="13"/>
  <c r="K229" i="13" s="1"/>
  <c r="J206" i="13"/>
  <c r="K206" i="13" s="1"/>
  <c r="F154" i="13" l="1"/>
  <c r="F232" i="13"/>
  <c r="F10" i="13"/>
  <c r="F7" i="13" s="1"/>
  <c r="N8" i="13"/>
  <c r="E154" i="13"/>
  <c r="J74" i="13"/>
  <c r="N74" i="13"/>
  <c r="K74" i="13"/>
  <c r="N9" i="13"/>
  <c r="K8" i="13"/>
  <c r="G232" i="13"/>
  <c r="K90" i="13"/>
  <c r="K10" i="13" s="1"/>
  <c r="J10" i="13"/>
  <c r="K158" i="13"/>
  <c r="K154" i="13"/>
  <c r="K237" i="13" s="1"/>
  <c r="K78" i="13"/>
  <c r="J9" i="13"/>
  <c r="J8" i="13"/>
  <c r="N125" i="13"/>
  <c r="N10" i="13" s="1"/>
  <c r="F237" i="13" l="1"/>
  <c r="G237" i="13"/>
  <c r="J232" i="13"/>
  <c r="O4" i="13"/>
  <c r="N7" i="13"/>
  <c r="L154" i="13"/>
  <c r="L237" i="13" s="1"/>
  <c r="K9" i="13"/>
  <c r="K7" i="13" s="1"/>
  <c r="J7" i="13"/>
  <c r="O154" i="13"/>
  <c r="O237" i="13" s="1"/>
  <c r="M59" i="13" l="1"/>
  <c r="Q59" i="13" s="1"/>
  <c r="R59" i="13" s="1"/>
  <c r="O59" i="13"/>
  <c r="AA59" i="13" s="1"/>
  <c r="M33" i="13"/>
  <c r="Q33" i="13" s="1"/>
  <c r="R33" i="13" s="1"/>
  <c r="O33" i="13"/>
  <c r="AA33" i="13" s="1"/>
  <c r="O58" i="13"/>
  <c r="AA58" i="13" s="1"/>
  <c r="M34" i="13"/>
  <c r="Q34" i="13" s="1"/>
  <c r="R34" i="13" s="1"/>
  <c r="O34" i="13"/>
  <c r="AA34" i="13" s="1"/>
  <c r="M58" i="13"/>
  <c r="Q58" i="13" s="1"/>
  <c r="R58" i="13" s="1"/>
  <c r="O67" i="13"/>
  <c r="AA67" i="13" s="1"/>
  <c r="M32" i="13"/>
  <c r="Q32" i="13" s="1"/>
  <c r="R32" i="13" s="1"/>
  <c r="O32" i="13"/>
  <c r="AA32" i="13" s="1"/>
  <c r="O45" i="13"/>
  <c r="AA45" i="13" s="1"/>
  <c r="M27" i="13"/>
  <c r="Q27" i="13" s="1"/>
  <c r="R27" i="13" s="1"/>
  <c r="S27" i="13" s="1"/>
  <c r="T27" i="13" s="1"/>
  <c r="V27" i="13" s="1"/>
  <c r="O35" i="13"/>
  <c r="AA35" i="13" s="1"/>
  <c r="M29" i="13"/>
  <c r="Q29" i="13" s="1"/>
  <c r="R29" i="13" s="1"/>
  <c r="S29" i="13" s="1"/>
  <c r="T29" i="13" s="1"/>
  <c r="V29" i="13" s="1"/>
  <c r="O30" i="13"/>
  <c r="AA30" i="13" s="1"/>
  <c r="O44" i="13"/>
  <c r="AA44" i="13" s="1"/>
  <c r="O69" i="13"/>
  <c r="AA69" i="13" s="1"/>
  <c r="M61" i="13"/>
  <c r="Q61" i="13" s="1"/>
  <c r="R61" i="13" s="1"/>
  <c r="S61" i="13" s="1"/>
  <c r="T61" i="13" s="1"/>
  <c r="V61" i="13" s="1"/>
  <c r="M56" i="13"/>
  <c r="Q56" i="13" s="1"/>
  <c r="R56" i="13" s="1"/>
  <c r="S56" i="13" s="1"/>
  <c r="T56" i="13" s="1"/>
  <c r="V56" i="13" s="1"/>
  <c r="O60" i="13"/>
  <c r="AA60" i="13" s="1"/>
  <c r="M50" i="13"/>
  <c r="Q50" i="13" s="1"/>
  <c r="R50" i="13" s="1"/>
  <c r="S50" i="13" s="1"/>
  <c r="T50" i="13" s="1"/>
  <c r="V50" i="13" s="1"/>
  <c r="M62" i="13"/>
  <c r="Q62" i="13" s="1"/>
  <c r="R62" i="13" s="1"/>
  <c r="S62" i="13" s="1"/>
  <c r="T62" i="13" s="1"/>
  <c r="V62" i="13" s="1"/>
  <c r="M60" i="13"/>
  <c r="Q60" i="13" s="1"/>
  <c r="R60" i="13" s="1"/>
  <c r="S60" i="13" s="1"/>
  <c r="T60" i="13" s="1"/>
  <c r="V60" i="13" s="1"/>
  <c r="M49" i="13"/>
  <c r="Q49" i="13" s="1"/>
  <c r="R49" i="13" s="1"/>
  <c r="S49" i="13" s="1"/>
  <c r="T49" i="13" s="1"/>
  <c r="V49" i="13" s="1"/>
  <c r="O41" i="13"/>
  <c r="AA41" i="13" s="1"/>
  <c r="M68" i="13"/>
  <c r="Q68" i="13" s="1"/>
  <c r="R68" i="13" s="1"/>
  <c r="S68" i="13" s="1"/>
  <c r="T68" i="13" s="1"/>
  <c r="V68" i="13" s="1"/>
  <c r="O51" i="13"/>
  <c r="AA51" i="13" s="1"/>
  <c r="M47" i="13"/>
  <c r="Q47" i="13" s="1"/>
  <c r="R47" i="13" s="1"/>
  <c r="S47" i="13" s="1"/>
  <c r="T47" i="13" s="1"/>
  <c r="V47" i="13" s="1"/>
  <c r="O31" i="13"/>
  <c r="AA31" i="13" s="1"/>
  <c r="O52" i="13"/>
  <c r="AA52" i="13" s="1"/>
  <c r="O56" i="13"/>
  <c r="AA56" i="13" s="1"/>
  <c r="O70" i="13"/>
  <c r="AA70" i="13" s="1"/>
  <c r="M36" i="13"/>
  <c r="Q36" i="13" s="1"/>
  <c r="R36" i="13" s="1"/>
  <c r="S36" i="13" s="1"/>
  <c r="T36" i="13" s="1"/>
  <c r="V36" i="13" s="1"/>
  <c r="M22" i="13"/>
  <c r="Q22" i="13" s="1"/>
  <c r="R22" i="13" s="1"/>
  <c r="S22" i="13" s="1"/>
  <c r="T22" i="13" s="1"/>
  <c r="V22" i="13" s="1"/>
  <c r="M41" i="13"/>
  <c r="Q41" i="13" s="1"/>
  <c r="R41" i="13" s="1"/>
  <c r="S41" i="13" s="1"/>
  <c r="T41" i="13" s="1"/>
  <c r="V41" i="13" s="1"/>
  <c r="O39" i="13"/>
  <c r="AA39" i="13" s="1"/>
  <c r="O26" i="13"/>
  <c r="AA26" i="13" s="1"/>
  <c r="O57" i="13"/>
  <c r="AA57" i="13" s="1"/>
  <c r="O50" i="13"/>
  <c r="AA50" i="13" s="1"/>
  <c r="M43" i="13"/>
  <c r="Q43" i="13" s="1"/>
  <c r="R43" i="13" s="1"/>
  <c r="S43" i="13" s="1"/>
  <c r="T43" i="13" s="1"/>
  <c r="V43" i="13" s="1"/>
  <c r="M67" i="13"/>
  <c r="Q67" i="13" s="1"/>
  <c r="R67" i="13" s="1"/>
  <c r="S67" i="13" s="1"/>
  <c r="T67" i="13" s="1"/>
  <c r="V67" i="13" s="1"/>
  <c r="O62" i="13"/>
  <c r="AA62" i="13" s="1"/>
  <c r="M63" i="13"/>
  <c r="Q63" i="13" s="1"/>
  <c r="M37" i="13"/>
  <c r="Q37" i="13" s="1"/>
  <c r="R37" i="13" s="1"/>
  <c r="S37" i="13" s="1"/>
  <c r="T37" i="13" s="1"/>
  <c r="V37" i="13" s="1"/>
  <c r="M51" i="13"/>
  <c r="Q51" i="13" s="1"/>
  <c r="R51" i="13" s="1"/>
  <c r="S51" i="13" s="1"/>
  <c r="T51" i="13" s="1"/>
  <c r="V51" i="13" s="1"/>
  <c r="O40" i="13"/>
  <c r="AA40" i="13" s="1"/>
  <c r="M38" i="13"/>
  <c r="Q38" i="13" s="1"/>
  <c r="R38" i="13" s="1"/>
  <c r="S38" i="13" s="1"/>
  <c r="T38" i="13" s="1"/>
  <c r="V38" i="13" s="1"/>
  <c r="O27" i="13"/>
  <c r="AA27" i="13" s="1"/>
  <c r="M64" i="13"/>
  <c r="Q64" i="13" s="1"/>
  <c r="R64" i="13" s="1"/>
  <c r="S64" i="13" s="1"/>
  <c r="T64" i="13" s="1"/>
  <c r="V64" i="13" s="1"/>
  <c r="O23" i="13"/>
  <c r="AA23" i="13" s="1"/>
  <c r="M44" i="13"/>
  <c r="Q44" i="13" s="1"/>
  <c r="R44" i="13" s="1"/>
  <c r="S44" i="13" s="1"/>
  <c r="T44" i="13" s="1"/>
  <c r="V44" i="13" s="1"/>
  <c r="O36" i="13"/>
  <c r="AA36" i="13" s="1"/>
  <c r="O64" i="13"/>
  <c r="AA64" i="13" s="1"/>
  <c r="O63" i="13"/>
  <c r="AA63" i="13" s="1"/>
  <c r="M28" i="13"/>
  <c r="Q28" i="13" s="1"/>
  <c r="R28" i="13" s="1"/>
  <c r="S28" i="13" s="1"/>
  <c r="T28" i="13" s="1"/>
  <c r="V28" i="13" s="1"/>
  <c r="M35" i="13"/>
  <c r="Q35" i="13" s="1"/>
  <c r="R35" i="13" s="1"/>
  <c r="S35" i="13" s="1"/>
  <c r="T35" i="13" s="1"/>
  <c r="V35" i="13" s="1"/>
  <c r="M24" i="13"/>
  <c r="Q24" i="13" s="1"/>
  <c r="R24" i="13" s="1"/>
  <c r="S24" i="13" s="1"/>
  <c r="T24" i="13" s="1"/>
  <c r="V24" i="13" s="1"/>
  <c r="M26" i="13"/>
  <c r="Q26" i="13" s="1"/>
  <c r="R26" i="13" s="1"/>
  <c r="S26" i="13" s="1"/>
  <c r="T26" i="13" s="1"/>
  <c r="V26" i="13" s="1"/>
  <c r="O53" i="13"/>
  <c r="AA53" i="13" s="1"/>
  <c r="O5" i="13"/>
  <c r="O42" i="13"/>
  <c r="AA42" i="13" s="1"/>
  <c r="M52" i="13"/>
  <c r="Q52" i="13" s="1"/>
  <c r="R52" i="13" s="1"/>
  <c r="S52" i="13" s="1"/>
  <c r="T52" i="13" s="1"/>
  <c r="V52" i="13" s="1"/>
  <c r="M48" i="13"/>
  <c r="Q48" i="13" s="1"/>
  <c r="R48" i="13" s="1"/>
  <c r="S48" i="13" s="1"/>
  <c r="T48" i="13" s="1"/>
  <c r="V48" i="13" s="1"/>
  <c r="O22" i="13"/>
  <c r="AA22" i="13" s="1"/>
  <c r="O38" i="13"/>
  <c r="AA38" i="13" s="1"/>
  <c r="M53" i="13"/>
  <c r="Q53" i="13" s="1"/>
  <c r="R53" i="13" s="1"/>
  <c r="S53" i="13" s="1"/>
  <c r="T53" i="13" s="1"/>
  <c r="V53" i="13" s="1"/>
  <c r="M71" i="13"/>
  <c r="Q71" i="13" s="1"/>
  <c r="R71" i="13" s="1"/>
  <c r="S71" i="13" s="1"/>
  <c r="T71" i="13" s="1"/>
  <c r="V71" i="13" s="1"/>
  <c r="O49" i="13"/>
  <c r="AA49" i="13" s="1"/>
  <c r="O28" i="13"/>
  <c r="AA28" i="13" s="1"/>
  <c r="M40" i="13"/>
  <c r="Q40" i="13" s="1"/>
  <c r="R40" i="13" s="1"/>
  <c r="S40" i="13" s="1"/>
  <c r="T40" i="13" s="1"/>
  <c r="V40" i="13" s="1"/>
  <c r="M45" i="13"/>
  <c r="Q45" i="13" s="1"/>
  <c r="R45" i="13" s="1"/>
  <c r="S45" i="13" s="1"/>
  <c r="T45" i="13" s="1"/>
  <c r="V45" i="13" s="1"/>
  <c r="M54" i="13"/>
  <c r="Q54" i="13" s="1"/>
  <c r="R54" i="13" s="1"/>
  <c r="S54" i="13" s="1"/>
  <c r="T54" i="13" s="1"/>
  <c r="V54" i="13" s="1"/>
  <c r="O37" i="13"/>
  <c r="AA37" i="13" s="1"/>
  <c r="O65" i="13"/>
  <c r="AA65" i="13" s="1"/>
  <c r="M66" i="13"/>
  <c r="Q66" i="13" s="1"/>
  <c r="R66" i="13" s="1"/>
  <c r="S66" i="13" s="1"/>
  <c r="T66" i="13" s="1"/>
  <c r="V66" i="13" s="1"/>
  <c r="O71" i="13"/>
  <c r="AA71" i="13" s="1"/>
  <c r="M65" i="13"/>
  <c r="Q65" i="13" s="1"/>
  <c r="R65" i="13" s="1"/>
  <c r="S65" i="13" s="1"/>
  <c r="T65" i="13" s="1"/>
  <c r="V65" i="13" s="1"/>
  <c r="M57" i="13"/>
  <c r="Q57" i="13" s="1"/>
  <c r="R57" i="13" s="1"/>
  <c r="S57" i="13" s="1"/>
  <c r="T57" i="13" s="1"/>
  <c r="V57" i="13" s="1"/>
  <c r="M25" i="13"/>
  <c r="Q25" i="13" s="1"/>
  <c r="R25" i="13" s="1"/>
  <c r="S25" i="13" s="1"/>
  <c r="T25" i="13" s="1"/>
  <c r="V25" i="13" s="1"/>
  <c r="M23" i="13"/>
  <c r="Q23" i="13" s="1"/>
  <c r="R23" i="13" s="1"/>
  <c r="S23" i="13" s="1"/>
  <c r="T23" i="13" s="1"/>
  <c r="V23" i="13" s="1"/>
  <c r="M30" i="13"/>
  <c r="Q30" i="13" s="1"/>
  <c r="R30" i="13" s="1"/>
  <c r="S30" i="13" s="1"/>
  <c r="T30" i="13" s="1"/>
  <c r="V30" i="13" s="1"/>
  <c r="M31" i="13"/>
  <c r="Q31" i="13" s="1"/>
  <c r="R31" i="13" s="1"/>
  <c r="S31" i="13" s="1"/>
  <c r="T31" i="13" s="1"/>
  <c r="V31" i="13" s="1"/>
  <c r="M55" i="13"/>
  <c r="Q55" i="13" s="1"/>
  <c r="R55" i="13" s="1"/>
  <c r="S55" i="13" s="1"/>
  <c r="T55" i="13" s="1"/>
  <c r="V55" i="13" s="1"/>
  <c r="O21" i="13"/>
  <c r="AA21" i="13" s="1"/>
  <c r="O43" i="13"/>
  <c r="AA43" i="13" s="1"/>
  <c r="M21" i="13"/>
  <c r="Q21" i="13" s="1"/>
  <c r="R21" i="13" s="1"/>
  <c r="S21" i="13" s="1"/>
  <c r="T21" i="13" s="1"/>
  <c r="V21" i="13" s="1"/>
  <c r="O54" i="13"/>
  <c r="AA54" i="13" s="1"/>
  <c r="O25" i="13"/>
  <c r="AA25" i="13" s="1"/>
  <c r="O47" i="13"/>
  <c r="AA47" i="13" s="1"/>
  <c r="O55" i="13"/>
  <c r="AA55" i="13" s="1"/>
  <c r="O24" i="13"/>
  <c r="AA24" i="13" s="1"/>
  <c r="M69" i="13"/>
  <c r="Q69" i="13" s="1"/>
  <c r="R69" i="13" s="1"/>
  <c r="S69" i="13" s="1"/>
  <c r="T69" i="13" s="1"/>
  <c r="V69" i="13" s="1"/>
  <c r="O29" i="13"/>
  <c r="AA29" i="13" s="1"/>
  <c r="M42" i="13"/>
  <c r="Q42" i="13" s="1"/>
  <c r="R42" i="13" s="1"/>
  <c r="S42" i="13" s="1"/>
  <c r="T42" i="13" s="1"/>
  <c r="V42" i="13" s="1"/>
  <c r="O48" i="13"/>
  <c r="AA48" i="13" s="1"/>
  <c r="M70" i="13"/>
  <c r="Q70" i="13" s="1"/>
  <c r="R70" i="13" s="1"/>
  <c r="S70" i="13" s="1"/>
  <c r="T70" i="13" s="1"/>
  <c r="V70" i="13" s="1"/>
  <c r="M39" i="13"/>
  <c r="Q39" i="13" s="1"/>
  <c r="R39" i="13" s="1"/>
  <c r="S39" i="13" s="1"/>
  <c r="T39" i="13" s="1"/>
  <c r="V39" i="13" s="1"/>
  <c r="O66" i="13"/>
  <c r="AA66" i="13" s="1"/>
  <c r="O68" i="13"/>
  <c r="AA68" i="13" s="1"/>
  <c r="O61" i="13"/>
  <c r="AA61" i="13" s="1"/>
  <c r="R63" i="13" l="1"/>
  <c r="S63" i="13" s="1"/>
  <c r="T63" i="13" s="1"/>
  <c r="V63" i="13" s="1"/>
  <c r="M85" i="13"/>
  <c r="Q85" i="13" s="1"/>
  <c r="O85" i="13"/>
  <c r="AA85" i="13" s="1"/>
  <c r="M84" i="13"/>
  <c r="Q84" i="13" s="1"/>
  <c r="O84" i="13"/>
  <c r="AA84" i="13" s="1"/>
  <c r="M135" i="13"/>
  <c r="Q135" i="13" s="1"/>
  <c r="O135" i="13"/>
  <c r="AA135" i="13" s="1"/>
  <c r="M126" i="13"/>
  <c r="Q126" i="13" s="1"/>
  <c r="O126" i="13"/>
  <c r="AA126" i="13" s="1"/>
  <c r="O114" i="13"/>
  <c r="AA114" i="13" s="1"/>
  <c r="M114" i="13"/>
  <c r="Q114" i="13" s="1"/>
  <c r="M105" i="13"/>
  <c r="Q105" i="13" s="1"/>
  <c r="O105" i="13"/>
  <c r="AA105" i="13" s="1"/>
  <c r="M96" i="13"/>
  <c r="Q96" i="13" s="1"/>
  <c r="O96" i="13"/>
  <c r="AA96" i="13" s="1"/>
  <c r="O91" i="13"/>
  <c r="AA91" i="13" s="1"/>
  <c r="M91" i="13"/>
  <c r="Q91" i="13" s="1"/>
  <c r="M86" i="13"/>
  <c r="Q86" i="13" s="1"/>
  <c r="O86" i="13"/>
  <c r="AA86" i="13" s="1"/>
  <c r="O214" i="13"/>
  <c r="AA214" i="13" s="1"/>
  <c r="M214" i="13"/>
  <c r="Q214" i="13" s="1"/>
  <c r="O205" i="13"/>
  <c r="AA205" i="13" s="1"/>
  <c r="M205" i="13"/>
  <c r="Q205" i="13" s="1"/>
  <c r="O193" i="13"/>
  <c r="AA193" i="13" s="1"/>
  <c r="M193" i="13"/>
  <c r="Q193" i="13" s="1"/>
  <c r="O184" i="13"/>
  <c r="AA184" i="13" s="1"/>
  <c r="M184" i="13"/>
  <c r="Q184" i="13" s="1"/>
  <c r="O175" i="13"/>
  <c r="AA175" i="13" s="1"/>
  <c r="M175" i="13"/>
  <c r="Q175" i="13" s="1"/>
  <c r="O170" i="13"/>
  <c r="AA170" i="13" s="1"/>
  <c r="M170" i="13"/>
  <c r="Q170" i="13" s="1"/>
  <c r="O165" i="13"/>
  <c r="AA165" i="13" s="1"/>
  <c r="O166" i="13"/>
  <c r="AA166" i="13" s="1"/>
  <c r="M165" i="13"/>
  <c r="Q165" i="13" s="1"/>
  <c r="O162" i="13"/>
  <c r="AA162" i="13" s="1"/>
  <c r="O164" i="13"/>
  <c r="AA164" i="13" s="1"/>
  <c r="M163" i="13"/>
  <c r="Q163" i="13" s="1"/>
  <c r="M162" i="13"/>
  <c r="Q162" i="13" s="1"/>
  <c r="O163" i="13"/>
  <c r="AA163" i="13" s="1"/>
  <c r="M164" i="13"/>
  <c r="Q164" i="13" s="1"/>
  <c r="O128" i="13"/>
  <c r="AA128" i="13" s="1"/>
  <c r="M128" i="13"/>
  <c r="Q128" i="13" s="1"/>
  <c r="O116" i="13"/>
  <c r="AA116" i="13" s="1"/>
  <c r="M116" i="13"/>
  <c r="Q116" i="13" s="1"/>
  <c r="O108" i="13"/>
  <c r="AA108" i="13" s="1"/>
  <c r="M108" i="13"/>
  <c r="Q108" i="13" s="1"/>
  <c r="M207" i="13"/>
  <c r="Q207" i="13" s="1"/>
  <c r="O207" i="13"/>
  <c r="AA207" i="13" s="1"/>
  <c r="M208" i="13"/>
  <c r="Q208" i="13" s="1"/>
  <c r="O208" i="13"/>
  <c r="AA208" i="13" s="1"/>
  <c r="M195" i="13"/>
  <c r="Q195" i="13" s="1"/>
  <c r="O195" i="13"/>
  <c r="AA195" i="13" s="1"/>
  <c r="O130" i="13"/>
  <c r="AA130" i="13" s="1"/>
  <c r="O187" i="13"/>
  <c r="AA187" i="13" s="1"/>
  <c r="M187" i="13"/>
  <c r="Q187" i="13" s="1"/>
  <c r="S59" i="13"/>
  <c r="T59" i="13" s="1"/>
  <c r="V59" i="13" s="1"/>
  <c r="S33" i="13"/>
  <c r="T33" i="13" s="1"/>
  <c r="V33" i="13" s="1"/>
  <c r="S58" i="13"/>
  <c r="T58" i="13" s="1"/>
  <c r="V58" i="13" s="1"/>
  <c r="S34" i="13"/>
  <c r="T34" i="13" s="1"/>
  <c r="V34" i="13" s="1"/>
  <c r="S32" i="13"/>
  <c r="T32" i="13" s="1"/>
  <c r="V32" i="13" s="1"/>
  <c r="O219" i="13"/>
  <c r="AA219" i="13" s="1"/>
  <c r="M81" i="13"/>
  <c r="Q81" i="13" s="1"/>
  <c r="O83" i="13"/>
  <c r="AA83" i="13" s="1"/>
  <c r="M82" i="13"/>
  <c r="Q82" i="13" s="1"/>
  <c r="O81" i="13"/>
  <c r="AA81" i="13" s="1"/>
  <c r="M83" i="13"/>
  <c r="Q83" i="13" s="1"/>
  <c r="O82" i="13"/>
  <c r="AA82" i="13" s="1"/>
  <c r="M226" i="13"/>
  <c r="M127" i="13"/>
  <c r="Q127" i="13" s="1"/>
  <c r="R127" i="13" s="1"/>
  <c r="O117" i="13"/>
  <c r="AA117" i="13" s="1"/>
  <c r="O174" i="13"/>
  <c r="AA174" i="13" s="1"/>
  <c r="M122" i="13"/>
  <c r="Q122" i="13" s="1"/>
  <c r="R122" i="13" s="1"/>
  <c r="O89" i="13"/>
  <c r="AA89" i="13" s="1"/>
  <c r="M227" i="13"/>
  <c r="M130" i="13"/>
  <c r="Q130" i="13" s="1"/>
  <c r="R130" i="13" s="1"/>
  <c r="M221" i="13"/>
  <c r="Q221" i="13" s="1"/>
  <c r="R221" i="13" s="1"/>
  <c r="M99" i="13"/>
  <c r="Q99" i="13" s="1"/>
  <c r="R99" i="13" s="1"/>
  <c r="O78" i="13"/>
  <c r="AA78" i="13" s="1"/>
  <c r="M89" i="13"/>
  <c r="Q89" i="13" s="1"/>
  <c r="R89" i="13" s="1"/>
  <c r="O131" i="13"/>
  <c r="AA131" i="13" s="1"/>
  <c r="M224" i="13"/>
  <c r="M196" i="13"/>
  <c r="Q196" i="13" s="1"/>
  <c r="R196" i="13" s="1"/>
  <c r="M220" i="13"/>
  <c r="Q220" i="13" s="1"/>
  <c r="R220" i="13" s="1"/>
  <c r="M78" i="13"/>
  <c r="Q78" i="13" s="1"/>
  <c r="R78" i="13" s="1"/>
  <c r="O99" i="13"/>
  <c r="AA99" i="13" s="1"/>
  <c r="M110" i="13"/>
  <c r="Q110" i="13" s="1"/>
  <c r="O106" i="13"/>
  <c r="AA106" i="13" s="1"/>
  <c r="O194" i="13"/>
  <c r="AA194" i="13" s="1"/>
  <c r="M212" i="13"/>
  <c r="Q212" i="13" s="1"/>
  <c r="M217" i="13"/>
  <c r="Q217" i="13" s="1"/>
  <c r="M194" i="13"/>
  <c r="Q194" i="13" s="1"/>
  <c r="R194" i="13" s="1"/>
  <c r="M101" i="13"/>
  <c r="Q101" i="13" s="1"/>
  <c r="R101" i="13" s="1"/>
  <c r="O104" i="13"/>
  <c r="AA104" i="13" s="1"/>
  <c r="O149" i="13"/>
  <c r="O147" i="13"/>
  <c r="O197" i="13"/>
  <c r="AA197" i="13" s="1"/>
  <c r="M173" i="13"/>
  <c r="Q173" i="13" s="1"/>
  <c r="M161" i="13"/>
  <c r="Q161" i="13" s="1"/>
  <c r="M209" i="13"/>
  <c r="Q209" i="13" s="1"/>
  <c r="R209" i="13" s="1"/>
  <c r="M136" i="13"/>
  <c r="Q136" i="13" s="1"/>
  <c r="O132" i="13"/>
  <c r="AA132" i="13" s="1"/>
  <c r="M121" i="13"/>
  <c r="Q121" i="13" s="1"/>
  <c r="O160" i="13"/>
  <c r="AA160" i="13" s="1"/>
  <c r="O142" i="13"/>
  <c r="AA142" i="13" s="1"/>
  <c r="M169" i="13"/>
  <c r="Q169" i="13" s="1"/>
  <c r="N237" i="13"/>
  <c r="AA74" i="13"/>
  <c r="O74" i="13"/>
  <c r="M111" i="13"/>
  <c r="Q111" i="13" s="1"/>
  <c r="M213" i="13"/>
  <c r="Q213" i="13" s="1"/>
  <c r="S213" i="13" s="1"/>
  <c r="M104" i="13"/>
  <c r="Q104" i="13" s="1"/>
  <c r="M199" i="13"/>
  <c r="Q199" i="13" s="1"/>
  <c r="M190" i="13"/>
  <c r="Q190" i="13" s="1"/>
  <c r="M88" i="13"/>
  <c r="Q88" i="13" s="1"/>
  <c r="M229" i="13"/>
  <c r="M215" i="13"/>
  <c r="Q215" i="13" s="1"/>
  <c r="R215" i="13" s="1"/>
  <c r="M176" i="13"/>
  <c r="Q176" i="13" s="1"/>
  <c r="M95" i="13"/>
  <c r="Q95" i="13" s="1"/>
  <c r="R95" i="13" s="1"/>
  <c r="O139" i="13"/>
  <c r="AA139" i="13" s="1"/>
  <c r="O100" i="13"/>
  <c r="AA100" i="13" s="1"/>
  <c r="O109" i="13"/>
  <c r="AA109" i="13" s="1"/>
  <c r="O92" i="13"/>
  <c r="AA92" i="13" s="1"/>
  <c r="O158" i="13"/>
  <c r="M100" i="13"/>
  <c r="Q100" i="13" s="1"/>
  <c r="M117" i="13"/>
  <c r="Q117" i="13" s="1"/>
  <c r="O122" i="13"/>
  <c r="AA122" i="13" s="1"/>
  <c r="M92" i="13"/>
  <c r="Q92" i="13" s="1"/>
  <c r="M125" i="13"/>
  <c r="Q125" i="13" s="1"/>
  <c r="M90" i="13"/>
  <c r="Q90" i="13" s="1"/>
  <c r="M200" i="13"/>
  <c r="Q200" i="13" s="1"/>
  <c r="M109" i="13"/>
  <c r="Q109" i="13" s="1"/>
  <c r="M132" i="13"/>
  <c r="Q132" i="13" s="1"/>
  <c r="M148" i="13"/>
  <c r="M219" i="13"/>
  <c r="Q219" i="13" s="1"/>
  <c r="M141" i="13"/>
  <c r="Q141" i="13" s="1"/>
  <c r="M222" i="13"/>
  <c r="M139" i="13"/>
  <c r="Q139" i="13" s="1"/>
  <c r="R139" i="13" s="1"/>
  <c r="M204" i="13"/>
  <c r="Q204" i="13" s="1"/>
  <c r="M192" i="13"/>
  <c r="Q192" i="13" s="1"/>
  <c r="M124" i="13"/>
  <c r="Q124" i="13" s="1"/>
  <c r="M151" i="13"/>
  <c r="O79" i="13"/>
  <c r="AA79" i="13" s="1"/>
  <c r="O102" i="13"/>
  <c r="AA102" i="13" s="1"/>
  <c r="M133" i="13"/>
  <c r="Q133" i="13" s="1"/>
  <c r="M138" i="13"/>
  <c r="Q138" i="13" s="1"/>
  <c r="M112" i="13"/>
  <c r="Q112" i="13" s="1"/>
  <c r="O161" i="13"/>
  <c r="AA161" i="13" s="1"/>
  <c r="O80" i="13"/>
  <c r="AA80" i="13" s="1"/>
  <c r="M102" i="13"/>
  <c r="Q102" i="13" s="1"/>
  <c r="R102" i="13" s="1"/>
  <c r="O118" i="13"/>
  <c r="AA118" i="13" s="1"/>
  <c r="M123" i="13"/>
  <c r="Q123" i="13" s="1"/>
  <c r="M87" i="13"/>
  <c r="Q87" i="13" s="1"/>
  <c r="O93" i="13"/>
  <c r="AA93" i="13" s="1"/>
  <c r="M142" i="13"/>
  <c r="Q142" i="13" s="1"/>
  <c r="O124" i="13"/>
  <c r="AA124" i="13" s="1"/>
  <c r="O107" i="13"/>
  <c r="AA107" i="13" s="1"/>
  <c r="O121" i="13"/>
  <c r="AA121" i="13" s="1"/>
  <c r="O138" i="13"/>
  <c r="AA138" i="13" s="1"/>
  <c r="O159" i="13"/>
  <c r="AA159" i="13" s="1"/>
  <c r="O127" i="13"/>
  <c r="AA127" i="13" s="1"/>
  <c r="O167" i="13"/>
  <c r="AA167" i="13" s="1"/>
  <c r="O168" i="13"/>
  <c r="AA168" i="13" s="1"/>
  <c r="M174" i="13"/>
  <c r="Q174" i="13" s="1"/>
  <c r="O198" i="13"/>
  <c r="AA198" i="13" s="1"/>
  <c r="O183" i="13"/>
  <c r="AA183" i="13" s="1"/>
  <c r="O213" i="13"/>
  <c r="AA213" i="13" s="1"/>
  <c r="O210" i="13"/>
  <c r="AA210" i="13" s="1"/>
  <c r="O8" i="13"/>
  <c r="M206" i="13"/>
  <c r="Q206" i="13" s="1"/>
  <c r="M93" i="13"/>
  <c r="Q93" i="13" s="1"/>
  <c r="R93" i="13" s="1"/>
  <c r="M186" i="13"/>
  <c r="Q186" i="13" s="1"/>
  <c r="M185" i="13"/>
  <c r="Q185" i="13" s="1"/>
  <c r="M106" i="13"/>
  <c r="Q106" i="13" s="1"/>
  <c r="M143" i="13"/>
  <c r="M178" i="13"/>
  <c r="Q178" i="13" s="1"/>
  <c r="R178" i="13" s="1"/>
  <c r="M137" i="13"/>
  <c r="Q137" i="13" s="1"/>
  <c r="M80" i="13"/>
  <c r="Q80" i="13" s="1"/>
  <c r="M171" i="13"/>
  <c r="Q171" i="13" s="1"/>
  <c r="M202" i="13"/>
  <c r="Q202" i="13" s="1"/>
  <c r="M198" i="13"/>
  <c r="Q198" i="13" s="1"/>
  <c r="M144" i="13"/>
  <c r="M97" i="13"/>
  <c r="Q97" i="13" s="1"/>
  <c r="M107" i="13"/>
  <c r="Q107" i="13" s="1"/>
  <c r="O134" i="13"/>
  <c r="AA134" i="13" s="1"/>
  <c r="O137" i="13"/>
  <c r="AA137" i="13" s="1"/>
  <c r="O87" i="13"/>
  <c r="AA87" i="13" s="1"/>
  <c r="M131" i="13"/>
  <c r="Q131" i="13" s="1"/>
  <c r="O178" i="13"/>
  <c r="AA178" i="13" s="1"/>
  <c r="M98" i="13"/>
  <c r="Q98" i="13" s="1"/>
  <c r="O103" i="13"/>
  <c r="AA103" i="13" s="1"/>
  <c r="M119" i="13"/>
  <c r="Q119" i="13" s="1"/>
  <c r="M129" i="13"/>
  <c r="Q129" i="13" s="1"/>
  <c r="O88" i="13"/>
  <c r="AA88" i="13" s="1"/>
  <c r="M94" i="13"/>
  <c r="Q94" i="13" s="1"/>
  <c r="M150" i="13"/>
  <c r="O145" i="13"/>
  <c r="O110" i="13"/>
  <c r="AA110" i="13" s="1"/>
  <c r="O129" i="13"/>
  <c r="AA129" i="13" s="1"/>
  <c r="O140" i="13"/>
  <c r="AA140" i="13" s="1"/>
  <c r="M168" i="13"/>
  <c r="Q168" i="13" s="1"/>
  <c r="M145" i="13"/>
  <c r="O180" i="13"/>
  <c r="AA180" i="13" s="1"/>
  <c r="O177" i="13"/>
  <c r="AA177" i="13" s="1"/>
  <c r="M181" i="13"/>
  <c r="Q181" i="13" s="1"/>
  <c r="O200" i="13"/>
  <c r="AA200" i="13" s="1"/>
  <c r="O188" i="13"/>
  <c r="AA188" i="13" s="1"/>
  <c r="O223" i="13"/>
  <c r="O229" i="13"/>
  <c r="O221" i="13"/>
  <c r="AA221" i="13" s="1"/>
  <c r="O212" i="13"/>
  <c r="AA212" i="13" s="1"/>
  <c r="M232" i="13"/>
  <c r="O203" i="13"/>
  <c r="AA203" i="13" s="1"/>
  <c r="O227" i="13"/>
  <c r="O216" i="13"/>
  <c r="AA216" i="13" s="1"/>
  <c r="O204" i="13"/>
  <c r="AA204" i="13" s="1"/>
  <c r="O199" i="13"/>
  <c r="AA199" i="13" s="1"/>
  <c r="O225" i="13"/>
  <c r="O217" i="13"/>
  <c r="AA217" i="13" s="1"/>
  <c r="O228" i="13"/>
  <c r="M233" i="13"/>
  <c r="O220" i="13"/>
  <c r="AA220" i="13" s="1"/>
  <c r="O211" i="13"/>
  <c r="AA211" i="13" s="1"/>
  <c r="O206" i="13"/>
  <c r="AA206" i="13" s="1"/>
  <c r="O192" i="13"/>
  <c r="AA192" i="13" s="1"/>
  <c r="O181" i="13"/>
  <c r="AA181" i="13" s="1"/>
  <c r="M228" i="13"/>
  <c r="O196" i="13"/>
  <c r="AA196" i="13" s="1"/>
  <c r="O186" i="13"/>
  <c r="AA186" i="13" s="1"/>
  <c r="O173" i="13"/>
  <c r="AA173" i="13" s="1"/>
  <c r="M236" i="13"/>
  <c r="M167" i="13"/>
  <c r="Q167" i="13" s="1"/>
  <c r="O172" i="13"/>
  <c r="AA172" i="13" s="1"/>
  <c r="O151" i="13"/>
  <c r="O143" i="13"/>
  <c r="M188" i="13"/>
  <c r="Q188" i="13" s="1"/>
  <c r="O146" i="13"/>
  <c r="O136" i="13"/>
  <c r="AA136" i="13" s="1"/>
  <c r="O123" i="13"/>
  <c r="AA123" i="13" s="1"/>
  <c r="O112" i="13"/>
  <c r="AA112" i="13" s="1"/>
  <c r="O176" i="13"/>
  <c r="AA176" i="13" s="1"/>
  <c r="M183" i="13"/>
  <c r="Q183" i="13" s="1"/>
  <c r="R183" i="13" s="1"/>
  <c r="O144" i="13"/>
  <c r="O95" i="13"/>
  <c r="AA95" i="13" s="1"/>
  <c r="O90" i="13"/>
  <c r="AA90" i="13" s="1"/>
  <c r="M201" i="13"/>
  <c r="Q201" i="13" s="1"/>
  <c r="O125" i="13"/>
  <c r="AA125" i="13" s="1"/>
  <c r="O120" i="13"/>
  <c r="AA120" i="13" s="1"/>
  <c r="O111" i="13"/>
  <c r="AA111" i="13" s="1"/>
  <c r="O101" i="13"/>
  <c r="AA101" i="13" s="1"/>
  <c r="O97" i="13"/>
  <c r="AA97" i="13" s="1"/>
  <c r="O185" i="13"/>
  <c r="AA185" i="13" s="1"/>
  <c r="O152" i="13"/>
  <c r="O94" i="13"/>
  <c r="AA94" i="13" s="1"/>
  <c r="O141" i="13"/>
  <c r="AA141" i="13" s="1"/>
  <c r="M140" i="13"/>
  <c r="Q140" i="13" s="1"/>
  <c r="O98" i="13"/>
  <c r="AA98" i="13" s="1"/>
  <c r="M159" i="13"/>
  <c r="Q159" i="13" s="1"/>
  <c r="M103" i="13"/>
  <c r="Q103" i="13" s="1"/>
  <c r="O113" i="13"/>
  <c r="AA113" i="13" s="1"/>
  <c r="M118" i="13"/>
  <c r="Q118" i="13" s="1"/>
  <c r="M166" i="13"/>
  <c r="Q166" i="13" s="1"/>
  <c r="M197" i="13"/>
  <c r="Q197" i="13" s="1"/>
  <c r="M218" i="13"/>
  <c r="Q218" i="13" s="1"/>
  <c r="M211" i="13"/>
  <c r="Q211" i="13" s="1"/>
  <c r="M189" i="13"/>
  <c r="Q189" i="13" s="1"/>
  <c r="M158" i="13"/>
  <c r="M160" i="13"/>
  <c r="Q160" i="13" s="1"/>
  <c r="M180" i="13"/>
  <c r="Q180" i="13" s="1"/>
  <c r="M225" i="13"/>
  <c r="M134" i="13"/>
  <c r="Q134" i="13" s="1"/>
  <c r="R134" i="13" s="1"/>
  <c r="M152" i="13"/>
  <c r="M120" i="13"/>
  <c r="Q120" i="13" s="1"/>
  <c r="M113" i="13"/>
  <c r="Q113" i="13" s="1"/>
  <c r="M191" i="13"/>
  <c r="Q191" i="13" s="1"/>
  <c r="M216" i="13"/>
  <c r="Q216" i="13" s="1"/>
  <c r="M210" i="13"/>
  <c r="Q210" i="13" s="1"/>
  <c r="M235" i="13"/>
  <c r="M223" i="13"/>
  <c r="O215" i="13"/>
  <c r="AA215" i="13" s="1"/>
  <c r="M234" i="13"/>
  <c r="O224" i="13"/>
  <c r="O230" i="13"/>
  <c r="O218" i="13"/>
  <c r="AA218" i="13" s="1"/>
  <c r="O209" i="13"/>
  <c r="AA209" i="13" s="1"/>
  <c r="O202" i="13"/>
  <c r="AA202" i="13" s="1"/>
  <c r="O190" i="13"/>
  <c r="AA190" i="13" s="1"/>
  <c r="O226" i="13"/>
  <c r="O222" i="13"/>
  <c r="O191" i="13"/>
  <c r="AA191" i="13" s="1"/>
  <c r="O182" i="13"/>
  <c r="AA182" i="13" s="1"/>
  <c r="M172" i="13"/>
  <c r="Q172" i="13" s="1"/>
  <c r="O179" i="13"/>
  <c r="AA179" i="13" s="1"/>
  <c r="O169" i="13"/>
  <c r="AA169" i="13" s="1"/>
  <c r="M147" i="13"/>
  <c r="M182" i="13"/>
  <c r="Q182" i="13" s="1"/>
  <c r="R182" i="13" s="1"/>
  <c r="O148" i="13"/>
  <c r="M79" i="13"/>
  <c r="Q79" i="13" s="1"/>
  <c r="M146" i="13"/>
  <c r="M115" i="13"/>
  <c r="Q115" i="13" s="1"/>
  <c r="M179" i="13"/>
  <c r="Q179" i="13" s="1"/>
  <c r="M177" i="13"/>
  <c r="Q177" i="13" s="1"/>
  <c r="O119" i="13"/>
  <c r="AA119" i="13" s="1"/>
  <c r="O133" i="13"/>
  <c r="AA133" i="13" s="1"/>
  <c r="O150" i="13"/>
  <c r="O115" i="13"/>
  <c r="AA115" i="13" s="1"/>
  <c r="M149" i="13"/>
  <c r="M230" i="13"/>
  <c r="O171" i="13"/>
  <c r="AA171" i="13" s="1"/>
  <c r="O189" i="13"/>
  <c r="AA189" i="13" s="1"/>
  <c r="M203" i="13"/>
  <c r="Q203" i="13" s="1"/>
  <c r="O201" i="13"/>
  <c r="AA201" i="13" s="1"/>
  <c r="M231" i="13"/>
  <c r="W53" i="13"/>
  <c r="X53" i="13" s="1"/>
  <c r="Y53" i="13" s="1"/>
  <c r="AB53" i="13"/>
  <c r="W27" i="13"/>
  <c r="X27" i="13" s="1"/>
  <c r="Y27" i="13" s="1"/>
  <c r="AB27" i="13"/>
  <c r="AB30" i="13"/>
  <c r="W30" i="13"/>
  <c r="X30" i="13" s="1"/>
  <c r="Y30" i="13" s="1"/>
  <c r="AB61" i="13"/>
  <c r="W61" i="13"/>
  <c r="X61" i="13" s="1"/>
  <c r="Y61" i="13" s="1"/>
  <c r="W36" i="13"/>
  <c r="X36" i="13" s="1"/>
  <c r="Y36" i="13" s="1"/>
  <c r="AB36" i="13"/>
  <c r="W22" i="13"/>
  <c r="X22" i="13" s="1"/>
  <c r="Y22" i="13" s="1"/>
  <c r="AB22" i="13"/>
  <c r="W51" i="13"/>
  <c r="X51" i="13" s="1"/>
  <c r="Y51" i="13" s="1"/>
  <c r="AB51" i="13"/>
  <c r="W55" i="13"/>
  <c r="X55" i="13" s="1"/>
  <c r="Y55" i="13" s="1"/>
  <c r="AB55" i="13"/>
  <c r="AB65" i="13"/>
  <c r="W65" i="13"/>
  <c r="X65" i="13" s="1"/>
  <c r="Y65" i="13" s="1"/>
  <c r="W45" i="13"/>
  <c r="X45" i="13" s="1"/>
  <c r="Y45" i="13" s="1"/>
  <c r="AB45" i="13"/>
  <c r="AB35" i="13"/>
  <c r="W35" i="13"/>
  <c r="X35" i="13" s="1"/>
  <c r="Y35" i="13" s="1"/>
  <c r="AB38" i="13"/>
  <c r="W38" i="13"/>
  <c r="X38" i="13" s="1"/>
  <c r="Y38" i="13" s="1"/>
  <c r="AB29" i="13"/>
  <c r="W29" i="13"/>
  <c r="X29" i="13" s="1"/>
  <c r="Y29" i="13" s="1"/>
  <c r="AB67" i="13"/>
  <c r="W67" i="13"/>
  <c r="X67" i="13" s="1"/>
  <c r="Y67" i="13" s="1"/>
  <c r="W69" i="13"/>
  <c r="X69" i="13" s="1"/>
  <c r="Y69" i="13" s="1"/>
  <c r="AB69" i="13"/>
  <c r="AB49" i="13"/>
  <c r="W49" i="13"/>
  <c r="X49" i="13" s="1"/>
  <c r="Y49" i="13" s="1"/>
  <c r="AB64" i="13"/>
  <c r="W64" i="13"/>
  <c r="X64" i="13" s="1"/>
  <c r="Y64" i="13" s="1"/>
  <c r="W62" i="13"/>
  <c r="X62" i="13" s="1"/>
  <c r="Y62" i="13" s="1"/>
  <c r="AB62" i="13"/>
  <c r="AB70" i="13"/>
  <c r="W70" i="13"/>
  <c r="X70" i="13" s="1"/>
  <c r="Y70" i="13" s="1"/>
  <c r="AB68" i="13"/>
  <c r="W68" i="13"/>
  <c r="X68" i="13" s="1"/>
  <c r="Y68" i="13" s="1"/>
  <c r="AB31" i="13"/>
  <c r="W31" i="13"/>
  <c r="X31" i="13" s="1"/>
  <c r="Y31" i="13" s="1"/>
  <c r="W50" i="13"/>
  <c r="X50" i="13" s="1"/>
  <c r="Y50" i="13" s="1"/>
  <c r="AB50" i="13"/>
  <c r="AB66" i="13"/>
  <c r="W66" i="13"/>
  <c r="X66" i="13" s="1"/>
  <c r="Y66" i="13" s="1"/>
  <c r="AB26" i="13"/>
  <c r="W26" i="13"/>
  <c r="X26" i="13" s="1"/>
  <c r="Y26" i="13" s="1"/>
  <c r="AB28" i="13"/>
  <c r="W28" i="13"/>
  <c r="X28" i="13" s="1"/>
  <c r="Y28" i="13" s="1"/>
  <c r="AB47" i="13"/>
  <c r="W47" i="13"/>
  <c r="X47" i="13" s="1"/>
  <c r="Y47" i="13" s="1"/>
  <c r="W37" i="13"/>
  <c r="X37" i="13" s="1"/>
  <c r="Y37" i="13" s="1"/>
  <c r="AB37" i="13"/>
  <c r="W41" i="13"/>
  <c r="X41" i="13" s="1"/>
  <c r="Y41" i="13" s="1"/>
  <c r="AB41" i="13"/>
  <c r="W48" i="13"/>
  <c r="X48" i="13" s="1"/>
  <c r="Y48" i="13" s="1"/>
  <c r="AB48" i="13"/>
  <c r="AB71" i="13"/>
  <c r="W71" i="13"/>
  <c r="X71" i="13" s="1"/>
  <c r="Y71" i="13" s="1"/>
  <c r="W24" i="13"/>
  <c r="X24" i="13" s="1"/>
  <c r="Y24" i="13" s="1"/>
  <c r="AB24" i="13"/>
  <c r="W44" i="13"/>
  <c r="X44" i="13" s="1"/>
  <c r="Y44" i="13" s="1"/>
  <c r="AB44" i="13"/>
  <c r="AB23" i="13"/>
  <c r="W23" i="13"/>
  <c r="X23" i="13" s="1"/>
  <c r="Y23" i="13" s="1"/>
  <c r="AB56" i="13"/>
  <c r="W56" i="13"/>
  <c r="X56" i="13" s="1"/>
  <c r="Y56" i="13" s="1"/>
  <c r="AB54" i="13"/>
  <c r="W54" i="13"/>
  <c r="X54" i="13" s="1"/>
  <c r="Y54" i="13" s="1"/>
  <c r="AB39" i="13"/>
  <c r="W39" i="13"/>
  <c r="X39" i="13" s="1"/>
  <c r="Y39" i="13" s="1"/>
  <c r="W43" i="13"/>
  <c r="X43" i="13" s="1"/>
  <c r="Y43" i="13" s="1"/>
  <c r="AB43" i="13"/>
  <c r="AB60" i="13"/>
  <c r="W60" i="13"/>
  <c r="X60" i="13" s="1"/>
  <c r="Y60" i="13" s="1"/>
  <c r="AB25" i="13"/>
  <c r="W25" i="13"/>
  <c r="X25" i="13" s="1"/>
  <c r="Y25" i="13" s="1"/>
  <c r="W57" i="13"/>
  <c r="X57" i="13" s="1"/>
  <c r="Y57" i="13" s="1"/>
  <c r="AB57" i="13"/>
  <c r="AB40" i="13"/>
  <c r="W40" i="13"/>
  <c r="X40" i="13" s="1"/>
  <c r="Y40" i="13" s="1"/>
  <c r="W52" i="13"/>
  <c r="X52" i="13" s="1"/>
  <c r="Y52" i="13" s="1"/>
  <c r="AB52" i="13"/>
  <c r="W42" i="13"/>
  <c r="X42" i="13" s="1"/>
  <c r="Y42" i="13" s="1"/>
  <c r="AB42" i="13"/>
  <c r="W21" i="13"/>
  <c r="AB21" i="13"/>
  <c r="W63" i="13" l="1"/>
  <c r="X63" i="13" s="1"/>
  <c r="Y63" i="13" s="1"/>
  <c r="AB63" i="13"/>
  <c r="S85" i="13"/>
  <c r="T85" i="13" s="1"/>
  <c r="V85" i="13" s="1"/>
  <c r="R85" i="13"/>
  <c r="S84" i="13"/>
  <c r="T84" i="13" s="1"/>
  <c r="V84" i="13" s="1"/>
  <c r="R84" i="13"/>
  <c r="S135" i="13"/>
  <c r="T135" i="13" s="1"/>
  <c r="V135" i="13" s="1"/>
  <c r="R135" i="13"/>
  <c r="S126" i="13"/>
  <c r="T126" i="13" s="1"/>
  <c r="V126" i="13" s="1"/>
  <c r="R126" i="13"/>
  <c r="S114" i="13"/>
  <c r="T114" i="13" s="1"/>
  <c r="V114" i="13" s="1"/>
  <c r="R114" i="13"/>
  <c r="S105" i="13"/>
  <c r="T105" i="13" s="1"/>
  <c r="V105" i="13" s="1"/>
  <c r="R105" i="13"/>
  <c r="S96" i="13"/>
  <c r="T96" i="13" s="1"/>
  <c r="V96" i="13" s="1"/>
  <c r="R96" i="13"/>
  <c r="R91" i="13"/>
  <c r="S91" i="13"/>
  <c r="T91" i="13" s="1"/>
  <c r="V91" i="13" s="1"/>
  <c r="S86" i="13"/>
  <c r="T86" i="13" s="1"/>
  <c r="V86" i="13" s="1"/>
  <c r="R86" i="13"/>
  <c r="R214" i="13"/>
  <c r="S214" i="13"/>
  <c r="T214" i="13" s="1"/>
  <c r="V214" i="13" s="1"/>
  <c r="S205" i="13"/>
  <c r="T205" i="13" s="1"/>
  <c r="V205" i="13" s="1"/>
  <c r="R205" i="13"/>
  <c r="R193" i="13"/>
  <c r="S193" i="13"/>
  <c r="T193" i="13" s="1"/>
  <c r="V193" i="13" s="1"/>
  <c r="R184" i="13"/>
  <c r="S184" i="13"/>
  <c r="T184" i="13" s="1"/>
  <c r="V184" i="13" s="1"/>
  <c r="R175" i="13"/>
  <c r="S175" i="13"/>
  <c r="T175" i="13" s="1"/>
  <c r="V175" i="13" s="1"/>
  <c r="R170" i="13"/>
  <c r="S170" i="13"/>
  <c r="T170" i="13" s="1"/>
  <c r="V170" i="13" s="1"/>
  <c r="R165" i="13"/>
  <c r="S165" i="13"/>
  <c r="T165" i="13" s="1"/>
  <c r="V165" i="13" s="1"/>
  <c r="R166" i="13"/>
  <c r="S166" i="13"/>
  <c r="T166" i="13" s="1"/>
  <c r="V166" i="13" s="1"/>
  <c r="W166" i="13" s="1"/>
  <c r="X166" i="13" s="1"/>
  <c r="Y166" i="13" s="1"/>
  <c r="R162" i="13"/>
  <c r="S162" i="13"/>
  <c r="T162" i="13" s="1"/>
  <c r="V162" i="13" s="1"/>
  <c r="R163" i="13"/>
  <c r="S163" i="13"/>
  <c r="T163" i="13" s="1"/>
  <c r="V163" i="13" s="1"/>
  <c r="R164" i="13"/>
  <c r="S164" i="13"/>
  <c r="T164" i="13" s="1"/>
  <c r="V164" i="13" s="1"/>
  <c r="R128" i="13"/>
  <c r="S128" i="13"/>
  <c r="T128" i="13" s="1"/>
  <c r="V128" i="13" s="1"/>
  <c r="R116" i="13"/>
  <c r="S116" i="13"/>
  <c r="T116" i="13" s="1"/>
  <c r="V116" i="13" s="1"/>
  <c r="S108" i="13"/>
  <c r="T108" i="13" s="1"/>
  <c r="V108" i="13" s="1"/>
  <c r="R108" i="13"/>
  <c r="S208" i="13"/>
  <c r="T208" i="13" s="1"/>
  <c r="V208" i="13" s="1"/>
  <c r="W208" i="13" s="1"/>
  <c r="X208" i="13" s="1"/>
  <c r="Y208" i="13" s="1"/>
  <c r="R208" i="13"/>
  <c r="R207" i="13"/>
  <c r="S207" i="13"/>
  <c r="T207" i="13" s="1"/>
  <c r="V207" i="13" s="1"/>
  <c r="R195" i="13"/>
  <c r="S195" i="13"/>
  <c r="T195" i="13" s="1"/>
  <c r="V195" i="13" s="1"/>
  <c r="S220" i="13"/>
  <c r="T220" i="13" s="1"/>
  <c r="V220" i="13" s="1"/>
  <c r="W220" i="13" s="1"/>
  <c r="X220" i="13" s="1"/>
  <c r="Y220" i="13" s="1"/>
  <c r="R187" i="13"/>
  <c r="S187" i="13"/>
  <c r="T187" i="13" s="1"/>
  <c r="V187" i="13" s="1"/>
  <c r="S95" i="13"/>
  <c r="T95" i="13" s="1"/>
  <c r="V95" i="13" s="1"/>
  <c r="AB95" i="13" s="1"/>
  <c r="S93" i="13"/>
  <c r="T93" i="13" s="1"/>
  <c r="V93" i="13" s="1"/>
  <c r="AB93" i="13" s="1"/>
  <c r="S89" i="13"/>
  <c r="T89" i="13" s="1"/>
  <c r="V89" i="13" s="1"/>
  <c r="AB89" i="13" s="1"/>
  <c r="S130" i="13"/>
  <c r="T130" i="13" s="1"/>
  <c r="V130" i="13" s="1"/>
  <c r="W130" i="13" s="1"/>
  <c r="X130" i="13" s="1"/>
  <c r="Y130" i="13" s="1"/>
  <c r="S194" i="13"/>
  <c r="T194" i="13" s="1"/>
  <c r="V194" i="13" s="1"/>
  <c r="W194" i="13" s="1"/>
  <c r="X194" i="13" s="1"/>
  <c r="Y194" i="13" s="1"/>
  <c r="S209" i="13"/>
  <c r="T209" i="13" s="1"/>
  <c r="V209" i="13" s="1"/>
  <c r="AB209" i="13" s="1"/>
  <c r="S183" i="13"/>
  <c r="T183" i="13" s="1"/>
  <c r="V183" i="13" s="1"/>
  <c r="AB183" i="13" s="1"/>
  <c r="W59" i="13"/>
  <c r="X59" i="13" s="1"/>
  <c r="Y59" i="13" s="1"/>
  <c r="AB59" i="13"/>
  <c r="W33" i="13"/>
  <c r="X33" i="13" s="1"/>
  <c r="Y33" i="13" s="1"/>
  <c r="AB33" i="13"/>
  <c r="S127" i="13"/>
  <c r="T127" i="13" s="1"/>
  <c r="V127" i="13" s="1"/>
  <c r="AB127" i="13" s="1"/>
  <c r="W58" i="13"/>
  <c r="X58" i="13" s="1"/>
  <c r="Y58" i="13" s="1"/>
  <c r="AB58" i="13"/>
  <c r="W34" i="13"/>
  <c r="X34" i="13" s="1"/>
  <c r="Y34" i="13" s="1"/>
  <c r="AB34" i="13"/>
  <c r="S99" i="13"/>
  <c r="T99" i="13" s="1"/>
  <c r="V99" i="13" s="1"/>
  <c r="AB99" i="13" s="1"/>
  <c r="S182" i="13"/>
  <c r="T182" i="13" s="1"/>
  <c r="V182" i="13" s="1"/>
  <c r="AB182" i="13" s="1"/>
  <c r="W32" i="13"/>
  <c r="X32" i="13" s="1"/>
  <c r="Y32" i="13" s="1"/>
  <c r="AB32" i="13"/>
  <c r="S215" i="13"/>
  <c r="T215" i="13" s="1"/>
  <c r="AB215" i="13" s="1"/>
  <c r="S102" i="13"/>
  <c r="T102" i="13" s="1"/>
  <c r="V102" i="13" s="1"/>
  <c r="AB102" i="13" s="1"/>
  <c r="R82" i="13"/>
  <c r="S82" i="13"/>
  <c r="T82" i="13" s="1"/>
  <c r="V82" i="13" s="1"/>
  <c r="S101" i="13"/>
  <c r="T101" i="13" s="1"/>
  <c r="V101" i="13" s="1"/>
  <c r="AB101" i="13" s="1"/>
  <c r="S139" i="13"/>
  <c r="T139" i="13" s="1"/>
  <c r="V139" i="13" s="1"/>
  <c r="W139" i="13" s="1"/>
  <c r="X139" i="13" s="1"/>
  <c r="Y139" i="13" s="1"/>
  <c r="R83" i="13"/>
  <c r="S83" i="13"/>
  <c r="T83" i="13" s="1"/>
  <c r="V83" i="13" s="1"/>
  <c r="S81" i="13"/>
  <c r="T81" i="13" s="1"/>
  <c r="V81" i="13" s="1"/>
  <c r="R81" i="13"/>
  <c r="S196" i="13"/>
  <c r="T196" i="13" s="1"/>
  <c r="V196" i="13" s="1"/>
  <c r="W196" i="13" s="1"/>
  <c r="X196" i="13" s="1"/>
  <c r="Y196" i="13" s="1"/>
  <c r="S79" i="13"/>
  <c r="T79" i="13" s="1"/>
  <c r="V79" i="13" s="1"/>
  <c r="AB79" i="13" s="1"/>
  <c r="R79" i="13"/>
  <c r="S103" i="13"/>
  <c r="T103" i="13" s="1"/>
  <c r="V103" i="13" s="1"/>
  <c r="W103" i="13" s="1"/>
  <c r="X103" i="13" s="1"/>
  <c r="Y103" i="13" s="1"/>
  <c r="R103" i="13"/>
  <c r="S107" i="13"/>
  <c r="T107" i="13" s="1"/>
  <c r="V107" i="13" s="1"/>
  <c r="W107" i="13" s="1"/>
  <c r="X107" i="13" s="1"/>
  <c r="Y107" i="13" s="1"/>
  <c r="R107" i="13"/>
  <c r="S123" i="13"/>
  <c r="T123" i="13" s="1"/>
  <c r="V123" i="13" s="1"/>
  <c r="AB123" i="13" s="1"/>
  <c r="R123" i="13"/>
  <c r="S192" i="13"/>
  <c r="T192" i="13" s="1"/>
  <c r="V192" i="13" s="1"/>
  <c r="AB192" i="13" s="1"/>
  <c r="R192" i="13"/>
  <c r="S109" i="13"/>
  <c r="T109" i="13" s="1"/>
  <c r="V109" i="13" s="1"/>
  <c r="W109" i="13" s="1"/>
  <c r="X109" i="13" s="1"/>
  <c r="Y109" i="13" s="1"/>
  <c r="R109" i="13"/>
  <c r="S199" i="13"/>
  <c r="T199" i="13" s="1"/>
  <c r="V199" i="13" s="1"/>
  <c r="W199" i="13" s="1"/>
  <c r="X199" i="13" s="1"/>
  <c r="Y199" i="13" s="1"/>
  <c r="R199" i="13"/>
  <c r="S136" i="13"/>
  <c r="T136" i="13" s="1"/>
  <c r="V136" i="13" s="1"/>
  <c r="AB136" i="13" s="1"/>
  <c r="R136" i="13"/>
  <c r="S134" i="13"/>
  <c r="T134" i="13" s="1"/>
  <c r="V134" i="13" s="1"/>
  <c r="AB134" i="13" s="1"/>
  <c r="S78" i="13"/>
  <c r="T78" i="13" s="1"/>
  <c r="V78" i="13" s="1"/>
  <c r="W78" i="13" s="1"/>
  <c r="S178" i="13"/>
  <c r="T178" i="13" s="1"/>
  <c r="V178" i="13" s="1"/>
  <c r="AB178" i="13" s="1"/>
  <c r="S179" i="13"/>
  <c r="T179" i="13" s="1"/>
  <c r="V179" i="13" s="1"/>
  <c r="AB179" i="13" s="1"/>
  <c r="R179" i="13"/>
  <c r="S113" i="13"/>
  <c r="T113" i="13" s="1"/>
  <c r="V113" i="13" s="1"/>
  <c r="AB113" i="13" s="1"/>
  <c r="R113" i="13"/>
  <c r="S189" i="13"/>
  <c r="T189" i="13" s="1"/>
  <c r="V189" i="13" s="1"/>
  <c r="AB189" i="13" s="1"/>
  <c r="R189" i="13"/>
  <c r="S159" i="13"/>
  <c r="T159" i="13" s="1"/>
  <c r="V159" i="13" s="1"/>
  <c r="AB159" i="13" s="1"/>
  <c r="R159" i="13"/>
  <c r="S201" i="13"/>
  <c r="T201" i="13" s="1"/>
  <c r="V201" i="13" s="1"/>
  <c r="W201" i="13" s="1"/>
  <c r="X201" i="13" s="1"/>
  <c r="Y201" i="13" s="1"/>
  <c r="R201" i="13"/>
  <c r="S94" i="13"/>
  <c r="T94" i="13" s="1"/>
  <c r="V94" i="13" s="1"/>
  <c r="AB94" i="13" s="1"/>
  <c r="R94" i="13"/>
  <c r="S97" i="13"/>
  <c r="T97" i="13" s="1"/>
  <c r="V97" i="13" s="1"/>
  <c r="W97" i="13" s="1"/>
  <c r="X97" i="13" s="1"/>
  <c r="Y97" i="13" s="1"/>
  <c r="R97" i="13"/>
  <c r="S171" i="13"/>
  <c r="T171" i="13" s="1"/>
  <c r="W171" i="13" s="1"/>
  <c r="X171" i="13" s="1"/>
  <c r="Y171" i="13" s="1"/>
  <c r="R171" i="13"/>
  <c r="S142" i="13"/>
  <c r="T142" i="13" s="1"/>
  <c r="V142" i="13" s="1"/>
  <c r="W142" i="13" s="1"/>
  <c r="X142" i="13" s="1"/>
  <c r="Y142" i="13" s="1"/>
  <c r="R142" i="13"/>
  <c r="S112" i="13"/>
  <c r="T112" i="13" s="1"/>
  <c r="V112" i="13" s="1"/>
  <c r="W112" i="13" s="1"/>
  <c r="X112" i="13" s="1"/>
  <c r="Y112" i="13" s="1"/>
  <c r="R112" i="13"/>
  <c r="S204" i="13"/>
  <c r="T204" i="13" s="1"/>
  <c r="V204" i="13" s="1"/>
  <c r="W204" i="13" s="1"/>
  <c r="X204" i="13" s="1"/>
  <c r="Y204" i="13" s="1"/>
  <c r="R204" i="13"/>
  <c r="S219" i="13"/>
  <c r="T219" i="13" s="1"/>
  <c r="V219" i="13" s="1"/>
  <c r="W219" i="13" s="1"/>
  <c r="X219" i="13" s="1"/>
  <c r="Y219" i="13" s="1"/>
  <c r="R219" i="13"/>
  <c r="S200" i="13"/>
  <c r="T200" i="13" s="1"/>
  <c r="V200" i="13" s="1"/>
  <c r="AB200" i="13" s="1"/>
  <c r="R200" i="13"/>
  <c r="S88" i="13"/>
  <c r="T88" i="13" s="1"/>
  <c r="V88" i="13" s="1"/>
  <c r="AB88" i="13" s="1"/>
  <c r="R88" i="13"/>
  <c r="S104" i="13"/>
  <c r="T104" i="13" s="1"/>
  <c r="V104" i="13" s="1"/>
  <c r="AB104" i="13" s="1"/>
  <c r="R104" i="13"/>
  <c r="S177" i="13"/>
  <c r="T177" i="13" s="1"/>
  <c r="V177" i="13" s="1"/>
  <c r="AB177" i="13" s="1"/>
  <c r="R177" i="13"/>
  <c r="S191" i="13"/>
  <c r="T191" i="13" s="1"/>
  <c r="V191" i="13" s="1"/>
  <c r="AB191" i="13" s="1"/>
  <c r="R191" i="13"/>
  <c r="S119" i="13"/>
  <c r="T119" i="13" s="1"/>
  <c r="V119" i="13" s="1"/>
  <c r="W119" i="13" s="1"/>
  <c r="X119" i="13" s="1"/>
  <c r="Y119" i="13" s="1"/>
  <c r="R119" i="13"/>
  <c r="S202" i="13"/>
  <c r="T202" i="13" s="1"/>
  <c r="V202" i="13" s="1"/>
  <c r="W202" i="13" s="1"/>
  <c r="X202" i="13" s="1"/>
  <c r="Y202" i="13" s="1"/>
  <c r="R202" i="13"/>
  <c r="S141" i="13"/>
  <c r="T141" i="13" s="1"/>
  <c r="V141" i="13" s="1"/>
  <c r="W141" i="13" s="1"/>
  <c r="X141" i="13" s="1"/>
  <c r="Y141" i="13" s="1"/>
  <c r="R141" i="13"/>
  <c r="S221" i="13"/>
  <c r="T221" i="13" s="1"/>
  <c r="S115" i="13"/>
  <c r="T115" i="13" s="1"/>
  <c r="V115" i="13" s="1"/>
  <c r="W115" i="13" s="1"/>
  <c r="X115" i="13" s="1"/>
  <c r="Y115" i="13" s="1"/>
  <c r="R115" i="13"/>
  <c r="S210" i="13"/>
  <c r="T210" i="13" s="1"/>
  <c r="V210" i="13" s="1"/>
  <c r="AB210" i="13" s="1"/>
  <c r="R210" i="13"/>
  <c r="S120" i="13"/>
  <c r="T120" i="13" s="1"/>
  <c r="V120" i="13" s="1"/>
  <c r="W120" i="13" s="1"/>
  <c r="X120" i="13" s="1"/>
  <c r="Y120" i="13" s="1"/>
  <c r="R120" i="13"/>
  <c r="S180" i="13"/>
  <c r="T180" i="13" s="1"/>
  <c r="V180" i="13" s="1"/>
  <c r="W180" i="13" s="1"/>
  <c r="X180" i="13" s="1"/>
  <c r="Y180" i="13" s="1"/>
  <c r="R180" i="13"/>
  <c r="S211" i="13"/>
  <c r="T211" i="13" s="1"/>
  <c r="V211" i="13" s="1"/>
  <c r="AB211" i="13" s="1"/>
  <c r="R211" i="13"/>
  <c r="S118" i="13"/>
  <c r="T118" i="13" s="1"/>
  <c r="V118" i="13" s="1"/>
  <c r="AB118" i="13" s="1"/>
  <c r="R118" i="13"/>
  <c r="S98" i="13"/>
  <c r="T98" i="13" s="1"/>
  <c r="V98" i="13" s="1"/>
  <c r="AB98" i="13" s="1"/>
  <c r="R98" i="13"/>
  <c r="S80" i="13"/>
  <c r="T80" i="13" s="1"/>
  <c r="V80" i="13" s="1"/>
  <c r="AB80" i="13" s="1"/>
  <c r="R80" i="13"/>
  <c r="S106" i="13"/>
  <c r="T106" i="13" s="1"/>
  <c r="V106" i="13" s="1"/>
  <c r="AB106" i="13" s="1"/>
  <c r="R106" i="13"/>
  <c r="S206" i="13"/>
  <c r="T206" i="13" s="1"/>
  <c r="V206" i="13" s="1"/>
  <c r="W206" i="13" s="1"/>
  <c r="X206" i="13" s="1"/>
  <c r="Y206" i="13" s="1"/>
  <c r="R206" i="13"/>
  <c r="S138" i="13"/>
  <c r="T138" i="13" s="1"/>
  <c r="V138" i="13" s="1"/>
  <c r="AB138" i="13" s="1"/>
  <c r="R138" i="13"/>
  <c r="S90" i="13"/>
  <c r="T90" i="13" s="1"/>
  <c r="V90" i="13" s="1"/>
  <c r="AB90" i="13" s="1"/>
  <c r="R90" i="13"/>
  <c r="S117" i="13"/>
  <c r="T117" i="13" s="1"/>
  <c r="V117" i="13" s="1"/>
  <c r="W117" i="13" s="1"/>
  <c r="X117" i="13" s="1"/>
  <c r="Y117" i="13" s="1"/>
  <c r="R117" i="13"/>
  <c r="S176" i="13"/>
  <c r="T176" i="13" s="1"/>
  <c r="V176" i="13" s="1"/>
  <c r="W176" i="13" s="1"/>
  <c r="X176" i="13" s="1"/>
  <c r="Y176" i="13" s="1"/>
  <c r="R176" i="13"/>
  <c r="S190" i="13"/>
  <c r="T190" i="13" s="1"/>
  <c r="V190" i="13" s="1"/>
  <c r="AB190" i="13" s="1"/>
  <c r="R190" i="13"/>
  <c r="T213" i="13"/>
  <c r="V213" i="13" s="1"/>
  <c r="AB213" i="13" s="1"/>
  <c r="R213" i="13"/>
  <c r="S121" i="13"/>
  <c r="T121" i="13" s="1"/>
  <c r="V121" i="13" s="1"/>
  <c r="AB121" i="13" s="1"/>
  <c r="R121" i="13"/>
  <c r="S161" i="13"/>
  <c r="T161" i="13" s="1"/>
  <c r="V161" i="13" s="1"/>
  <c r="AB161" i="13" s="1"/>
  <c r="R161" i="13"/>
  <c r="S217" i="13"/>
  <c r="T217" i="13" s="1"/>
  <c r="V217" i="13" s="1"/>
  <c r="AB217" i="13" s="1"/>
  <c r="R217" i="13"/>
  <c r="S110" i="13"/>
  <c r="T110" i="13" s="1"/>
  <c r="V110" i="13" s="1"/>
  <c r="AB110" i="13" s="1"/>
  <c r="R110" i="13"/>
  <c r="S197" i="13"/>
  <c r="T197" i="13" s="1"/>
  <c r="V197" i="13" s="1"/>
  <c r="AB197" i="13" s="1"/>
  <c r="R197" i="13"/>
  <c r="S131" i="13"/>
  <c r="T131" i="13" s="1"/>
  <c r="V131" i="13" s="1"/>
  <c r="AB131" i="13" s="1"/>
  <c r="R131" i="13"/>
  <c r="S186" i="13"/>
  <c r="T186" i="13" s="1"/>
  <c r="V186" i="13" s="1"/>
  <c r="W186" i="13" s="1"/>
  <c r="X186" i="13" s="1"/>
  <c r="Y186" i="13" s="1"/>
  <c r="R186" i="13"/>
  <c r="S174" i="13"/>
  <c r="T174" i="13" s="1"/>
  <c r="V174" i="13" s="1"/>
  <c r="W174" i="13" s="1"/>
  <c r="X174" i="13" s="1"/>
  <c r="Y174" i="13" s="1"/>
  <c r="R174" i="13"/>
  <c r="S92" i="13"/>
  <c r="T92" i="13" s="1"/>
  <c r="V92" i="13" s="1"/>
  <c r="AB92" i="13" s="1"/>
  <c r="R92" i="13"/>
  <c r="S122" i="13"/>
  <c r="T122" i="13" s="1"/>
  <c r="V122" i="13" s="1"/>
  <c r="AB122" i="13" s="1"/>
  <c r="S203" i="13"/>
  <c r="T203" i="13" s="1"/>
  <c r="V203" i="13" s="1"/>
  <c r="W203" i="13" s="1"/>
  <c r="X203" i="13" s="1"/>
  <c r="Y203" i="13" s="1"/>
  <c r="R203" i="13"/>
  <c r="S172" i="13"/>
  <c r="T172" i="13" s="1"/>
  <c r="V172" i="13" s="1"/>
  <c r="W172" i="13" s="1"/>
  <c r="X172" i="13" s="1"/>
  <c r="Y172" i="13" s="1"/>
  <c r="R172" i="13"/>
  <c r="S216" i="13"/>
  <c r="T216" i="13" s="1"/>
  <c r="V216" i="13" s="1"/>
  <c r="AB216" i="13" s="1"/>
  <c r="R216" i="13"/>
  <c r="S160" i="13"/>
  <c r="T160" i="13" s="1"/>
  <c r="V160" i="13" s="1"/>
  <c r="AB160" i="13" s="1"/>
  <c r="R160" i="13"/>
  <c r="S218" i="13"/>
  <c r="T218" i="13" s="1"/>
  <c r="V218" i="13" s="1"/>
  <c r="AB218" i="13" s="1"/>
  <c r="R218" i="13"/>
  <c r="S140" i="13"/>
  <c r="T140" i="13" s="1"/>
  <c r="V140" i="13" s="1"/>
  <c r="W140" i="13" s="1"/>
  <c r="X140" i="13" s="1"/>
  <c r="Y140" i="13" s="1"/>
  <c r="R140" i="13"/>
  <c r="S188" i="13"/>
  <c r="T188" i="13" s="1"/>
  <c r="V188" i="13" s="1"/>
  <c r="W188" i="13" s="1"/>
  <c r="X188" i="13" s="1"/>
  <c r="Y188" i="13" s="1"/>
  <c r="R188" i="13"/>
  <c r="S167" i="13"/>
  <c r="T167" i="13" s="1"/>
  <c r="V167" i="13" s="1"/>
  <c r="AB167" i="13" s="1"/>
  <c r="R167" i="13"/>
  <c r="S181" i="13"/>
  <c r="T181" i="13" s="1"/>
  <c r="V181" i="13" s="1"/>
  <c r="AB181" i="13" s="1"/>
  <c r="R181" i="13"/>
  <c r="S168" i="13"/>
  <c r="T168" i="13" s="1"/>
  <c r="V168" i="13" s="1"/>
  <c r="W168" i="13" s="1"/>
  <c r="X168" i="13" s="1"/>
  <c r="Y168" i="13" s="1"/>
  <c r="R168" i="13"/>
  <c r="S129" i="13"/>
  <c r="T129" i="13" s="1"/>
  <c r="V129" i="13" s="1"/>
  <c r="W129" i="13" s="1"/>
  <c r="X129" i="13" s="1"/>
  <c r="Y129" i="13" s="1"/>
  <c r="R129" i="13"/>
  <c r="S198" i="13"/>
  <c r="T198" i="13" s="1"/>
  <c r="V198" i="13" s="1"/>
  <c r="AB198" i="13" s="1"/>
  <c r="R198" i="13"/>
  <c r="S137" i="13"/>
  <c r="T137" i="13" s="1"/>
  <c r="V137" i="13" s="1"/>
  <c r="AB137" i="13" s="1"/>
  <c r="R137" i="13"/>
  <c r="S185" i="13"/>
  <c r="T185" i="13" s="1"/>
  <c r="V185" i="13" s="1"/>
  <c r="W185" i="13" s="1"/>
  <c r="X185" i="13" s="1"/>
  <c r="Y185" i="13" s="1"/>
  <c r="R185" i="13"/>
  <c r="S87" i="13"/>
  <c r="T87" i="13" s="1"/>
  <c r="R87" i="13"/>
  <c r="S133" i="13"/>
  <c r="T133" i="13" s="1"/>
  <c r="V133" i="13" s="1"/>
  <c r="AB133" i="13" s="1"/>
  <c r="R133" i="13"/>
  <c r="S124" i="13"/>
  <c r="T124" i="13" s="1"/>
  <c r="V124" i="13" s="1"/>
  <c r="W124" i="13" s="1"/>
  <c r="X124" i="13" s="1"/>
  <c r="Y124" i="13" s="1"/>
  <c r="R124" i="13"/>
  <c r="S132" i="13"/>
  <c r="T132" i="13" s="1"/>
  <c r="V132" i="13" s="1"/>
  <c r="AB132" i="13" s="1"/>
  <c r="R132" i="13"/>
  <c r="S125" i="13"/>
  <c r="T125" i="13" s="1"/>
  <c r="V125" i="13" s="1"/>
  <c r="W125" i="13" s="1"/>
  <c r="X125" i="13" s="1"/>
  <c r="Y125" i="13" s="1"/>
  <c r="R125" i="13"/>
  <c r="S100" i="13"/>
  <c r="T100" i="13" s="1"/>
  <c r="V100" i="13" s="1"/>
  <c r="AB100" i="13" s="1"/>
  <c r="R100" i="13"/>
  <c r="S111" i="13"/>
  <c r="T111" i="13" s="1"/>
  <c r="V111" i="13" s="1"/>
  <c r="W111" i="13" s="1"/>
  <c r="X111" i="13" s="1"/>
  <c r="Y111" i="13" s="1"/>
  <c r="R111" i="13"/>
  <c r="S169" i="13"/>
  <c r="T169" i="13" s="1"/>
  <c r="V169" i="13" s="1"/>
  <c r="W169" i="13" s="1"/>
  <c r="X169" i="13" s="1"/>
  <c r="Y169" i="13" s="1"/>
  <c r="R169" i="13"/>
  <c r="S173" i="13"/>
  <c r="T173" i="13" s="1"/>
  <c r="V173" i="13" s="1"/>
  <c r="AB173" i="13" s="1"/>
  <c r="R173" i="13"/>
  <c r="S212" i="13"/>
  <c r="T212" i="13" s="1"/>
  <c r="V212" i="13" s="1"/>
  <c r="AB212" i="13" s="1"/>
  <c r="R212" i="13"/>
  <c r="Q158" i="13"/>
  <c r="O232" i="13" s="1"/>
  <c r="K232" i="13"/>
  <c r="N232" i="13"/>
  <c r="P154" i="13"/>
  <c r="P237" i="13" s="1"/>
  <c r="AA158" i="13"/>
  <c r="Y232" i="13" s="1"/>
  <c r="O9" i="13"/>
  <c r="O10" i="13"/>
  <c r="AB158" i="13"/>
  <c r="AB176" i="13"/>
  <c r="AB196" i="13"/>
  <c r="AB124" i="13"/>
  <c r="AB117" i="13"/>
  <c r="AB107" i="13"/>
  <c r="AB97" i="13"/>
  <c r="AB125" i="13"/>
  <c r="X21" i="13"/>
  <c r="V221" i="13" l="1"/>
  <c r="W221" i="13" s="1"/>
  <c r="X221" i="13" s="1"/>
  <c r="Y221" i="13" s="1"/>
  <c r="AB85" i="13"/>
  <c r="W85" i="13"/>
  <c r="X85" i="13" s="1"/>
  <c r="Y85" i="13" s="1"/>
  <c r="W84" i="13"/>
  <c r="X84" i="13" s="1"/>
  <c r="Y84" i="13" s="1"/>
  <c r="AB84" i="13"/>
  <c r="W135" i="13"/>
  <c r="X135" i="13" s="1"/>
  <c r="Y135" i="13" s="1"/>
  <c r="AB135" i="13"/>
  <c r="W126" i="13"/>
  <c r="X126" i="13" s="1"/>
  <c r="Y126" i="13" s="1"/>
  <c r="AB126" i="13"/>
  <c r="W114" i="13"/>
  <c r="X114" i="13" s="1"/>
  <c r="Y114" i="13" s="1"/>
  <c r="AB114" i="13"/>
  <c r="W105" i="13"/>
  <c r="X105" i="13" s="1"/>
  <c r="Y105" i="13" s="1"/>
  <c r="AB105" i="13"/>
  <c r="W96" i="13"/>
  <c r="X96" i="13" s="1"/>
  <c r="Y96" i="13" s="1"/>
  <c r="AB96" i="13"/>
  <c r="AB91" i="13"/>
  <c r="W91" i="13"/>
  <c r="X91" i="13" s="1"/>
  <c r="Y91" i="13" s="1"/>
  <c r="W86" i="13"/>
  <c r="X86" i="13" s="1"/>
  <c r="Y86" i="13" s="1"/>
  <c r="AB86" i="13"/>
  <c r="AB214" i="13"/>
  <c r="W214" i="13"/>
  <c r="X214" i="13" s="1"/>
  <c r="Y214" i="13" s="1"/>
  <c r="W205" i="13"/>
  <c r="X205" i="13" s="1"/>
  <c r="Y205" i="13" s="1"/>
  <c r="AB205" i="13"/>
  <c r="AB193" i="13"/>
  <c r="W193" i="13"/>
  <c r="X193" i="13" s="1"/>
  <c r="Y193" i="13" s="1"/>
  <c r="AB184" i="13"/>
  <c r="W184" i="13"/>
  <c r="X184" i="13" s="1"/>
  <c r="Y184" i="13" s="1"/>
  <c r="AB175" i="13"/>
  <c r="W175" i="13"/>
  <c r="X175" i="13" s="1"/>
  <c r="Y175" i="13" s="1"/>
  <c r="AB170" i="13"/>
  <c r="W170" i="13"/>
  <c r="X170" i="13" s="1"/>
  <c r="Y170" i="13" s="1"/>
  <c r="W165" i="13"/>
  <c r="X165" i="13" s="1"/>
  <c r="Y165" i="13" s="1"/>
  <c r="AB165" i="13"/>
  <c r="AB162" i="13"/>
  <c r="W162" i="13"/>
  <c r="X162" i="13" s="1"/>
  <c r="Y162" i="13" s="1"/>
  <c r="W164" i="13"/>
  <c r="X164" i="13" s="1"/>
  <c r="Y164" i="13" s="1"/>
  <c r="AB164" i="13"/>
  <c r="W163" i="13"/>
  <c r="X163" i="13" s="1"/>
  <c r="Y163" i="13" s="1"/>
  <c r="AB163" i="13"/>
  <c r="W128" i="13"/>
  <c r="X128" i="13" s="1"/>
  <c r="Y128" i="13" s="1"/>
  <c r="AB128" i="13"/>
  <c r="W116" i="13"/>
  <c r="X116" i="13" s="1"/>
  <c r="Y116" i="13" s="1"/>
  <c r="AB116" i="13"/>
  <c r="AB130" i="13"/>
  <c r="W108" i="13"/>
  <c r="X108" i="13" s="1"/>
  <c r="Y108" i="13" s="1"/>
  <c r="AB108" i="13"/>
  <c r="W207" i="13"/>
  <c r="X207" i="13" s="1"/>
  <c r="Y207" i="13" s="1"/>
  <c r="AB207" i="13"/>
  <c r="W93" i="13"/>
  <c r="X93" i="13" s="1"/>
  <c r="Y93" i="13" s="1"/>
  <c r="AB220" i="13"/>
  <c r="AB112" i="13"/>
  <c r="W183" i="13"/>
  <c r="X183" i="13" s="1"/>
  <c r="Y183" i="13" s="1"/>
  <c r="W197" i="13"/>
  <c r="X197" i="13" s="1"/>
  <c r="Y197" i="13" s="1"/>
  <c r="W209" i="13"/>
  <c r="X209" i="13" s="1"/>
  <c r="Y209" i="13" s="1"/>
  <c r="W89" i="13"/>
  <c r="X89" i="13" s="1"/>
  <c r="Y89" i="13" s="1"/>
  <c r="W195" i="13"/>
  <c r="X195" i="13" s="1"/>
  <c r="Y195" i="13" s="1"/>
  <c r="AB195" i="13"/>
  <c r="W127" i="13"/>
  <c r="X127" i="13" s="1"/>
  <c r="Y127" i="13" s="1"/>
  <c r="AB194" i="13"/>
  <c r="W113" i="13"/>
  <c r="X113" i="13" s="1"/>
  <c r="Y113" i="13" s="1"/>
  <c r="W95" i="13"/>
  <c r="X95" i="13" s="1"/>
  <c r="Y95" i="13" s="1"/>
  <c r="W187" i="13"/>
  <c r="X187" i="13" s="1"/>
  <c r="Y187" i="13" s="1"/>
  <c r="AB187" i="13"/>
  <c r="AB201" i="13"/>
  <c r="AB141" i="13"/>
  <c r="W182" i="13"/>
  <c r="X182" i="13" s="1"/>
  <c r="Y182" i="13" s="1"/>
  <c r="AB103" i="13"/>
  <c r="AB109" i="13"/>
  <c r="AB139" i="13"/>
  <c r="W212" i="13"/>
  <c r="X212" i="13" s="1"/>
  <c r="Y212" i="13" s="1"/>
  <c r="W200" i="13"/>
  <c r="X200" i="13" s="1"/>
  <c r="Y200" i="13" s="1"/>
  <c r="AB202" i="13"/>
  <c r="AB169" i="13"/>
  <c r="AB188" i="13"/>
  <c r="W218" i="13"/>
  <c r="X218" i="13" s="1"/>
  <c r="Y218" i="13" s="1"/>
  <c r="W104" i="13"/>
  <c r="X104" i="13" s="1"/>
  <c r="Y104" i="13" s="1"/>
  <c r="W191" i="13"/>
  <c r="X191" i="13" s="1"/>
  <c r="Y191" i="13" s="1"/>
  <c r="AB78" i="13"/>
  <c r="W99" i="13"/>
  <c r="X99" i="13" s="1"/>
  <c r="Y99" i="13" s="1"/>
  <c r="W74" i="13"/>
  <c r="W216" i="13"/>
  <c r="X216" i="13" s="1"/>
  <c r="Y216" i="13" s="1"/>
  <c r="W137" i="13"/>
  <c r="X137" i="13" s="1"/>
  <c r="Y137" i="13" s="1"/>
  <c r="W181" i="13"/>
  <c r="X181" i="13" s="1"/>
  <c r="Y181" i="13" s="1"/>
  <c r="W215" i="13"/>
  <c r="X215" i="13" s="1"/>
  <c r="Y215" i="13" s="1"/>
  <c r="AB174" i="13"/>
  <c r="AB206" i="13"/>
  <c r="W131" i="13"/>
  <c r="X131" i="13" s="1"/>
  <c r="Y131" i="13" s="1"/>
  <c r="W178" i="13"/>
  <c r="X178" i="13" s="1"/>
  <c r="Y178" i="13" s="1"/>
  <c r="W121" i="13"/>
  <c r="X121" i="13" s="1"/>
  <c r="Y121" i="13" s="1"/>
  <c r="W79" i="13"/>
  <c r="X79" i="13" s="1"/>
  <c r="Y79" i="13" s="1"/>
  <c r="W122" i="13"/>
  <c r="X122" i="13" s="1"/>
  <c r="Y122" i="13" s="1"/>
  <c r="AB199" i="13"/>
  <c r="W102" i="13"/>
  <c r="X102" i="13" s="1"/>
  <c r="Y102" i="13" s="1"/>
  <c r="AB120" i="13"/>
  <c r="W138" i="13"/>
  <c r="X138" i="13" s="1"/>
  <c r="Y138" i="13" s="1"/>
  <c r="W211" i="13"/>
  <c r="X211" i="13" s="1"/>
  <c r="Y211" i="13" s="1"/>
  <c r="AB180" i="13"/>
  <c r="W213" i="13"/>
  <c r="X213" i="13" s="1"/>
  <c r="Y213" i="13" s="1"/>
  <c r="W90" i="13"/>
  <c r="X90" i="13" s="1"/>
  <c r="Y90" i="13" s="1"/>
  <c r="W118" i="13"/>
  <c r="X118" i="13" s="1"/>
  <c r="Y118" i="13" s="1"/>
  <c r="W210" i="13"/>
  <c r="X210" i="13" s="1"/>
  <c r="Y210" i="13" s="1"/>
  <c r="W80" i="13"/>
  <c r="X80" i="13" s="1"/>
  <c r="Y80" i="13" s="1"/>
  <c r="W101" i="13"/>
  <c r="X101" i="13" s="1"/>
  <c r="Y101" i="13" s="1"/>
  <c r="W110" i="13"/>
  <c r="X110" i="13" s="1"/>
  <c r="Y110" i="13" s="1"/>
  <c r="W161" i="13"/>
  <c r="X161" i="13" s="1"/>
  <c r="Y161" i="13" s="1"/>
  <c r="W134" i="13"/>
  <c r="X134" i="13" s="1"/>
  <c r="Y134" i="13" s="1"/>
  <c r="W192" i="13"/>
  <c r="X192" i="13" s="1"/>
  <c r="Y192" i="13" s="1"/>
  <c r="AB171" i="13"/>
  <c r="AB185" i="13"/>
  <c r="AB81" i="13"/>
  <c r="W81" i="13"/>
  <c r="X81" i="13" s="1"/>
  <c r="Y81" i="13" s="1"/>
  <c r="AB119" i="13"/>
  <c r="AB140" i="13"/>
  <c r="AB82" i="13"/>
  <c r="W82" i="13"/>
  <c r="X82" i="13" s="1"/>
  <c r="Y82" i="13" s="1"/>
  <c r="W217" i="13"/>
  <c r="X217" i="13" s="1"/>
  <c r="Y217" i="13" s="1"/>
  <c r="AB115" i="13"/>
  <c r="W106" i="13"/>
  <c r="X106" i="13" s="1"/>
  <c r="Y106" i="13" s="1"/>
  <c r="AB168" i="13"/>
  <c r="W190" i="13"/>
  <c r="X190" i="13" s="1"/>
  <c r="Y190" i="13" s="1"/>
  <c r="W136" i="13"/>
  <c r="X136" i="13" s="1"/>
  <c r="Y136" i="13" s="1"/>
  <c r="W92" i="13"/>
  <c r="X92" i="13" s="1"/>
  <c r="Y92" i="13" s="1"/>
  <c r="W98" i="13"/>
  <c r="X98" i="13" s="1"/>
  <c r="Y98" i="13" s="1"/>
  <c r="W123" i="13"/>
  <c r="X123" i="13" s="1"/>
  <c r="Y123" i="13" s="1"/>
  <c r="V87" i="13"/>
  <c r="W87" i="13" s="1"/>
  <c r="X87" i="13" s="1"/>
  <c r="Y87" i="13" s="1"/>
  <c r="AB219" i="13"/>
  <c r="W83" i="13"/>
  <c r="X83" i="13" s="1"/>
  <c r="Y83" i="13" s="1"/>
  <c r="AB83" i="13"/>
  <c r="W88" i="13"/>
  <c r="X88" i="13" s="1"/>
  <c r="Y88" i="13" s="1"/>
  <c r="AB111" i="13"/>
  <c r="AB172" i="13"/>
  <c r="W100" i="13"/>
  <c r="X100" i="13" s="1"/>
  <c r="Y100" i="13" s="1"/>
  <c r="W159" i="13"/>
  <c r="X159" i="13" s="1"/>
  <c r="Y159" i="13" s="1"/>
  <c r="W198" i="13"/>
  <c r="X198" i="13" s="1"/>
  <c r="Y198" i="13" s="1"/>
  <c r="W189" i="13"/>
  <c r="X189" i="13" s="1"/>
  <c r="Y189" i="13" s="1"/>
  <c r="W173" i="13"/>
  <c r="X173" i="13" s="1"/>
  <c r="Y173" i="13" s="1"/>
  <c r="W160" i="13"/>
  <c r="X160" i="13" s="1"/>
  <c r="Y160" i="13" s="1"/>
  <c r="W179" i="13"/>
  <c r="X179" i="13" s="1"/>
  <c r="Y179" i="13" s="1"/>
  <c r="W94" i="13"/>
  <c r="X94" i="13" s="1"/>
  <c r="Y94" i="13" s="1"/>
  <c r="W167" i="13"/>
  <c r="X167" i="13" s="1"/>
  <c r="Y167" i="13" s="1"/>
  <c r="W177" i="13"/>
  <c r="X177" i="13" s="1"/>
  <c r="Y177" i="13" s="1"/>
  <c r="W132" i="13"/>
  <c r="X132" i="13" s="1"/>
  <c r="Y132" i="13" s="1"/>
  <c r="W133" i="13"/>
  <c r="X133" i="13" s="1"/>
  <c r="Y133" i="13" s="1"/>
  <c r="S158" i="13"/>
  <c r="R158" i="13"/>
  <c r="P232" i="13" s="1"/>
  <c r="AA232" i="13"/>
  <c r="O7" i="13"/>
  <c r="Y21" i="13"/>
  <c r="Y74" i="13" s="1"/>
  <c r="X74" i="13"/>
  <c r="X78" i="13"/>
  <c r="AB154" i="13" l="1"/>
  <c r="AB237" i="13" s="1"/>
  <c r="X154" i="13"/>
  <c r="T158" i="13"/>
  <c r="Q232" i="13"/>
  <c r="Y78" i="13"/>
  <c r="Z154" i="13" s="1"/>
  <c r="AB155" i="13" l="1"/>
  <c r="V158" i="13"/>
  <c r="R232" i="13"/>
  <c r="Y154" i="13"/>
  <c r="Y237" i="13" s="1"/>
  <c r="Z237" i="13"/>
  <c r="T232" i="13" l="1"/>
  <c r="W158" i="13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40" i="7"/>
  <c r="M17" i="7"/>
  <c r="M18" i="7"/>
  <c r="M19" i="7"/>
  <c r="M20" i="7"/>
  <c r="M21" i="7"/>
  <c r="P21" i="7" s="1"/>
  <c r="M22" i="7"/>
  <c r="M23" i="7"/>
  <c r="P23" i="7" s="1"/>
  <c r="M24" i="7"/>
  <c r="P24" i="7" s="1"/>
  <c r="M25" i="7"/>
  <c r="P25" i="7" s="1"/>
  <c r="M26" i="7"/>
  <c r="M27" i="7"/>
  <c r="P27" i="7" s="1"/>
  <c r="M28" i="7"/>
  <c r="P28" i="7" s="1"/>
  <c r="M29" i="7"/>
  <c r="P29" i="7" s="1"/>
  <c r="M30" i="7"/>
  <c r="M31" i="7"/>
  <c r="P31" i="7" s="1"/>
  <c r="M32" i="7"/>
  <c r="P32" i="7" s="1"/>
  <c r="M33" i="7"/>
  <c r="P33" i="7" s="1"/>
  <c r="M34" i="7"/>
  <c r="M35" i="7"/>
  <c r="P35" i="7" s="1"/>
  <c r="M36" i="7"/>
  <c r="P36" i="7" s="1"/>
  <c r="M37" i="7"/>
  <c r="P37" i="7" s="1"/>
  <c r="M15" i="7"/>
  <c r="P15" i="7" s="1"/>
  <c r="M16" i="7"/>
  <c r="M14" i="7"/>
  <c r="P14" i="7" s="1"/>
  <c r="M3" i="7"/>
  <c r="M4" i="7"/>
  <c r="M5" i="7"/>
  <c r="M6" i="7"/>
  <c r="P6" i="7" s="1"/>
  <c r="M7" i="7"/>
  <c r="M8" i="7"/>
  <c r="M9" i="7"/>
  <c r="M10" i="7"/>
  <c r="M2" i="7"/>
  <c r="G6" i="7"/>
  <c r="D39" i="7"/>
  <c r="F39" i="7"/>
  <c r="G44" i="7"/>
  <c r="G43" i="7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G19" i="7"/>
  <c r="G18" i="7"/>
  <c r="G17" i="7"/>
  <c r="G16" i="7"/>
  <c r="G15" i="7"/>
  <c r="X158" i="13" l="1"/>
  <c r="U232" i="13"/>
  <c r="P34" i="7"/>
  <c r="P30" i="7"/>
  <c r="P26" i="7"/>
  <c r="P22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14" i="7"/>
  <c r="Q14" i="7" s="1"/>
  <c r="R14" i="7" s="1"/>
  <c r="E80" i="10"/>
  <c r="O15" i="7" s="1"/>
  <c r="Q15" i="7" s="1"/>
  <c r="R15" i="7" s="1"/>
  <c r="E81" i="10"/>
  <c r="O16" i="7" s="1"/>
  <c r="Q16" i="7" s="1"/>
  <c r="E82" i="10"/>
  <c r="O17" i="7" s="1"/>
  <c r="Q17" i="7" s="1"/>
  <c r="E83" i="10"/>
  <c r="O18" i="7" s="1"/>
  <c r="Q18" i="7" s="1"/>
  <c r="E84" i="10"/>
  <c r="O19" i="7" s="1"/>
  <c r="Q19" i="7" s="1"/>
  <c r="E85" i="10"/>
  <c r="O20" i="7" s="1"/>
  <c r="Q20" i="7" s="1"/>
  <c r="E86" i="10"/>
  <c r="O21" i="7" s="1"/>
  <c r="Q21" i="7" s="1"/>
  <c r="R21" i="7" s="1"/>
  <c r="E87" i="10"/>
  <c r="O22" i="7" s="1"/>
  <c r="Q22" i="7" s="1"/>
  <c r="E88" i="10"/>
  <c r="O23" i="7" s="1"/>
  <c r="Q23" i="7" s="1"/>
  <c r="R23" i="7" s="1"/>
  <c r="E89" i="10"/>
  <c r="O24" i="7" s="1"/>
  <c r="Q24" i="7" s="1"/>
  <c r="R24" i="7" s="1"/>
  <c r="E90" i="10"/>
  <c r="O25" i="7" s="1"/>
  <c r="Q25" i="7" s="1"/>
  <c r="R25" i="7" s="1"/>
  <c r="E91" i="10"/>
  <c r="O26" i="7" s="1"/>
  <c r="Q26" i="7" s="1"/>
  <c r="E92" i="10"/>
  <c r="O27" i="7" s="1"/>
  <c r="Q27" i="7" s="1"/>
  <c r="R27" i="7" s="1"/>
  <c r="E102" i="10"/>
  <c r="O37" i="7" s="1"/>
  <c r="Q37" i="7" s="1"/>
  <c r="R37" i="7" s="1"/>
  <c r="E101" i="10"/>
  <c r="O36" i="7" s="1"/>
  <c r="Q36" i="7" s="1"/>
  <c r="R36" i="7" s="1"/>
  <c r="E100" i="10"/>
  <c r="O35" i="7" s="1"/>
  <c r="Q35" i="7" s="1"/>
  <c r="R35" i="7" s="1"/>
  <c r="E99" i="10"/>
  <c r="O34" i="7" s="1"/>
  <c r="Q34" i="7" s="1"/>
  <c r="E98" i="10"/>
  <c r="O33" i="7" s="1"/>
  <c r="Q33" i="7" s="1"/>
  <c r="R33" i="7" s="1"/>
  <c r="E97" i="10"/>
  <c r="O32" i="7" s="1"/>
  <c r="Q32" i="7" s="1"/>
  <c r="R32" i="7" s="1"/>
  <c r="E96" i="10"/>
  <c r="O31" i="7" s="1"/>
  <c r="Q31" i="7" s="1"/>
  <c r="R31" i="7" s="1"/>
  <c r="E95" i="10"/>
  <c r="O30" i="7" s="1"/>
  <c r="Q30" i="7" s="1"/>
  <c r="E94" i="10"/>
  <c r="O29" i="7" s="1"/>
  <c r="Q29" i="7" s="1"/>
  <c r="R29" i="7" s="1"/>
  <c r="E93" i="10"/>
  <c r="O28" i="7" s="1"/>
  <c r="Q28" i="7" s="1"/>
  <c r="R28" i="7" s="1"/>
  <c r="H16" i="7"/>
  <c r="H17" i="7"/>
  <c r="O3" i="7"/>
  <c r="O4" i="7"/>
  <c r="O5" i="7"/>
  <c r="O6" i="7"/>
  <c r="Q6" i="7" s="1"/>
  <c r="R6" i="7" s="1"/>
  <c r="O2" i="7"/>
  <c r="H20" i="7"/>
  <c r="H19" i="7"/>
  <c r="H18" i="7"/>
  <c r="H15" i="7"/>
  <c r="P20" i="7"/>
  <c r="P19" i="7"/>
  <c r="P18" i="7"/>
  <c r="P17" i="7"/>
  <c r="P16" i="7"/>
  <c r="G14" i="7"/>
  <c r="H14" i="7" s="1"/>
  <c r="V232" i="13" l="1"/>
  <c r="Y158" i="13"/>
  <c r="W232" i="13" s="1"/>
  <c r="X237" i="13" s="1"/>
  <c r="R34" i="7"/>
  <c r="R26" i="7"/>
  <c r="R22" i="7"/>
  <c r="R30" i="7"/>
  <c r="P39" i="7"/>
  <c r="Q39" i="7"/>
  <c r="H39" i="7"/>
  <c r="R18" i="7"/>
  <c r="R20" i="7"/>
  <c r="R19" i="7"/>
  <c r="R16" i="7"/>
  <c r="R17" i="7"/>
  <c r="R39" i="7" l="1"/>
  <c r="B54" i="4"/>
  <c r="D10" i="7" l="1"/>
  <c r="D9" i="7"/>
  <c r="D8" i="7"/>
  <c r="D7" i="7"/>
  <c r="D5" i="7"/>
  <c r="D4" i="7"/>
  <c r="D3" i="7"/>
  <c r="D2" i="7"/>
  <c r="G56" i="7" l="1"/>
  <c r="G55" i="7"/>
  <c r="G54" i="7"/>
  <c r="G53" i="7"/>
  <c r="G52" i="7"/>
  <c r="G51" i="7"/>
  <c r="G50" i="7"/>
  <c r="G49" i="7"/>
  <c r="G48" i="7"/>
  <c r="G47" i="7"/>
  <c r="G46" i="7"/>
  <c r="G45" i="7"/>
  <c r="G42" i="7"/>
  <c r="G41" i="7"/>
  <c r="G40" i="7"/>
  <c r="D58" i="7" l="1"/>
  <c r="Q56" i="7"/>
  <c r="P56" i="7"/>
  <c r="H56" i="7"/>
  <c r="Q55" i="7"/>
  <c r="P55" i="7"/>
  <c r="H55" i="7"/>
  <c r="Q54" i="7"/>
  <c r="P54" i="7"/>
  <c r="H54" i="7"/>
  <c r="Q53" i="7"/>
  <c r="P53" i="7"/>
  <c r="H53" i="7"/>
  <c r="Q52" i="7"/>
  <c r="P52" i="7"/>
  <c r="H52" i="7"/>
  <c r="G10" i="7"/>
  <c r="G79" i="7" s="1"/>
  <c r="H79" i="7" s="1"/>
  <c r="G9" i="7"/>
  <c r="G78" i="7" s="1"/>
  <c r="H78" i="7" s="1"/>
  <c r="G5" i="7"/>
  <c r="G4" i="7"/>
  <c r="G3" i="7"/>
  <c r="D13" i="7" l="1"/>
  <c r="D59" i="7" s="1"/>
  <c r="R55" i="7"/>
  <c r="R52" i="7"/>
  <c r="R53" i="7"/>
  <c r="R54" i="7"/>
  <c r="R56" i="7"/>
  <c r="G8" i="7" l="1"/>
  <c r="G77" i="7" s="1"/>
  <c r="H77" i="7" s="1"/>
  <c r="G7" i="7"/>
  <c r="G2" i="7"/>
  <c r="Q5" i="7" l="1"/>
  <c r="P10" i="7"/>
  <c r="P9" i="7"/>
  <c r="P8" i="7"/>
  <c r="P7" i="7"/>
  <c r="P4" i="7"/>
  <c r="P5" i="7"/>
  <c r="P47" i="7"/>
  <c r="P48" i="7"/>
  <c r="Q4" i="7" l="1"/>
  <c r="R4" i="7" s="1"/>
  <c r="Q3" i="7"/>
  <c r="Q51" i="7"/>
  <c r="Q50" i="7"/>
  <c r="P51" i="7"/>
  <c r="Q48" i="7"/>
  <c r="P3" i="7"/>
  <c r="Q47" i="7"/>
  <c r="P50" i="7"/>
  <c r="R5" i="7"/>
  <c r="F58" i="7"/>
  <c r="R3" i="7" l="1"/>
  <c r="Q49" i="7"/>
  <c r="P49" i="7"/>
  <c r="H50" i="7" l="1"/>
  <c r="B51" i="4"/>
  <c r="R50" i="7" l="1"/>
  <c r="D132" i="7" l="1"/>
  <c r="H47" i="7" l="1"/>
  <c r="H51" i="7"/>
  <c r="P2" i="7" l="1"/>
  <c r="P13" i="7" s="1"/>
  <c r="H49" i="7"/>
  <c r="H48" i="7"/>
  <c r="R47" i="7" l="1"/>
  <c r="R51" i="7"/>
  <c r="Q2" i="7"/>
  <c r="R49" i="7" l="1"/>
  <c r="R48" i="7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G47" i="4" l="1"/>
  <c r="B49" i="4"/>
  <c r="B52" i="4" s="1"/>
  <c r="C48" i="4"/>
  <c r="C47" i="4"/>
  <c r="B9" i="4"/>
  <c r="E7" i="7" s="1"/>
  <c r="F7" i="7" s="1"/>
  <c r="B8" i="4"/>
  <c r="B7" i="4"/>
  <c r="E65" i="7" l="1"/>
  <c r="F65" i="7" s="1"/>
  <c r="H65" i="7" s="1"/>
  <c r="E83" i="7"/>
  <c r="F83" i="7" s="1"/>
  <c r="H83" i="7" s="1"/>
  <c r="E64" i="7"/>
  <c r="F64" i="7" s="1"/>
  <c r="H64" i="7" s="1"/>
  <c r="E66" i="7"/>
  <c r="F66" i="7" s="1"/>
  <c r="H66" i="7" s="1"/>
  <c r="E6" i="7"/>
  <c r="F6" i="7" s="1"/>
  <c r="H6" i="7" s="1"/>
  <c r="E9" i="7"/>
  <c r="F9" i="7" s="1"/>
  <c r="H9" i="7" s="1"/>
  <c r="E10" i="7"/>
  <c r="F10" i="7" s="1"/>
  <c r="H10" i="7" s="1"/>
  <c r="E4" i="7"/>
  <c r="F4" i="7" s="1"/>
  <c r="H4" i="7" s="1"/>
  <c r="E8" i="7"/>
  <c r="F8" i="7" s="1"/>
  <c r="H8" i="7" s="1"/>
  <c r="H7" i="7"/>
  <c r="E2" i="7"/>
  <c r="E3" i="7"/>
  <c r="E5" i="7"/>
  <c r="G50" i="4"/>
  <c r="G52" i="4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2" i="7" l="1"/>
  <c r="H2" i="7" s="1"/>
  <c r="F5" i="7"/>
  <c r="H5" i="7" s="1"/>
  <c r="F3" i="7"/>
  <c r="H3" i="7" s="1"/>
  <c r="P41" i="7"/>
  <c r="Q41" i="7"/>
  <c r="H41" i="7"/>
  <c r="H44" i="7"/>
  <c r="Q44" i="7"/>
  <c r="P44" i="7"/>
  <c r="H45" i="7"/>
  <c r="P45" i="7"/>
  <c r="Q45" i="7"/>
  <c r="H42" i="7"/>
  <c r="P42" i="7"/>
  <c r="Q42" i="7"/>
  <c r="P46" i="7"/>
  <c r="H46" i="7"/>
  <c r="Q46" i="7"/>
  <c r="R2" i="7"/>
  <c r="B53" i="4"/>
  <c r="B55" i="4" s="1"/>
  <c r="H13" i="7" l="1"/>
  <c r="F13" i="7"/>
  <c r="F59" i="7" s="1"/>
  <c r="D133" i="7" s="1"/>
  <c r="R44" i="7"/>
  <c r="R45" i="7"/>
  <c r="R46" i="7"/>
  <c r="R42" i="7"/>
  <c r="R41" i="7"/>
  <c r="H40" i="7"/>
  <c r="P40" i="7"/>
  <c r="Q40" i="7"/>
  <c r="H43" i="7"/>
  <c r="Q43" i="7"/>
  <c r="P43" i="7"/>
  <c r="P58" i="7" l="1"/>
  <c r="H58" i="7"/>
  <c r="Q58" i="7"/>
  <c r="R40" i="7"/>
  <c r="R43" i="7"/>
  <c r="P59" i="7" l="1"/>
  <c r="H59" i="7"/>
  <c r="D134" i="7" s="1"/>
  <c r="R58" i="7"/>
  <c r="I63" i="7" l="1"/>
  <c r="J63" i="7" s="1"/>
  <c r="K63" i="7" s="1"/>
  <c r="L63" i="7" s="1"/>
  <c r="N63" i="7" s="1"/>
  <c r="I74" i="7"/>
  <c r="J74" i="7" s="1"/>
  <c r="K74" i="7" s="1"/>
  <c r="L74" i="7" s="1"/>
  <c r="N74" i="7" s="1"/>
  <c r="I78" i="7"/>
  <c r="J78" i="7" s="1"/>
  <c r="K78" i="7" s="1"/>
  <c r="L78" i="7" s="1"/>
  <c r="N78" i="7" s="1"/>
  <c r="I81" i="7"/>
  <c r="J81" i="7" s="1"/>
  <c r="K81" i="7" s="1"/>
  <c r="L81" i="7" s="1"/>
  <c r="I71" i="7"/>
  <c r="J71" i="7" s="1"/>
  <c r="K71" i="7" s="1"/>
  <c r="L71" i="7" s="1"/>
  <c r="N71" i="7" s="1"/>
  <c r="I75" i="7"/>
  <c r="J75" i="7" s="1"/>
  <c r="K75" i="7" s="1"/>
  <c r="L75" i="7" s="1"/>
  <c r="N75" i="7" s="1"/>
  <c r="I79" i="7"/>
  <c r="J79" i="7" s="1"/>
  <c r="K79" i="7" s="1"/>
  <c r="L79" i="7" s="1"/>
  <c r="N79" i="7" s="1"/>
  <c r="I72" i="7"/>
  <c r="J72" i="7" s="1"/>
  <c r="K72" i="7" s="1"/>
  <c r="L72" i="7" s="1"/>
  <c r="N72" i="7" s="1"/>
  <c r="I76" i="7"/>
  <c r="J76" i="7" s="1"/>
  <c r="K76" i="7" s="1"/>
  <c r="L76" i="7" s="1"/>
  <c r="I80" i="7"/>
  <c r="J80" i="7" s="1"/>
  <c r="K80" i="7" s="1"/>
  <c r="L80" i="7" s="1"/>
  <c r="N80" i="7" s="1"/>
  <c r="I82" i="7"/>
  <c r="J82" i="7" s="1"/>
  <c r="K82" i="7" s="1"/>
  <c r="L82" i="7" s="1"/>
  <c r="I73" i="7"/>
  <c r="J73" i="7" s="1"/>
  <c r="K73" i="7" s="1"/>
  <c r="L73" i="7" s="1"/>
  <c r="N73" i="7" s="1"/>
  <c r="I77" i="7"/>
  <c r="J77" i="7" s="1"/>
  <c r="K77" i="7" s="1"/>
  <c r="L77" i="7" s="1"/>
  <c r="N77" i="7" s="1"/>
  <c r="I70" i="7"/>
  <c r="J70" i="7" s="1"/>
  <c r="K70" i="7" s="1"/>
  <c r="L70" i="7" s="1"/>
  <c r="N70" i="7" s="1"/>
  <c r="I119" i="7"/>
  <c r="J119" i="7" s="1"/>
  <c r="K119" i="7" s="1"/>
  <c r="L119" i="7" s="1"/>
  <c r="N119" i="7" s="1"/>
  <c r="I122" i="7"/>
  <c r="J122" i="7" s="1"/>
  <c r="K122" i="7" s="1"/>
  <c r="L122" i="7" s="1"/>
  <c r="N122" i="7" s="1"/>
  <c r="I105" i="7"/>
  <c r="J105" i="7" s="1"/>
  <c r="K105" i="7" s="1"/>
  <c r="L105" i="7" s="1"/>
  <c r="N105" i="7" s="1"/>
  <c r="I124" i="7"/>
  <c r="J124" i="7" s="1"/>
  <c r="K124" i="7" s="1"/>
  <c r="L124" i="7" s="1"/>
  <c r="N124" i="7" s="1"/>
  <c r="I125" i="7"/>
  <c r="J125" i="7" s="1"/>
  <c r="K125" i="7" s="1"/>
  <c r="L125" i="7" s="1"/>
  <c r="N125" i="7" s="1"/>
  <c r="I121" i="7"/>
  <c r="J121" i="7" s="1"/>
  <c r="K121" i="7" s="1"/>
  <c r="L121" i="7" s="1"/>
  <c r="N121" i="7" s="1"/>
  <c r="I123" i="7"/>
  <c r="J123" i="7" s="1"/>
  <c r="K123" i="7" s="1"/>
  <c r="L123" i="7" s="1"/>
  <c r="N123" i="7" s="1"/>
  <c r="I106" i="7"/>
  <c r="J106" i="7" s="1"/>
  <c r="K106" i="7" s="1"/>
  <c r="L106" i="7" s="1"/>
  <c r="N106" i="7" s="1"/>
  <c r="I104" i="7"/>
  <c r="J104" i="7" s="1"/>
  <c r="K104" i="7" s="1"/>
  <c r="L104" i="7" s="1"/>
  <c r="N104" i="7" s="1"/>
  <c r="I109" i="7"/>
  <c r="J109" i="7" s="1"/>
  <c r="K109" i="7" s="1"/>
  <c r="L109" i="7" s="1"/>
  <c r="N109" i="7" s="1"/>
  <c r="I120" i="7"/>
  <c r="J120" i="7" s="1"/>
  <c r="K120" i="7" s="1"/>
  <c r="L120" i="7" s="1"/>
  <c r="N120" i="7" s="1"/>
  <c r="I110" i="7"/>
  <c r="J110" i="7" s="1"/>
  <c r="K110" i="7" s="1"/>
  <c r="L110" i="7" s="1"/>
  <c r="N110" i="7" s="1"/>
  <c r="I108" i="7"/>
  <c r="J108" i="7" s="1"/>
  <c r="K108" i="7" s="1"/>
  <c r="L108" i="7" s="1"/>
  <c r="N108" i="7" s="1"/>
  <c r="I118" i="7"/>
  <c r="J118" i="7" s="1"/>
  <c r="K118" i="7" s="1"/>
  <c r="L118" i="7" s="1"/>
  <c r="N118" i="7" s="1"/>
  <c r="I107" i="7"/>
  <c r="J107" i="7" s="1"/>
  <c r="K107" i="7" s="1"/>
  <c r="L107" i="7" s="1"/>
  <c r="N107" i="7" s="1"/>
  <c r="I67" i="7"/>
  <c r="J67" i="7" s="1"/>
  <c r="K67" i="7" s="1"/>
  <c r="L67" i="7" s="1"/>
  <c r="N67" i="7" s="1"/>
  <c r="I66" i="7"/>
  <c r="J66" i="7" s="1"/>
  <c r="K66" i="7" s="1"/>
  <c r="L66" i="7" s="1"/>
  <c r="I65" i="7"/>
  <c r="J65" i="7" s="1"/>
  <c r="K65" i="7" s="1"/>
  <c r="L65" i="7" s="1"/>
  <c r="I64" i="7"/>
  <c r="J64" i="7" s="1"/>
  <c r="K64" i="7" s="1"/>
  <c r="L64" i="7" s="1"/>
  <c r="N64" i="7" s="1"/>
  <c r="I103" i="7"/>
  <c r="J103" i="7" s="1"/>
  <c r="K103" i="7" s="1"/>
  <c r="L103" i="7" s="1"/>
  <c r="N103" i="7" s="1"/>
  <c r="I102" i="7"/>
  <c r="J102" i="7" s="1"/>
  <c r="K102" i="7" s="1"/>
  <c r="L102" i="7" s="1"/>
  <c r="N102" i="7" s="1"/>
  <c r="I101" i="7"/>
  <c r="J101" i="7" s="1"/>
  <c r="K101" i="7" s="1"/>
  <c r="L101" i="7" s="1"/>
  <c r="N101" i="7" s="1"/>
  <c r="I83" i="7"/>
  <c r="J83" i="7" s="1"/>
  <c r="K83" i="7" s="1"/>
  <c r="L83" i="7" s="1"/>
  <c r="N83" i="7" s="1"/>
  <c r="I68" i="7"/>
  <c r="J68" i="7" s="1"/>
  <c r="K68" i="7" s="1"/>
  <c r="L68" i="7" s="1"/>
  <c r="N68" i="7" s="1"/>
  <c r="I6" i="7"/>
  <c r="J6" i="7" s="1"/>
  <c r="K6" i="7" s="1"/>
  <c r="L6" i="7" s="1"/>
  <c r="N6" i="7" s="1"/>
  <c r="S6" i="7" s="1"/>
  <c r="T6" i="7" s="1"/>
  <c r="I23" i="7"/>
  <c r="J23" i="7" s="1"/>
  <c r="K23" i="7" s="1"/>
  <c r="L23" i="7" s="1"/>
  <c r="N23" i="7" s="1"/>
  <c r="I27" i="7"/>
  <c r="J27" i="7" s="1"/>
  <c r="K27" i="7" s="1"/>
  <c r="L27" i="7" s="1"/>
  <c r="N27" i="7" s="1"/>
  <c r="I31" i="7"/>
  <c r="J31" i="7" s="1"/>
  <c r="K31" i="7" s="1"/>
  <c r="L31" i="7" s="1"/>
  <c r="N31" i="7" s="1"/>
  <c r="I35" i="7"/>
  <c r="J35" i="7" s="1"/>
  <c r="K35" i="7" s="1"/>
  <c r="L35" i="7" s="1"/>
  <c r="N35" i="7" s="1"/>
  <c r="I30" i="7"/>
  <c r="J30" i="7" s="1"/>
  <c r="K30" i="7" s="1"/>
  <c r="L30" i="7" s="1"/>
  <c r="N30" i="7" s="1"/>
  <c r="I24" i="7"/>
  <c r="J24" i="7" s="1"/>
  <c r="K24" i="7" s="1"/>
  <c r="L24" i="7" s="1"/>
  <c r="N24" i="7" s="1"/>
  <c r="I28" i="7"/>
  <c r="J28" i="7" s="1"/>
  <c r="K28" i="7" s="1"/>
  <c r="L28" i="7" s="1"/>
  <c r="N28" i="7" s="1"/>
  <c r="I32" i="7"/>
  <c r="J32" i="7" s="1"/>
  <c r="K32" i="7" s="1"/>
  <c r="L32" i="7" s="1"/>
  <c r="N32" i="7" s="1"/>
  <c r="I36" i="7"/>
  <c r="J36" i="7" s="1"/>
  <c r="K36" i="7" s="1"/>
  <c r="L36" i="7" s="1"/>
  <c r="N36" i="7" s="1"/>
  <c r="I22" i="7"/>
  <c r="J22" i="7" s="1"/>
  <c r="K22" i="7" s="1"/>
  <c r="L22" i="7" s="1"/>
  <c r="N22" i="7" s="1"/>
  <c r="I21" i="7"/>
  <c r="J21" i="7" s="1"/>
  <c r="K21" i="7" s="1"/>
  <c r="L21" i="7" s="1"/>
  <c r="N21" i="7" s="1"/>
  <c r="I25" i="7"/>
  <c r="J25" i="7" s="1"/>
  <c r="K25" i="7" s="1"/>
  <c r="L25" i="7" s="1"/>
  <c r="N25" i="7" s="1"/>
  <c r="I29" i="7"/>
  <c r="J29" i="7" s="1"/>
  <c r="K29" i="7" s="1"/>
  <c r="L29" i="7" s="1"/>
  <c r="N29" i="7" s="1"/>
  <c r="I33" i="7"/>
  <c r="J33" i="7" s="1"/>
  <c r="K33" i="7" s="1"/>
  <c r="L33" i="7" s="1"/>
  <c r="N33" i="7" s="1"/>
  <c r="I37" i="7"/>
  <c r="J37" i="7" s="1"/>
  <c r="K37" i="7" s="1"/>
  <c r="L37" i="7" s="1"/>
  <c r="N37" i="7" s="1"/>
  <c r="I26" i="7"/>
  <c r="J26" i="7" s="1"/>
  <c r="K26" i="7" s="1"/>
  <c r="L26" i="7" s="1"/>
  <c r="N26" i="7" s="1"/>
  <c r="I34" i="7"/>
  <c r="J34" i="7" s="1"/>
  <c r="K34" i="7" s="1"/>
  <c r="L34" i="7" s="1"/>
  <c r="N34" i="7" s="1"/>
  <c r="I20" i="7"/>
  <c r="J20" i="7" s="1"/>
  <c r="K20" i="7" s="1"/>
  <c r="L20" i="7" s="1"/>
  <c r="N20" i="7" s="1"/>
  <c r="I16" i="7"/>
  <c r="J16" i="7" s="1"/>
  <c r="K16" i="7" s="1"/>
  <c r="L16" i="7" s="1"/>
  <c r="N16" i="7" s="1"/>
  <c r="I14" i="7"/>
  <c r="I17" i="7"/>
  <c r="J17" i="7" s="1"/>
  <c r="K17" i="7" s="1"/>
  <c r="L17" i="7" s="1"/>
  <c r="N17" i="7" s="1"/>
  <c r="I15" i="7"/>
  <c r="J15" i="7" s="1"/>
  <c r="K15" i="7" s="1"/>
  <c r="L15" i="7" s="1"/>
  <c r="N15" i="7" s="1"/>
  <c r="I18" i="7"/>
  <c r="J18" i="7" s="1"/>
  <c r="K18" i="7" s="1"/>
  <c r="L18" i="7" s="1"/>
  <c r="N18" i="7" s="1"/>
  <c r="I19" i="7"/>
  <c r="J19" i="7" s="1"/>
  <c r="K19" i="7" s="1"/>
  <c r="L19" i="7" s="1"/>
  <c r="N19" i="7" s="1"/>
  <c r="I8" i="7"/>
  <c r="J8" i="7" s="1"/>
  <c r="K8" i="7" s="1"/>
  <c r="L8" i="7" s="1"/>
  <c r="N8" i="7" s="1"/>
  <c r="S8" i="7" s="1"/>
  <c r="I4" i="7"/>
  <c r="J4" i="7" s="1"/>
  <c r="K4" i="7" s="1"/>
  <c r="L4" i="7" s="1"/>
  <c r="I47" i="7"/>
  <c r="J47" i="7" s="1"/>
  <c r="K47" i="7" s="1"/>
  <c r="L47" i="7" s="1"/>
  <c r="N47" i="7" s="1"/>
  <c r="I43" i="7"/>
  <c r="J43" i="7" s="1"/>
  <c r="K43" i="7" s="1"/>
  <c r="L43" i="7" s="1"/>
  <c r="N43" i="7" s="1"/>
  <c r="S43" i="7" s="1"/>
  <c r="T43" i="7" s="1"/>
  <c r="I5" i="7"/>
  <c r="J5" i="7" s="1"/>
  <c r="K5" i="7" s="1"/>
  <c r="L5" i="7" s="1"/>
  <c r="N5" i="7" s="1"/>
  <c r="I40" i="7"/>
  <c r="J40" i="7" s="1"/>
  <c r="K40" i="7" s="1"/>
  <c r="L40" i="7" s="1"/>
  <c r="I45" i="7"/>
  <c r="J45" i="7" s="1"/>
  <c r="K45" i="7" s="1"/>
  <c r="L45" i="7" s="1"/>
  <c r="N45" i="7" s="1"/>
  <c r="I52" i="7"/>
  <c r="J52" i="7" s="1"/>
  <c r="K52" i="7" s="1"/>
  <c r="L52" i="7" s="1"/>
  <c r="N52" i="7" s="1"/>
  <c r="U52" i="7" s="1"/>
  <c r="V52" i="7" s="1"/>
  <c r="W52" i="7" s="1"/>
  <c r="I48" i="7"/>
  <c r="J48" i="7" s="1"/>
  <c r="K48" i="7" s="1"/>
  <c r="L48" i="7" s="1"/>
  <c r="N48" i="7" s="1"/>
  <c r="I51" i="7"/>
  <c r="J51" i="7" s="1"/>
  <c r="K51" i="7" s="1"/>
  <c r="L51" i="7" s="1"/>
  <c r="N51" i="7" s="1"/>
  <c r="I7" i="7"/>
  <c r="J7" i="7" s="1"/>
  <c r="K7" i="7" s="1"/>
  <c r="L7" i="7" s="1"/>
  <c r="N7" i="7" s="1"/>
  <c r="S7" i="7" s="1"/>
  <c r="I44" i="7"/>
  <c r="J44" i="7" s="1"/>
  <c r="K44" i="7" s="1"/>
  <c r="L44" i="7" s="1"/>
  <c r="N44" i="7" s="1"/>
  <c r="S44" i="7" s="1"/>
  <c r="T44" i="7" s="1"/>
  <c r="I56" i="7"/>
  <c r="J56" i="7" s="1"/>
  <c r="I55" i="7"/>
  <c r="J55" i="7" s="1"/>
  <c r="K55" i="7" s="1"/>
  <c r="L55" i="7" s="1"/>
  <c r="N55" i="7" s="1"/>
  <c r="S55" i="7" s="1"/>
  <c r="T55" i="7" s="1"/>
  <c r="I54" i="7"/>
  <c r="J54" i="7" s="1"/>
  <c r="K54" i="7" s="1"/>
  <c r="L54" i="7" s="1"/>
  <c r="U54" i="7" s="1"/>
  <c r="V54" i="7" s="1"/>
  <c r="W54" i="7" s="1"/>
  <c r="I2" i="7"/>
  <c r="I41" i="7"/>
  <c r="J41" i="7" s="1"/>
  <c r="K41" i="7" s="1"/>
  <c r="L41" i="7" s="1"/>
  <c r="I9" i="7"/>
  <c r="J9" i="7" s="1"/>
  <c r="K9" i="7" s="1"/>
  <c r="L9" i="7" s="1"/>
  <c r="N9" i="7" s="1"/>
  <c r="U9" i="7" s="1"/>
  <c r="V9" i="7" s="1"/>
  <c r="W9" i="7" s="1"/>
  <c r="I49" i="7"/>
  <c r="J49" i="7" s="1"/>
  <c r="K49" i="7" s="1"/>
  <c r="L49" i="7" s="1"/>
  <c r="N49" i="7" s="1"/>
  <c r="I50" i="7"/>
  <c r="J50" i="7" s="1"/>
  <c r="K50" i="7" s="1"/>
  <c r="L50" i="7" s="1"/>
  <c r="N50" i="7" s="1"/>
  <c r="I3" i="7"/>
  <c r="J3" i="7" s="1"/>
  <c r="K3" i="7" s="1"/>
  <c r="L3" i="7" s="1"/>
  <c r="N3" i="7" s="1"/>
  <c r="I10" i="7"/>
  <c r="J10" i="7" s="1"/>
  <c r="K10" i="7" s="1"/>
  <c r="L10" i="7" s="1"/>
  <c r="N10" i="7" s="1"/>
  <c r="U10" i="7" s="1"/>
  <c r="V10" i="7" s="1"/>
  <c r="W10" i="7" s="1"/>
  <c r="I42" i="7"/>
  <c r="J42" i="7" s="1"/>
  <c r="K42" i="7" s="1"/>
  <c r="L42" i="7" s="1"/>
  <c r="N42" i="7" s="1"/>
  <c r="U42" i="7" s="1"/>
  <c r="V42" i="7" s="1"/>
  <c r="W42" i="7" s="1"/>
  <c r="I46" i="7"/>
  <c r="J46" i="7" s="1"/>
  <c r="K46" i="7" s="1"/>
  <c r="L46" i="7" s="1"/>
  <c r="N46" i="7" s="1"/>
  <c r="U46" i="7" s="1"/>
  <c r="V46" i="7" s="1"/>
  <c r="W46" i="7" s="1"/>
  <c r="I53" i="7"/>
  <c r="J53" i="7" s="1"/>
  <c r="K53" i="7" s="1"/>
  <c r="L53" i="7" s="1"/>
  <c r="N53" i="7" s="1"/>
  <c r="S53" i="7" s="1"/>
  <c r="T53" i="7" s="1"/>
  <c r="K56" i="7" l="1"/>
  <c r="L56" i="7" s="1"/>
  <c r="N56" i="7" s="1"/>
  <c r="U6" i="7"/>
  <c r="V6" i="7" s="1"/>
  <c r="W6" i="7" s="1"/>
  <c r="S5" i="7"/>
  <c r="T5" i="7" s="1"/>
  <c r="N66" i="7"/>
  <c r="S37" i="7"/>
  <c r="T37" i="7" s="1"/>
  <c r="U37" i="7"/>
  <c r="V37" i="7" s="1"/>
  <c r="W37" i="7" s="1"/>
  <c r="S28" i="7"/>
  <c r="T28" i="7" s="1"/>
  <c r="U28" i="7"/>
  <c r="V28" i="7" s="1"/>
  <c r="W28" i="7" s="1"/>
  <c r="U31" i="7"/>
  <c r="V31" i="7" s="1"/>
  <c r="W31" i="7" s="1"/>
  <c r="S31" i="7"/>
  <c r="T31" i="7" s="1"/>
  <c r="J2" i="7"/>
  <c r="K2" i="7" s="1"/>
  <c r="L2" i="7" s="1"/>
  <c r="N2" i="7" s="1"/>
  <c r="U2" i="7" s="1"/>
  <c r="U33" i="7"/>
  <c r="V33" i="7" s="1"/>
  <c r="W33" i="7" s="1"/>
  <c r="S33" i="7"/>
  <c r="T33" i="7" s="1"/>
  <c r="S22" i="7"/>
  <c r="T22" i="7" s="1"/>
  <c r="U22" i="7"/>
  <c r="V22" i="7" s="1"/>
  <c r="W22" i="7" s="1"/>
  <c r="U24" i="7"/>
  <c r="V24" i="7" s="1"/>
  <c r="W24" i="7" s="1"/>
  <c r="S24" i="7"/>
  <c r="T24" i="7" s="1"/>
  <c r="S27" i="7"/>
  <c r="T27" i="7" s="1"/>
  <c r="U27" i="7"/>
  <c r="V27" i="7" s="1"/>
  <c r="W27" i="7" s="1"/>
  <c r="U21" i="7"/>
  <c r="V21" i="7" s="1"/>
  <c r="W21" i="7" s="1"/>
  <c r="S21" i="7"/>
  <c r="T21" i="7" s="1"/>
  <c r="U34" i="7"/>
  <c r="V34" i="7" s="1"/>
  <c r="W34" i="7" s="1"/>
  <c r="S34" i="7"/>
  <c r="T34" i="7" s="1"/>
  <c r="S29" i="7"/>
  <c r="T29" i="7" s="1"/>
  <c r="U29" i="7"/>
  <c r="V29" i="7" s="1"/>
  <c r="W29" i="7" s="1"/>
  <c r="U36" i="7"/>
  <c r="V36" i="7" s="1"/>
  <c r="W36" i="7" s="1"/>
  <c r="S36" i="7"/>
  <c r="T36" i="7" s="1"/>
  <c r="S30" i="7"/>
  <c r="T30" i="7" s="1"/>
  <c r="U30" i="7"/>
  <c r="V30" i="7" s="1"/>
  <c r="W30" i="7" s="1"/>
  <c r="U23" i="7"/>
  <c r="V23" i="7" s="1"/>
  <c r="W23" i="7" s="1"/>
  <c r="S23" i="7"/>
  <c r="T23" i="7" s="1"/>
  <c r="S26" i="7"/>
  <c r="T26" i="7" s="1"/>
  <c r="U26" i="7"/>
  <c r="V26" i="7" s="1"/>
  <c r="W26" i="7" s="1"/>
  <c r="U25" i="7"/>
  <c r="V25" i="7" s="1"/>
  <c r="W25" i="7" s="1"/>
  <c r="S25" i="7"/>
  <c r="T25" i="7" s="1"/>
  <c r="S32" i="7"/>
  <c r="T32" i="7" s="1"/>
  <c r="U32" i="7"/>
  <c r="V32" i="7" s="1"/>
  <c r="W32" i="7" s="1"/>
  <c r="S35" i="7"/>
  <c r="T35" i="7" s="1"/>
  <c r="U35" i="7"/>
  <c r="V35" i="7" s="1"/>
  <c r="W35" i="7" s="1"/>
  <c r="J14" i="7"/>
  <c r="K14" i="7" s="1"/>
  <c r="L14" i="7" s="1"/>
  <c r="N14" i="7" s="1"/>
  <c r="I39" i="7"/>
  <c r="U15" i="7"/>
  <c r="V15" i="7" s="1"/>
  <c r="W15" i="7" s="1"/>
  <c r="S15" i="7"/>
  <c r="T15" i="7" s="1"/>
  <c r="U8" i="7"/>
  <c r="V8" i="7" s="1"/>
  <c r="W8" i="7" s="1"/>
  <c r="U43" i="7"/>
  <c r="V43" i="7" s="1"/>
  <c r="W43" i="7" s="1"/>
  <c r="U18" i="7"/>
  <c r="V18" i="7" s="1"/>
  <c r="W18" i="7" s="1"/>
  <c r="S18" i="7"/>
  <c r="T18" i="7" s="1"/>
  <c r="S16" i="7"/>
  <c r="T16" i="7" s="1"/>
  <c r="U16" i="7"/>
  <c r="V16" i="7" s="1"/>
  <c r="W16" i="7" s="1"/>
  <c r="S17" i="7"/>
  <c r="T17" i="7" s="1"/>
  <c r="U17" i="7"/>
  <c r="V17" i="7" s="1"/>
  <c r="W17" i="7" s="1"/>
  <c r="U19" i="7"/>
  <c r="V19" i="7" s="1"/>
  <c r="W19" i="7" s="1"/>
  <c r="S19" i="7"/>
  <c r="T19" i="7" s="1"/>
  <c r="S20" i="7"/>
  <c r="T20" i="7" s="1"/>
  <c r="U20" i="7"/>
  <c r="V20" i="7" s="1"/>
  <c r="W20" i="7" s="1"/>
  <c r="N4" i="7"/>
  <c r="S54" i="7"/>
  <c r="T54" i="7" s="1"/>
  <c r="U7" i="7"/>
  <c r="V7" i="7" s="1"/>
  <c r="W7" i="7" s="1"/>
  <c r="S46" i="7"/>
  <c r="T46" i="7" s="1"/>
  <c r="U53" i="7"/>
  <c r="V53" i="7" s="1"/>
  <c r="W53" i="7" s="1"/>
  <c r="S10" i="7"/>
  <c r="S42" i="7"/>
  <c r="T42" i="7" s="1"/>
  <c r="U55" i="7"/>
  <c r="V55" i="7" s="1"/>
  <c r="W55" i="7" s="1"/>
  <c r="U5" i="7"/>
  <c r="V5" i="7" s="1"/>
  <c r="W5" i="7" s="1"/>
  <c r="S9" i="7"/>
  <c r="I13" i="7"/>
  <c r="U44" i="7"/>
  <c r="V44" i="7" s="1"/>
  <c r="W44" i="7" s="1"/>
  <c r="S52" i="7"/>
  <c r="T52" i="7" s="1"/>
  <c r="I58" i="7"/>
  <c r="N40" i="7"/>
  <c r="U40" i="7" s="1"/>
  <c r="N41" i="7"/>
  <c r="S41" i="7" s="1"/>
  <c r="T41" i="7" s="1"/>
  <c r="S51" i="7"/>
  <c r="T51" i="7" s="1"/>
  <c r="U51" i="7"/>
  <c r="V51" i="7" s="1"/>
  <c r="W51" i="7" s="1"/>
  <c r="S48" i="7"/>
  <c r="T48" i="7" s="1"/>
  <c r="U48" i="7"/>
  <c r="V48" i="7" s="1"/>
  <c r="W48" i="7" s="1"/>
  <c r="S47" i="7"/>
  <c r="T47" i="7" s="1"/>
  <c r="U47" i="7"/>
  <c r="V47" i="7" s="1"/>
  <c r="W47" i="7" s="1"/>
  <c r="S49" i="7"/>
  <c r="T49" i="7" s="1"/>
  <c r="U49" i="7"/>
  <c r="V49" i="7" s="1"/>
  <c r="W49" i="7" s="1"/>
  <c r="S50" i="7"/>
  <c r="T50" i="7" s="1"/>
  <c r="U50" i="7"/>
  <c r="V50" i="7" s="1"/>
  <c r="W50" i="7" s="1"/>
  <c r="U45" i="7"/>
  <c r="V45" i="7" s="1"/>
  <c r="W45" i="7" s="1"/>
  <c r="U3" i="7"/>
  <c r="V3" i="7" s="1"/>
  <c r="W3" i="7" s="1"/>
  <c r="S3" i="7"/>
  <c r="T3" i="7" s="1"/>
  <c r="S56" i="7" l="1"/>
  <c r="T56" i="7" s="1"/>
  <c r="U56" i="7"/>
  <c r="V56" i="7" s="1"/>
  <c r="W56" i="7" s="1"/>
  <c r="S4" i="7"/>
  <c r="T4" i="7" s="1"/>
  <c r="N65" i="7"/>
  <c r="U14" i="7"/>
  <c r="V14" i="7" s="1"/>
  <c r="S14" i="7"/>
  <c r="U4" i="7"/>
  <c r="V4" i="7" s="1"/>
  <c r="W4" i="7" s="1"/>
  <c r="I59" i="7"/>
  <c r="V40" i="7"/>
  <c r="S40" i="7"/>
  <c r="U41" i="7"/>
  <c r="V41" i="7" s="1"/>
  <c r="W41" i="7" s="1"/>
  <c r="S45" i="7"/>
  <c r="T45" i="7" s="1"/>
  <c r="S2" i="7"/>
  <c r="V2" i="7"/>
  <c r="W2" i="7" s="1"/>
  <c r="S39" i="7" l="1"/>
  <c r="T14" i="7"/>
  <c r="T39" i="7" s="1"/>
  <c r="V39" i="7"/>
  <c r="W14" i="7"/>
  <c r="W39" i="7" s="1"/>
  <c r="T2" i="7"/>
  <c r="S13" i="7"/>
  <c r="W13" i="7"/>
  <c r="V13" i="7"/>
  <c r="T40" i="7"/>
  <c r="T58" i="7" s="1"/>
  <c r="S58" i="7"/>
  <c r="W40" i="7"/>
  <c r="W58" i="7" s="1"/>
  <c r="V58" i="7"/>
  <c r="S59" i="7" l="1"/>
  <c r="W59" i="7"/>
  <c r="V59" i="7"/>
  <c r="B64" i="4" l="1"/>
  <c r="B65" i="4" s="1"/>
  <c r="O8" i="7"/>
  <c r="Q8" i="7" s="1"/>
  <c r="O10" i="7"/>
  <c r="Q10" i="7" s="1"/>
  <c r="O9" i="7"/>
  <c r="Q9" i="7" s="1"/>
  <c r="O7" i="7"/>
  <c r="Q7" i="7" s="1"/>
  <c r="R8" i="7" l="1"/>
  <c r="T8" i="7"/>
  <c r="R10" i="7"/>
  <c r="T10" i="7"/>
  <c r="R7" i="7"/>
  <c r="Q13" i="7"/>
  <c r="Q59" i="7" s="1"/>
  <c r="T7" i="7"/>
  <c r="R9" i="7"/>
  <c r="T9" i="7"/>
  <c r="T13" i="7" l="1"/>
  <c r="T59" i="7" s="1"/>
  <c r="R13" i="7"/>
  <c r="R59" i="7" s="1"/>
  <c r="B60" i="4" s="1"/>
  <c r="B61" i="4" s="1"/>
  <c r="C65" i="4" s="1"/>
  <c r="E121" i="10" l="1"/>
  <c r="E120" i="10"/>
</calcChain>
</file>

<file path=xl/comments1.xml><?xml version="1.0" encoding="utf-8"?>
<comments xmlns="http://schemas.openxmlformats.org/spreadsheetml/2006/main">
  <authors>
    <author>Cramer, Diane</author>
  </authors>
  <commentList>
    <comment ref="N54" authorId="0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See comment on company price out</t>
        </r>
      </text>
    </comment>
  </commentList>
</comments>
</file>

<file path=xl/comments2.xml><?xml version="1.0" encoding="utf-8"?>
<comments xmlns="http://schemas.openxmlformats.org/spreadsheetml/2006/main">
  <authors>
    <author>Allied Waste</author>
    <author>Cramer, Diane</author>
  </authors>
  <commentList>
    <comment ref="L5" authorId="0">
      <text>
        <r>
          <rPr>
            <b/>
            <sz val="8"/>
            <color indexed="81"/>
            <rFont val="Tahoma"/>
            <family val="2"/>
          </rPr>
          <t>Allied Waste: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These are regulated garbage disposal tons
</t>
        </r>
      </text>
    </comment>
    <comment ref="I171" authorId="1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ncorrect rate s/b higher than regular service  Increased by 9% to be in line with the other service levels</t>
        </r>
      </text>
    </comment>
    <comment ref="I215" authorId="1">
      <text>
        <r>
          <rPr>
            <b/>
            <sz val="9"/>
            <color indexed="81"/>
            <rFont val="Tahoma"/>
            <charset val="1"/>
          </rPr>
          <t>Cramer, Diane:</t>
        </r>
        <r>
          <rPr>
            <sz val="9"/>
            <color indexed="81"/>
            <rFont val="Tahoma"/>
            <charset val="1"/>
          </rPr>
          <t xml:space="preserve">
incorrect rate s/b higher than regular service  Increased by 9% to be in line with the other service levels</t>
        </r>
      </text>
    </comment>
  </commentList>
</comments>
</file>

<file path=xl/sharedStrings.xml><?xml version="1.0" encoding="utf-8"?>
<sst xmlns="http://schemas.openxmlformats.org/spreadsheetml/2006/main" count="715" uniqueCount="329">
  <si>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</si>
  <si>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</si>
  <si>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</si>
  <si>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</si>
  <si>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</si>
  <si>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</si>
  <si>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</si>
  <si>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</si>
  <si>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</si>
  <si>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</si>
  <si>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</si>
  <si>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</si>
  <si>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</si>
  <si>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</si>
  <si>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</si>
  <si>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</si>
  <si>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</si>
  <si>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</si>
  <si>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</si>
  <si>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</si>
  <si>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</si>
  <si>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</si>
  <si>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</si>
  <si>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</si>
  <si>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</si>
  <si>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</si>
  <si>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</si>
  <si>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</si>
  <si>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</si>
  <si>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</si>
  <si>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</si>
  <si>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</si>
  <si>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</si>
  <si>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</si>
  <si>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</si>
  <si>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</si>
  <si>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</si>
  <si>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</si>
  <si>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</si>
  <si>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</si>
  <si>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</si>
  <si>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</si>
  <si>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</si>
  <si>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</si>
  <si>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</si>
  <si>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</si>
  <si>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</si>
  <si>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</si>
  <si>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</si>
  <si>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</si>
  <si>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</si>
  <si>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</si>
  <si>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</si>
  <si>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</si>
  <si>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</si>
  <si>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</si>
  <si>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</si>
  <si>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</si>
  <si>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</si>
  <si>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</si>
  <si>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</si>
  <si>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</si>
  <si>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</si>
  <si>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</si>
  <si>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</si>
  <si>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</si>
  <si>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</si>
  <si>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</si>
  <si>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</si>
  <si>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</si>
  <si>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</si>
  <si>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</si>
  <si>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</si>
  <si>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</si>
  <si>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</si>
  <si>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</si>
  <si>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</si>
  <si>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</si>
  <si>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</si>
  <si>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</si>
  <si>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</si>
  <si>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</si>
  <si>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</si>
  <si>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</si>
  <si>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</si>
  <si>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</si>
  <si>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</si>
  <si>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</si>
  <si>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</si>
  <si>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</si>
  <si>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</si>
  <si>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</si>
  <si>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</si>
  <si>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</si>
  <si>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</si>
  <si>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</si>
  <si>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</si>
  <si>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</si>
  <si>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</si>
  <si>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</si>
  <si>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</si>
  <si>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</si>
  <si>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</si>
  <si>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</si>
  <si>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</si>
  <si>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</si>
  <si>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</si>
  <si>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Current</t>
  </si>
  <si>
    <t>Proposed</t>
  </si>
  <si>
    <t>Tariff</t>
  </si>
  <si>
    <t>Company</t>
  </si>
  <si>
    <t>Proposed Increase</t>
  </si>
  <si>
    <t>Each</t>
  </si>
  <si>
    <t>1 Can Monthly</t>
  </si>
  <si>
    <t>Annual</t>
  </si>
  <si>
    <t>Unit</t>
  </si>
  <si>
    <t>Revenue</t>
  </si>
  <si>
    <t>Per ton</t>
  </si>
  <si>
    <t>* not on meeks - calculated by staff in previous cases</t>
  </si>
  <si>
    <t>1 Mini Can</t>
  </si>
  <si>
    <t>1 Can wk</t>
  </si>
  <si>
    <t>2  Can wk</t>
  </si>
  <si>
    <t>3 Can wk</t>
  </si>
  <si>
    <t>4 Can wk</t>
  </si>
  <si>
    <t>32 Gal Tote wk</t>
  </si>
  <si>
    <t>60 Gal Tote wk</t>
  </si>
  <si>
    <t>90 Gal Tote wk</t>
  </si>
  <si>
    <t>6 yd  On Call</t>
  </si>
  <si>
    <t>6 yd 1xweek</t>
  </si>
  <si>
    <t>6 yd 2xweek</t>
  </si>
  <si>
    <t>8 yd   On Call</t>
  </si>
  <si>
    <t>8 yd  1xweek</t>
  </si>
  <si>
    <t>8 yd  2xweek</t>
  </si>
  <si>
    <t xml:space="preserve">32 Gal Toter 1xweek </t>
  </si>
  <si>
    <t xml:space="preserve">64 Gal Toter 1xweek  </t>
  </si>
  <si>
    <t>96 Gal Toter 1xweek</t>
  </si>
  <si>
    <t>1 yd  1xweek</t>
  </si>
  <si>
    <t>1.25 yd on call</t>
  </si>
  <si>
    <t>1.25 yd 1xweek</t>
  </si>
  <si>
    <t>1.25 yd 2xweek</t>
  </si>
  <si>
    <t>2yd On Call</t>
  </si>
  <si>
    <t>2 yd 1xweek</t>
  </si>
  <si>
    <t>2 yd 2xweek</t>
  </si>
  <si>
    <t>3 yd  On Call</t>
  </si>
  <si>
    <t>3 yd 1xweek</t>
  </si>
  <si>
    <t>3 yd 2xweek</t>
  </si>
  <si>
    <t>3 yd 3xweek</t>
  </si>
  <si>
    <t>4 yd On Call</t>
  </si>
  <si>
    <t>4 yd 1xweek</t>
  </si>
  <si>
    <t>4 yd 2xweek</t>
  </si>
  <si>
    <t>4 yd 3xweek</t>
  </si>
  <si>
    <t>Multi-Family</t>
  </si>
  <si>
    <t>King County</t>
  </si>
  <si>
    <t>1 yd  2xweek</t>
  </si>
  <si>
    <t>Rabanco dba Eastside Disposal</t>
  </si>
  <si>
    <t>1.25 yd On Call</t>
  </si>
  <si>
    <t>Item 240, pg 40</t>
  </si>
  <si>
    <t>Item 105, pg 27</t>
  </si>
  <si>
    <t>Item 230, pg 39</t>
  </si>
  <si>
    <t>King County TS</t>
  </si>
  <si>
    <t>Allied Waste of Bellevue</t>
  </si>
  <si>
    <t>Adj Factor</t>
  </si>
  <si>
    <t>Cost of Service</t>
  </si>
  <si>
    <t>INPUTS</t>
  </si>
  <si>
    <t>RES/COMM</t>
  </si>
  <si>
    <t>COMM'L</t>
  </si>
  <si>
    <t>DROPBOX</t>
  </si>
  <si>
    <t>TOTAL ALL SERVICES</t>
  </si>
  <si>
    <t xml:space="preserve"> RESIDENTIAL</t>
  </si>
  <si>
    <t xml:space="preserve"> COMM. CANS</t>
  </si>
  <si>
    <t>Current Disposal Rate</t>
  </si>
  <si>
    <t>Current B&amp;O Tax Rate</t>
  </si>
  <si>
    <t xml:space="preserve"> CONTAINERS</t>
  </si>
  <si>
    <t>Current WUTC Fee Rate</t>
  </si>
  <si>
    <t>Difference</t>
  </si>
  <si>
    <t>Total Revenue Tax</t>
  </si>
  <si>
    <t>Per Lb Difference</t>
  </si>
  <si>
    <t>No. of</t>
  </si>
  <si>
    <t>Pickup</t>
  </si>
  <si>
    <t xml:space="preserve">Current </t>
  </si>
  <si>
    <t>adjust</t>
  </si>
  <si>
    <t>Calculated</t>
  </si>
  <si>
    <t>Actual</t>
  </si>
  <si>
    <t xml:space="preserve"> </t>
  </si>
  <si>
    <t>Cust.</t>
  </si>
  <si>
    <t>Freq</t>
  </si>
  <si>
    <t>Monthly</t>
  </si>
  <si>
    <t>Lbs.</t>
  </si>
  <si>
    <t xml:space="preserve">unit </t>
  </si>
  <si>
    <t>Disposal</t>
  </si>
  <si>
    <t xml:space="preserve">PER </t>
  </si>
  <si>
    <t>PER</t>
  </si>
  <si>
    <t>Rev Tax</t>
  </si>
  <si>
    <t>TOTAL</t>
  </si>
  <si>
    <t>Current Rates</t>
  </si>
  <si>
    <t>Per</t>
  </si>
  <si>
    <t>Tons</t>
  </si>
  <si>
    <t>PICKUP</t>
  </si>
  <si>
    <t>MONTH</t>
  </si>
  <si>
    <t>Impact</t>
  </si>
  <si>
    <t xml:space="preserve">MONTHLY </t>
  </si>
  <si>
    <t>w/Disposal Increase</t>
  </si>
  <si>
    <t>Monthly Revenue</t>
  </si>
  <si>
    <t>Annual Revenue</t>
  </si>
  <si>
    <t>Annual Disposal</t>
  </si>
  <si>
    <t>Year</t>
  </si>
  <si>
    <t>Rate</t>
  </si>
  <si>
    <t>CHANGE</t>
  </si>
  <si>
    <t xml:space="preserve">RESIDENTIAL </t>
  </si>
  <si>
    <t>Appendix A</t>
  </si>
  <si>
    <t>5 Can wk</t>
  </si>
  <si>
    <t>6 Can wk</t>
  </si>
  <si>
    <t>32 Gallon Bear Proof Toter</t>
  </si>
  <si>
    <t>64 Gal Bear Proof Toter</t>
  </si>
  <si>
    <t>96 Gal Bear Proof Toter</t>
  </si>
  <si>
    <t>Mini Can Rental</t>
  </si>
  <si>
    <t>1 Can Rental</t>
  </si>
  <si>
    <t>32 Gal Toter Rental</t>
  </si>
  <si>
    <t>64 Gal Toter Rental</t>
  </si>
  <si>
    <t>96 Gal Toter Rental</t>
  </si>
  <si>
    <t>32 Gallon Bear Proof Toter Rental</t>
  </si>
  <si>
    <t>64 Gal Bear Proof Toter Rental</t>
  </si>
  <si>
    <t>96 Gal Bear Proof Toter Rental</t>
  </si>
  <si>
    <t>Appendix B</t>
  </si>
  <si>
    <t>Commercial - Tarriff 11</t>
  </si>
  <si>
    <t>#</t>
  </si>
  <si>
    <t>pu</t>
  </si>
  <si>
    <t>yds</t>
  </si>
  <si>
    <t>Total Yds</t>
  </si>
  <si>
    <t>1 yd Comp Week (5x Comp)</t>
  </si>
  <si>
    <t>1 yd  on call</t>
  </si>
  <si>
    <t>1.25 yd 3xweek</t>
  </si>
  <si>
    <t>2 yd Comp Week (5x Comp)</t>
  </si>
  <si>
    <t>2 yd 3xweek</t>
  </si>
  <si>
    <t>2 yd 4xweek</t>
  </si>
  <si>
    <t>2 yd 5xweek</t>
  </si>
  <si>
    <t>2 yd 6xweek</t>
  </si>
  <si>
    <t>3 yd Comp Week</t>
  </si>
  <si>
    <t>3 yd Comp Week (5x Comp)</t>
  </si>
  <si>
    <t>3 yd 4xweek</t>
  </si>
  <si>
    <t>4 yd Comp Week</t>
  </si>
  <si>
    <t>4 yd Comp Week (5x Comp)</t>
  </si>
  <si>
    <t>4 yd 4xweek</t>
  </si>
  <si>
    <t>4 yd 6xweek</t>
  </si>
  <si>
    <t>5 yd Comp Week</t>
  </si>
  <si>
    <t>5 yd Comp Week (5x Comp)</t>
  </si>
  <si>
    <t>6 yd Comp Week</t>
  </si>
  <si>
    <t>6 yd Comp Week (5x Comp)</t>
  </si>
  <si>
    <t>6 yd 3xweek</t>
  </si>
  <si>
    <t>6 yd 4xweek</t>
  </si>
  <si>
    <t>8 yd  3xweek</t>
  </si>
  <si>
    <t>8 yd  4xweek</t>
  </si>
  <si>
    <t>8 yd  5xweek</t>
  </si>
  <si>
    <t>32 Gal Toter Rent</t>
  </si>
  <si>
    <t>64 Gal Toter Rent</t>
  </si>
  <si>
    <t>96 Gal Toter Rent</t>
  </si>
  <si>
    <t>1 yd Rent</t>
  </si>
  <si>
    <t>1.25 yd Rent</t>
  </si>
  <si>
    <t>2 yd Rent</t>
  </si>
  <si>
    <t>3 yd Rent</t>
  </si>
  <si>
    <t>4 yd Rent</t>
  </si>
  <si>
    <t>6 yd Rent</t>
  </si>
  <si>
    <t>8 yd Rent</t>
  </si>
  <si>
    <t xml:space="preserve">20 Gal Toter 1xweek </t>
  </si>
  <si>
    <t>32 Gal Bear Proof Toter</t>
  </si>
  <si>
    <t>no customers</t>
  </si>
  <si>
    <t>Same as 2 Can/week</t>
  </si>
  <si>
    <t>Same as 3 Can/week</t>
  </si>
  <si>
    <t>Same as 1 Can/week</t>
  </si>
  <si>
    <t>Item 100, pg 22</t>
  </si>
  <si>
    <t>32 Gal extra</t>
  </si>
  <si>
    <t>Bag extra</t>
  </si>
  <si>
    <t>Item 100, pg 21 Appendix A</t>
  </si>
  <si>
    <t>Item 100, pg 23 Appendix B</t>
  </si>
  <si>
    <t>Item 100, pg 24</t>
  </si>
  <si>
    <t>64 Gal Toter 1xweek</t>
  </si>
  <si>
    <t>3 yd Pickup</t>
  </si>
  <si>
    <t>4 yd Pickup</t>
  </si>
  <si>
    <t>6 yd Pickup</t>
  </si>
  <si>
    <t>3 yd Special Pickup</t>
  </si>
  <si>
    <t>4 yd Special Pickup</t>
  </si>
  <si>
    <t>6 yd Special Pickup</t>
  </si>
  <si>
    <t>32 Gal Toter On Call</t>
  </si>
  <si>
    <t>64 Gal Toter On Call</t>
  </si>
  <si>
    <t>96 Gal Toter On Call</t>
  </si>
  <si>
    <t>1 yd  On Call</t>
  </si>
  <si>
    <t>32 Gal Can</t>
  </si>
  <si>
    <t>32 Gal Can Special Pick Up</t>
  </si>
  <si>
    <t>No Customers</t>
  </si>
  <si>
    <t>Item 245, pg 41, Cust-owned</t>
  </si>
  <si>
    <t>Item 106, pg 30 Compacted</t>
  </si>
  <si>
    <t xml:space="preserve">Item 255, pg 42, Compacted </t>
  </si>
  <si>
    <t>DF Effective 1/1/2019</t>
  </si>
  <si>
    <t>annual PU</t>
  </si>
  <si>
    <t>Annual PU</t>
  </si>
  <si>
    <t>PU Freq /yr</t>
  </si>
  <si>
    <t>Customer Own Can</t>
  </si>
  <si>
    <t>Customer Own Can Special PU</t>
  </si>
  <si>
    <t>3 yd Comp Special Pickup</t>
  </si>
  <si>
    <t>4 yd Comp Special Pickup</t>
  </si>
  <si>
    <t>6 yd Comp Special Pickup</t>
  </si>
  <si>
    <t>96 Gal Tote wk</t>
  </si>
  <si>
    <t>*Note Appendix B customers consolidated to Appendix A for disposal model ease</t>
  </si>
  <si>
    <t>Multi-Family-Tariff 11</t>
  </si>
  <si>
    <t>Tariff 11</t>
  </si>
  <si>
    <t xml:space="preserve">  Commercial Subtotal-Tariff 11</t>
  </si>
  <si>
    <t xml:space="preserve">  Multi-Family Subtotal-Tariff 11</t>
  </si>
  <si>
    <t>32 Gal On Call</t>
  </si>
  <si>
    <t>64 Gal On Call</t>
  </si>
  <si>
    <t>96 Gal On Call</t>
  </si>
  <si>
    <t>1 yd TEMP</t>
  </si>
  <si>
    <t>1.25 yd TEMP</t>
  </si>
  <si>
    <t>2 yd TEMP</t>
  </si>
  <si>
    <t>3 yd TEMP</t>
  </si>
  <si>
    <t>4 yd TEMP</t>
  </si>
  <si>
    <t>6 yd TEMP</t>
  </si>
  <si>
    <t>8 yd TEMP</t>
  </si>
  <si>
    <t>1.25 TEMP</t>
  </si>
  <si>
    <t>2 Yd TEMP</t>
  </si>
  <si>
    <t>32 Gal Customer Owned</t>
  </si>
  <si>
    <t>32 Gal Customer Owned On Call</t>
  </si>
  <si>
    <t>Jan 1, 2019 Disposal Rate</t>
  </si>
  <si>
    <t>Current Bad Debt</t>
  </si>
  <si>
    <t>1.25 On Call</t>
  </si>
  <si>
    <t>2 yd On Call</t>
  </si>
  <si>
    <t>3 yd On Call</t>
  </si>
  <si>
    <t>6 yd On Call</t>
  </si>
  <si>
    <t>1 Yd TEMP</t>
  </si>
  <si>
    <t>1.25 Yd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</si>
</sst>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#,##0.000_);\(#,##0.000\)"/>
    <numFmt numFmtId="173" formatCode="#,##0.0_);\(#,##0.0\)"/>
    <numFmt numFmtId="174" formatCode="0.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SWISS"/>
    </font>
    <font>
      <sz val="8"/>
      <color rgb="FF0000FF"/>
      <name val="Arial"/>
      <family val="2"/>
    </font>
    <font>
      <sz val="8"/>
      <color indexed="12"/>
      <name val="Arial"/>
      <family val="2"/>
    </font>
    <font>
      <b/>
      <sz val="8"/>
      <color indexed="45"/>
      <name val="Arial"/>
      <family val="2"/>
    </font>
    <font>
      <b/>
      <sz val="8"/>
      <color indexed="8"/>
      <name val="Arial"/>
      <family val="2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sz val="9"/>
      <color rgb="FF0000FF"/>
      <name val="Arial"/>
      <family val="2"/>
    </font>
    <font>
      <sz val="10"/>
      <color indexed="81"/>
      <name val="Tahoma"/>
      <family val="2"/>
    </font>
    <font>
      <sz val="8"/>
      <name val="Arial"/>
    </font>
    <font>
      <b/>
      <sz val="12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39" borderId="0" applyProtection="0"/>
    <xf numFmtId="0" fontId="73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5" borderId="0" applyNumberFormat="0" applyBorder="0" applyAlignment="0" applyProtection="0"/>
    <xf numFmtId="0" fontId="14" fillId="22" borderId="0" applyNumberFormat="0" applyBorder="0" applyAlignment="0" applyProtection="0"/>
    <xf numFmtId="0" fontId="14" fillId="36" borderId="0" applyNumberFormat="0" applyBorder="0" applyAlignment="0" applyProtection="0"/>
    <xf numFmtId="43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73" fillId="10" borderId="15" applyNumberFormat="0" applyFont="0" applyAlignment="0" applyProtection="0"/>
    <xf numFmtId="0" fontId="29" fillId="12" borderId="16" applyNumberFormat="0" applyAlignment="0" applyProtection="0"/>
    <xf numFmtId="9" fontId="73" fillId="0" borderId="0" applyFont="0" applyFill="0" applyBorder="0" applyAlignment="0" applyProtection="0"/>
    <xf numFmtId="37" fontId="74" fillId="0" borderId="0"/>
  </cellStyleXfs>
  <cellXfs count="377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2" borderId="0" xfId="0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59" fillId="0" borderId="0" xfId="389" applyFont="1" applyFill="1" applyBorder="1"/>
    <xf numFmtId="43" fontId="1" fillId="0" borderId="0" xfId="1" applyFont="1"/>
    <xf numFmtId="0" fontId="59" fillId="0" borderId="0" xfId="390" applyFont="1"/>
    <xf numFmtId="0" fontId="60" fillId="0" borderId="0" xfId="389" applyFont="1" applyBorder="1"/>
    <xf numFmtId="43" fontId="49" fillId="0" borderId="0" xfId="1" applyFont="1" applyFill="1" applyBorder="1"/>
    <xf numFmtId="43" fontId="2" fillId="0" borderId="0" xfId="1" applyFont="1"/>
    <xf numFmtId="0" fontId="2" fillId="0" borderId="0" xfId="390"/>
    <xf numFmtId="43" fontId="59" fillId="0" borderId="0" xfId="1" applyFont="1" applyFill="1" applyAlignment="1">
      <alignment horizontal="center"/>
    </xf>
    <xf numFmtId="43" fontId="59" fillId="0" borderId="0" xfId="1" applyFont="1" applyAlignment="1">
      <alignment horizontal="center"/>
    </xf>
    <xf numFmtId="0" fontId="2" fillId="0" borderId="0" xfId="390" applyAlignment="1">
      <alignment horizontal="center"/>
    </xf>
    <xf numFmtId="0" fontId="59" fillId="0" borderId="0" xfId="390" applyFont="1" applyAlignment="1">
      <alignment horizontal="center"/>
    </xf>
    <xf numFmtId="14" fontId="2" fillId="0" borderId="0" xfId="390" applyNumberFormat="1" applyAlignment="1">
      <alignment horizontal="center"/>
    </xf>
    <xf numFmtId="14" fontId="3" fillId="0" borderId="0" xfId="1" applyNumberFormat="1" applyFont="1" applyAlignment="1">
      <alignment horizontal="center"/>
    </xf>
    <xf numFmtId="14" fontId="3" fillId="0" borderId="0" xfId="1" applyNumberFormat="1" applyFont="1"/>
    <xf numFmtId="14" fontId="3" fillId="0" borderId="0" xfId="0" applyNumberFormat="1" applyFont="1"/>
    <xf numFmtId="43" fontId="2" fillId="0" borderId="0" xfId="1" applyFont="1" applyFill="1"/>
    <xf numFmtId="4" fontId="2" fillId="0" borderId="0" xfId="390" applyNumberFormat="1"/>
    <xf numFmtId="0" fontId="2" fillId="0" borderId="0" xfId="390" applyFill="1"/>
    <xf numFmtId="4" fontId="2" fillId="0" borderId="0" xfId="390" applyNumberFormat="1" applyFill="1"/>
    <xf numFmtId="0" fontId="2" fillId="0" borderId="0" xfId="390" applyFont="1"/>
    <xf numFmtId="0" fontId="2" fillId="0" borderId="0" xfId="378" applyFill="1"/>
    <xf numFmtId="44" fontId="2" fillId="0" borderId="0" xfId="10" applyFont="1" applyFill="1"/>
    <xf numFmtId="43" fontId="2" fillId="0" borderId="0" xfId="390" applyNumberForma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37" fontId="11" fillId="0" borderId="0" xfId="4" applyNumberFormat="1" applyFont="1" applyAlignment="1" applyProtection="1">
      <alignment horizontal="center"/>
    </xf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/>
    <xf numFmtId="166" fontId="11" fillId="0" borderId="0" xfId="1" applyNumberFormat="1" applyFont="1" applyFill="1" applyAlignment="1">
      <alignment horizontal="left" indent="2"/>
    </xf>
    <xf numFmtId="166" fontId="11" fillId="5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49" fillId="0" borderId="0" xfId="391" applyNumberFormat="1" applyFont="1" applyFill="1"/>
    <xf numFmtId="41" fontId="49" fillId="0" borderId="0" xfId="391" applyNumberFormat="1" applyFont="1" applyFill="1"/>
    <xf numFmtId="0" fontId="49" fillId="0" borderId="0" xfId="391" applyNumberFormat="1" applyFont="1" applyFill="1" applyBorder="1"/>
    <xf numFmtId="0" fontId="49" fillId="0" borderId="0" xfId="391" applyNumberFormat="1" applyFont="1" applyFill="1" applyBorder="1" applyAlignment="1">
      <alignment horizontal="center"/>
    </xf>
    <xf numFmtId="0" fontId="60" fillId="0" borderId="0" xfId="391" applyNumberFormat="1" applyFont="1" applyFill="1"/>
    <xf numFmtId="37" fontId="49" fillId="0" borderId="0" xfId="391" applyNumberFormat="1" applyFont="1" applyFill="1"/>
    <xf numFmtId="172" fontId="65" fillId="40" borderId="35" xfId="391" applyNumberFormat="1" applyFont="1" applyFill="1" applyBorder="1"/>
    <xf numFmtId="166" fontId="65" fillId="0" borderId="0" xfId="1" applyNumberFormat="1" applyFont="1" applyFill="1" applyBorder="1"/>
    <xf numFmtId="43" fontId="65" fillId="0" borderId="0" xfId="1" applyFont="1" applyFill="1" applyBorder="1"/>
    <xf numFmtId="43" fontId="65" fillId="0" borderId="0" xfId="391" applyNumberFormat="1" applyFont="1" applyFill="1" applyBorder="1"/>
    <xf numFmtId="3" fontId="65" fillId="40" borderId="35" xfId="391" applyNumberFormat="1" applyFont="1" applyFill="1" applyBorder="1"/>
    <xf numFmtId="37" fontId="66" fillId="0" borderId="0" xfId="391" applyNumberFormat="1" applyFont="1" applyFill="1"/>
    <xf numFmtId="37" fontId="67" fillId="0" borderId="0" xfId="391" applyNumberFormat="1" applyFont="1" applyFill="1"/>
    <xf numFmtId="172" fontId="49" fillId="0" borderId="0" xfId="391" applyNumberFormat="1" applyFont="1" applyFill="1"/>
    <xf numFmtId="0" fontId="49" fillId="0" borderId="34" xfId="391" applyNumberFormat="1" applyFont="1" applyFill="1" applyBorder="1"/>
    <xf numFmtId="37" fontId="65" fillId="40" borderId="35" xfId="391" applyNumberFormat="1" applyFont="1" applyFill="1" applyBorder="1"/>
    <xf numFmtId="37" fontId="49" fillId="0" borderId="34" xfId="391" applyNumberFormat="1" applyFont="1" applyFill="1" applyBorder="1"/>
    <xf numFmtId="37" fontId="65" fillId="40" borderId="36" xfId="391" applyNumberFormat="1" applyFont="1" applyFill="1" applyBorder="1" applyAlignment="1"/>
    <xf numFmtId="37" fontId="65" fillId="40" borderId="36" xfId="391" applyNumberFormat="1" applyFont="1" applyFill="1" applyBorder="1"/>
    <xf numFmtId="41" fontId="49" fillId="0" borderId="34" xfId="391" applyNumberFormat="1" applyFont="1" applyFill="1" applyBorder="1"/>
    <xf numFmtId="0" fontId="49" fillId="0" borderId="37" xfId="391" applyNumberFormat="1" applyFont="1" applyFill="1" applyBorder="1"/>
    <xf numFmtId="10" fontId="49" fillId="0" borderId="0" xfId="3" applyNumberFormat="1" applyFont="1" applyFill="1"/>
    <xf numFmtId="166" fontId="65" fillId="40" borderId="36" xfId="1" applyNumberFormat="1" applyFont="1" applyFill="1" applyBorder="1" applyAlignment="1">
      <alignment horizontal="center"/>
    </xf>
    <xf numFmtId="166" fontId="65" fillId="40" borderId="35" xfId="1" applyNumberFormat="1" applyFont="1" applyFill="1" applyBorder="1" applyAlignment="1">
      <alignment horizontal="center"/>
    </xf>
    <xf numFmtId="0" fontId="49" fillId="0" borderId="38" xfId="391" applyNumberFormat="1" applyFont="1" applyFill="1" applyBorder="1"/>
    <xf numFmtId="0" fontId="49" fillId="0" borderId="0" xfId="391" applyNumberFormat="1" applyFont="1" applyFill="1" applyAlignment="1">
      <alignment horizontal="right"/>
    </xf>
    <xf numFmtId="44" fontId="65" fillId="41" borderId="39" xfId="2" applyFont="1" applyFill="1" applyBorder="1"/>
    <xf numFmtId="168" fontId="65" fillId="41" borderId="35" xfId="391" applyNumberFormat="1" applyFont="1" applyFill="1" applyBorder="1"/>
    <xf numFmtId="37" fontId="49" fillId="0" borderId="0" xfId="391" applyNumberFormat="1" applyFont="1" applyFill="1" applyBorder="1"/>
    <xf numFmtId="41" fontId="49" fillId="0" borderId="0" xfId="391" applyNumberFormat="1" applyFont="1" applyFill="1" applyBorder="1"/>
    <xf numFmtId="0" fontId="49" fillId="0" borderId="0" xfId="391" applyNumberFormat="1" applyFont="1" applyFill="1" applyBorder="1" applyAlignment="1">
      <alignment horizontal="right"/>
    </xf>
    <xf numFmtId="168" fontId="49" fillId="4" borderId="40" xfId="391" applyNumberFormat="1" applyFont="1" applyFill="1" applyBorder="1"/>
    <xf numFmtId="0" fontId="60" fillId="0" borderId="0" xfId="391" applyNumberFormat="1" applyFont="1" applyFill="1" applyBorder="1"/>
    <xf numFmtId="166" fontId="49" fillId="0" borderId="0" xfId="1" applyNumberFormat="1" applyFont="1" applyFill="1" applyAlignment="1">
      <alignment horizontal="center"/>
    </xf>
    <xf numFmtId="166" fontId="67" fillId="0" borderId="0" xfId="1" applyNumberFormat="1" applyFont="1" applyFill="1" applyAlignment="1">
      <alignment horizontal="center"/>
    </xf>
    <xf numFmtId="44" fontId="65" fillId="40" borderId="39" xfId="2" applyFont="1" applyFill="1" applyBorder="1"/>
    <xf numFmtId="0" fontId="49" fillId="0" borderId="2" xfId="391" applyNumberFormat="1" applyFont="1" applyFill="1" applyBorder="1"/>
    <xf numFmtId="37" fontId="68" fillId="0" borderId="2" xfId="391" applyNumberFormat="1" applyFont="1" applyFill="1" applyBorder="1"/>
    <xf numFmtId="166" fontId="68" fillId="0" borderId="2" xfId="1" applyNumberFormat="1" applyFont="1" applyFill="1" applyBorder="1"/>
    <xf numFmtId="41" fontId="68" fillId="0" borderId="2" xfId="391" applyNumberFormat="1" applyFont="1" applyFill="1" applyBorder="1"/>
    <xf numFmtId="165" fontId="65" fillId="40" borderId="35" xfId="2" applyNumberFormat="1" applyFont="1" applyFill="1" applyBorder="1"/>
    <xf numFmtId="0" fontId="49" fillId="0" borderId="41" xfId="391" applyNumberFormat="1" applyFont="1" applyFill="1" applyBorder="1"/>
    <xf numFmtId="0" fontId="49" fillId="0" borderId="0" xfId="391" applyNumberFormat="1" applyFont="1" applyFill="1" applyAlignment="1">
      <alignment horizontal="center"/>
    </xf>
    <xf numFmtId="2" fontId="49" fillId="0" borderId="0" xfId="391" applyNumberFormat="1" applyFont="1" applyFill="1" applyAlignment="1">
      <alignment horizontal="center"/>
    </xf>
    <xf numFmtId="41" fontId="49" fillId="0" borderId="0" xfId="391" applyNumberFormat="1" applyFont="1" applyFill="1" applyAlignment="1">
      <alignment horizontal="center"/>
    </xf>
    <xf numFmtId="0" fontId="49" fillId="42" borderId="42" xfId="391" applyNumberFormat="1" applyFont="1" applyFill="1" applyBorder="1"/>
    <xf numFmtId="0" fontId="49" fillId="42" borderId="40" xfId="391" applyNumberFormat="1" applyFont="1" applyFill="1" applyBorder="1"/>
    <xf numFmtId="0" fontId="49" fillId="0" borderId="42" xfId="391" applyNumberFormat="1" applyFont="1" applyFill="1" applyBorder="1"/>
    <xf numFmtId="0" fontId="49" fillId="42" borderId="40" xfId="391" applyNumberFormat="1" applyFont="1" applyFill="1" applyBorder="1" applyAlignment="1">
      <alignment horizontal="center"/>
    </xf>
    <xf numFmtId="0" fontId="60" fillId="42" borderId="40" xfId="391" applyNumberFormat="1" applyFont="1" applyFill="1" applyBorder="1" applyAlignment="1">
      <alignment horizontal="center"/>
    </xf>
    <xf numFmtId="0" fontId="49" fillId="0" borderId="40" xfId="391" applyNumberFormat="1" applyFont="1" applyFill="1" applyBorder="1" applyAlignment="1">
      <alignment horizontal="center"/>
    </xf>
    <xf numFmtId="37" fontId="49" fillId="0" borderId="0" xfId="391" applyNumberFormat="1" applyFont="1" applyFill="1" applyAlignment="1">
      <alignment horizontal="center"/>
    </xf>
    <xf numFmtId="0" fontId="65" fillId="41" borderId="35" xfId="391" applyNumberFormat="1" applyFont="1" applyFill="1" applyBorder="1" applyAlignment="1">
      <alignment horizontal="center"/>
    </xf>
    <xf numFmtId="0" fontId="49" fillId="42" borderId="43" xfId="391" applyNumberFormat="1" applyFont="1" applyFill="1" applyBorder="1"/>
    <xf numFmtId="0" fontId="60" fillId="42" borderId="43" xfId="391" applyNumberFormat="1" applyFont="1" applyFill="1" applyBorder="1" applyAlignment="1">
      <alignment horizontal="center"/>
    </xf>
    <xf numFmtId="0" fontId="49" fillId="0" borderId="43" xfId="391" applyNumberFormat="1" applyFont="1" applyFill="1" applyBorder="1"/>
    <xf numFmtId="0" fontId="49" fillId="0" borderId="43" xfId="391" applyNumberFormat="1" applyFont="1" applyFill="1" applyBorder="1" applyAlignment="1">
      <alignment horizontal="center"/>
    </xf>
    <xf numFmtId="37" fontId="68" fillId="0" borderId="0" xfId="391" applyNumberFormat="1" applyFont="1" applyFill="1" applyBorder="1"/>
    <xf numFmtId="41" fontId="68" fillId="0" borderId="0" xfId="391" applyNumberFormat="1" applyFont="1" applyFill="1" applyBorder="1"/>
    <xf numFmtId="0" fontId="49" fillId="0" borderId="44" xfId="391" applyNumberFormat="1" applyFont="1" applyFill="1" applyBorder="1"/>
    <xf numFmtId="0" fontId="49" fillId="0" borderId="0" xfId="4" applyFont="1" applyFill="1" applyAlignment="1">
      <alignment horizontal="left"/>
    </xf>
    <xf numFmtId="3" fontId="65" fillId="41" borderId="36" xfId="4" applyNumberFormat="1" applyFont="1" applyFill="1" applyBorder="1" applyAlignment="1">
      <alignment horizontal="center"/>
    </xf>
    <xf numFmtId="0" fontId="65" fillId="41" borderId="35" xfId="391" applyNumberFormat="1" applyFont="1" applyFill="1" applyBorder="1"/>
    <xf numFmtId="44" fontId="65" fillId="41" borderId="36" xfId="2" applyFont="1" applyFill="1" applyBorder="1" applyAlignment="1">
      <alignment horizontal="center"/>
    </xf>
    <xf numFmtId="43" fontId="66" fillId="0" borderId="0" xfId="1" applyFont="1" applyFill="1" applyProtection="1"/>
    <xf numFmtId="41" fontId="65" fillId="40" borderId="36" xfId="391" applyNumberFormat="1" applyFont="1" applyFill="1" applyBorder="1"/>
    <xf numFmtId="2" fontId="65" fillId="40" borderId="35" xfId="391" applyNumberFormat="1" applyFont="1" applyFill="1" applyBorder="1"/>
    <xf numFmtId="0" fontId="65" fillId="40" borderId="36" xfId="391" applyNumberFormat="1" applyFont="1" applyFill="1" applyBorder="1"/>
    <xf numFmtId="44" fontId="65" fillId="40" borderId="35" xfId="2" applyFont="1" applyFill="1" applyBorder="1"/>
    <xf numFmtId="44" fontId="65" fillId="40" borderId="35" xfId="391" applyNumberFormat="1" applyFont="1" applyFill="1" applyBorder="1"/>
    <xf numFmtId="164" fontId="65" fillId="40" borderId="35" xfId="391" applyNumberFormat="1" applyFont="1" applyFill="1" applyBorder="1"/>
    <xf numFmtId="164" fontId="65" fillId="40" borderId="35" xfId="2" applyNumberFormat="1" applyFont="1" applyFill="1" applyBorder="1"/>
    <xf numFmtId="0" fontId="65" fillId="40" borderId="35" xfId="391" applyNumberFormat="1" applyFont="1" applyFill="1" applyBorder="1"/>
    <xf numFmtId="164" fontId="65" fillId="40" borderId="36" xfId="391" applyNumberFormat="1" applyFont="1" applyFill="1" applyBorder="1"/>
    <xf numFmtId="171" fontId="65" fillId="40" borderId="35" xfId="3" applyNumberFormat="1" applyFont="1" applyFill="1" applyBorder="1"/>
    <xf numFmtId="44" fontId="69" fillId="40" borderId="35" xfId="391" applyNumberFormat="1" applyFont="1" applyFill="1" applyBorder="1"/>
    <xf numFmtId="0" fontId="60" fillId="0" borderId="0" xfId="4" applyFont="1" applyFill="1" applyAlignment="1">
      <alignment horizontal="left"/>
    </xf>
    <xf numFmtId="2" fontId="49" fillId="0" borderId="0" xfId="391" applyNumberFormat="1" applyFont="1" applyFill="1"/>
    <xf numFmtId="41" fontId="65" fillId="40" borderId="35" xfId="391" applyNumberFormat="1" applyFont="1" applyFill="1" applyBorder="1"/>
    <xf numFmtId="3" fontId="66" fillId="0" borderId="0" xfId="4" applyNumberFormat="1" applyFont="1" applyFill="1" applyAlignment="1">
      <alignment horizontal="center"/>
    </xf>
    <xf numFmtId="37" fontId="65" fillId="0" borderId="0" xfId="391" applyNumberFormat="1" applyFont="1" applyFill="1" applyBorder="1"/>
    <xf numFmtId="41" fontId="65" fillId="0" borderId="0" xfId="391" applyNumberFormat="1" applyFont="1" applyFill="1" applyBorder="1"/>
    <xf numFmtId="2" fontId="65" fillId="0" borderId="0" xfId="391" applyNumberFormat="1" applyFont="1" applyFill="1" applyBorder="1"/>
    <xf numFmtId="0" fontId="65" fillId="0" borderId="0" xfId="391" applyNumberFormat="1" applyFont="1" applyFill="1" applyBorder="1"/>
    <xf numFmtId="44" fontId="65" fillId="0" borderId="0" xfId="2" applyFont="1" applyFill="1" applyBorder="1"/>
    <xf numFmtId="44" fontId="65" fillId="0" borderId="0" xfId="391" applyNumberFormat="1" applyFont="1" applyFill="1" applyBorder="1"/>
    <xf numFmtId="164" fontId="65" fillId="0" borderId="0" xfId="391" applyNumberFormat="1" applyFont="1" applyFill="1" applyBorder="1"/>
    <xf numFmtId="164" fontId="65" fillId="0" borderId="0" xfId="2" applyNumberFormat="1" applyFont="1" applyFill="1" applyBorder="1"/>
    <xf numFmtId="171" fontId="65" fillId="0" borderId="0" xfId="3" applyNumberFormat="1" applyFont="1" applyFill="1" applyBorder="1"/>
    <xf numFmtId="0" fontId="66" fillId="0" borderId="0" xfId="391" applyFont="1" applyFill="1" applyAlignment="1">
      <alignment horizontal="center"/>
    </xf>
    <xf numFmtId="43" fontId="49" fillId="0" borderId="0" xfId="1" applyFont="1" applyFill="1"/>
    <xf numFmtId="41" fontId="65" fillId="40" borderId="35" xfId="1" applyNumberFormat="1" applyFont="1" applyFill="1" applyBorder="1"/>
    <xf numFmtId="43" fontId="65" fillId="40" borderId="35" xfId="391" applyNumberFormat="1" applyFont="1" applyFill="1" applyBorder="1"/>
    <xf numFmtId="39" fontId="66" fillId="0" borderId="0" xfId="391" applyNumberFormat="1" applyFont="1" applyFill="1" applyAlignment="1" applyProtection="1">
      <alignment horizontal="center"/>
    </xf>
    <xf numFmtId="10" fontId="49" fillId="0" borderId="38" xfId="3" applyNumberFormat="1" applyFont="1" applyFill="1" applyBorder="1"/>
    <xf numFmtId="0" fontId="60" fillId="0" borderId="2" xfId="391" applyNumberFormat="1" applyFont="1" applyFill="1" applyBorder="1"/>
    <xf numFmtId="41" fontId="60" fillId="0" borderId="2" xfId="391" applyNumberFormat="1" applyFont="1" applyFill="1" applyBorder="1"/>
    <xf numFmtId="37" fontId="60" fillId="0" borderId="2" xfId="391" applyNumberFormat="1" applyFont="1" applyFill="1" applyBorder="1"/>
    <xf numFmtId="0" fontId="60" fillId="0" borderId="41" xfId="391" applyNumberFormat="1" applyFont="1" applyFill="1" applyBorder="1"/>
    <xf numFmtId="0" fontId="70" fillId="0" borderId="0" xfId="391" applyNumberFormat="1" applyFont="1" applyFill="1" applyAlignment="1">
      <alignment horizontal="left"/>
    </xf>
    <xf numFmtId="44" fontId="49" fillId="0" borderId="0" xfId="2" applyFont="1" applyFill="1"/>
    <xf numFmtId="0" fontId="49" fillId="0" borderId="0" xfId="0" applyFont="1" applyFill="1"/>
    <xf numFmtId="0" fontId="65" fillId="41" borderId="36" xfId="391" applyFont="1" applyFill="1" applyBorder="1" applyAlignment="1">
      <alignment horizontal="center"/>
    </xf>
    <xf numFmtId="37" fontId="71" fillId="40" borderId="36" xfId="4" applyNumberFormat="1" applyFont="1" applyFill="1" applyBorder="1" applyAlignment="1" applyProtection="1"/>
    <xf numFmtId="0" fontId="65" fillId="41" borderId="36" xfId="391" applyNumberFormat="1" applyFont="1" applyFill="1" applyBorder="1"/>
    <xf numFmtId="43" fontId="65" fillId="40" borderId="36" xfId="1" applyFont="1" applyFill="1" applyBorder="1"/>
    <xf numFmtId="1" fontId="65" fillId="40" borderId="36" xfId="391" applyNumberFormat="1" applyFont="1" applyFill="1" applyBorder="1" applyAlignment="1">
      <alignment horizontal="center"/>
    </xf>
    <xf numFmtId="43" fontId="65" fillId="40" borderId="36" xfId="1" applyFont="1" applyFill="1" applyBorder="1" applyProtection="1"/>
    <xf numFmtId="173" fontId="65" fillId="40" borderId="35" xfId="391" applyNumberFormat="1" applyFont="1" applyFill="1" applyBorder="1"/>
    <xf numFmtId="2" fontId="65" fillId="40" borderId="36" xfId="391" applyNumberFormat="1" applyFont="1" applyFill="1" applyBorder="1"/>
    <xf numFmtId="0" fontId="65" fillId="40" borderId="36" xfId="391" applyFont="1" applyFill="1" applyBorder="1" applyAlignment="1">
      <alignment horizontal="center"/>
    </xf>
    <xf numFmtId="166" fontId="65" fillId="41" borderId="36" xfId="391" applyNumberFormat="1" applyFont="1" applyFill="1" applyBorder="1"/>
    <xf numFmtId="166" fontId="65" fillId="40" borderId="36" xfId="1" applyNumberFormat="1" applyFont="1" applyFill="1" applyBorder="1"/>
    <xf numFmtId="1" fontId="65" fillId="41" borderId="36" xfId="391" applyNumberFormat="1" applyFont="1" applyFill="1" applyBorder="1" applyAlignment="1">
      <alignment horizontal="center"/>
    </xf>
    <xf numFmtId="37" fontId="65" fillId="40" borderId="39" xfId="391" applyNumberFormat="1" applyFont="1" applyFill="1" applyBorder="1"/>
    <xf numFmtId="37" fontId="65" fillId="40" borderId="45" xfId="391" applyNumberFormat="1" applyFont="1" applyFill="1" applyBorder="1"/>
    <xf numFmtId="43" fontId="65" fillId="40" borderId="45" xfId="1" applyFont="1" applyFill="1" applyBorder="1" applyProtection="1"/>
    <xf numFmtId="173" fontId="65" fillId="40" borderId="39" xfId="391" applyNumberFormat="1" applyFont="1" applyFill="1" applyBorder="1"/>
    <xf numFmtId="0" fontId="65" fillId="40" borderId="39" xfId="391" applyNumberFormat="1" applyFont="1" applyFill="1" applyBorder="1"/>
    <xf numFmtId="37" fontId="49" fillId="0" borderId="0" xfId="391" applyNumberFormat="1" applyFont="1" applyFill="1" applyAlignment="1" applyProtection="1">
      <alignment horizontal="center"/>
    </xf>
    <xf numFmtId="4" fontId="66" fillId="0" borderId="0" xfId="4" applyNumberFormat="1" applyFont="1" applyFill="1" applyAlignment="1" applyProtection="1">
      <alignment horizontal="center"/>
    </xf>
    <xf numFmtId="37" fontId="65" fillId="0" borderId="35" xfId="391" applyNumberFormat="1" applyFont="1" applyFill="1" applyBorder="1"/>
    <xf numFmtId="174" fontId="65" fillId="0" borderId="46" xfId="391" applyNumberFormat="1" applyFont="1" applyFill="1" applyBorder="1" applyProtection="1"/>
    <xf numFmtId="41" fontId="65" fillId="0" borderId="35" xfId="391" applyNumberFormat="1" applyFont="1" applyFill="1" applyBorder="1"/>
    <xf numFmtId="2" fontId="65" fillId="0" borderId="35" xfId="391" applyNumberFormat="1" applyFont="1" applyFill="1" applyBorder="1"/>
    <xf numFmtId="0" fontId="65" fillId="0" borderId="35" xfId="391" applyNumberFormat="1" applyFont="1" applyFill="1" applyBorder="1"/>
    <xf numFmtId="0" fontId="49" fillId="0" borderId="0" xfId="4" applyFont="1" applyFill="1" applyBorder="1" applyAlignment="1" applyProtection="1">
      <alignment horizontal="center"/>
    </xf>
    <xf numFmtId="1" fontId="65" fillId="40" borderId="35" xfId="391" applyNumberFormat="1" applyFont="1" applyFill="1" applyBorder="1" applyAlignment="1">
      <alignment horizontal="center"/>
    </xf>
    <xf numFmtId="37" fontId="65" fillId="0" borderId="0" xfId="391" applyNumberFormat="1" applyFont="1" applyFill="1" applyBorder="1" applyAlignment="1" applyProtection="1">
      <alignment horizontal="center"/>
    </xf>
    <xf numFmtId="37" fontId="65" fillId="40" borderId="46" xfId="391" applyNumberFormat="1" applyFont="1" applyFill="1" applyBorder="1"/>
    <xf numFmtId="164" fontId="65" fillId="40" borderId="39" xfId="2" applyNumberFormat="1" applyFont="1" applyFill="1" applyBorder="1"/>
    <xf numFmtId="174" fontId="66" fillId="0" borderId="0" xfId="391" applyNumberFormat="1" applyFont="1" applyFill="1" applyProtection="1"/>
    <xf numFmtId="0" fontId="60" fillId="0" borderId="1" xfId="4" applyFont="1" applyFill="1" applyBorder="1" applyProtection="1"/>
    <xf numFmtId="0" fontId="70" fillId="0" borderId="0" xfId="4" applyFont="1" applyFill="1" applyBorder="1" applyAlignment="1" applyProtection="1">
      <alignment horizontal="center"/>
    </xf>
    <xf numFmtId="43" fontId="65" fillId="40" borderId="35" xfId="1" applyFont="1" applyFill="1" applyBorder="1" applyProtection="1"/>
    <xf numFmtId="1" fontId="65" fillId="41" borderId="36" xfId="391" applyNumberFormat="1" applyFont="1" applyFill="1" applyBorder="1"/>
    <xf numFmtId="37" fontId="65" fillId="41" borderId="36" xfId="391" applyNumberFormat="1" applyFont="1" applyFill="1" applyBorder="1" applyAlignment="1" applyProtection="1">
      <alignment horizontal="center"/>
    </xf>
    <xf numFmtId="174" fontId="65" fillId="40" borderId="35" xfId="391" applyNumberFormat="1" applyFont="1" applyFill="1" applyBorder="1" applyProtection="1"/>
    <xf numFmtId="0" fontId="49" fillId="0" borderId="0" xfId="4" applyFont="1" applyFill="1"/>
    <xf numFmtId="0" fontId="65" fillId="41" borderId="45" xfId="391" applyFont="1" applyFill="1" applyBorder="1" applyAlignment="1">
      <alignment horizontal="center"/>
    </xf>
    <xf numFmtId="37" fontId="65" fillId="40" borderId="45" xfId="391" applyNumberFormat="1" applyFont="1" applyFill="1" applyBorder="1" applyAlignment="1" applyProtection="1">
      <alignment horizontal="center"/>
    </xf>
    <xf numFmtId="0" fontId="65" fillId="41" borderId="45" xfId="391" applyNumberFormat="1" applyFont="1" applyFill="1" applyBorder="1"/>
    <xf numFmtId="0" fontId="65" fillId="41" borderId="39" xfId="391" applyFont="1" applyFill="1" applyBorder="1" applyAlignment="1">
      <alignment horizontal="center"/>
    </xf>
    <xf numFmtId="37" fontId="65" fillId="40" borderId="48" xfId="391" applyNumberFormat="1" applyFont="1" applyFill="1" applyBorder="1" applyAlignment="1" applyProtection="1">
      <alignment horizontal="center"/>
    </xf>
    <xf numFmtId="0" fontId="65" fillId="41" borderId="49" xfId="391" applyNumberFormat="1" applyFont="1" applyFill="1" applyBorder="1"/>
    <xf numFmtId="0" fontId="65" fillId="41" borderId="48" xfId="391" applyNumberFormat="1" applyFont="1" applyFill="1" applyBorder="1"/>
    <xf numFmtId="0" fontId="69" fillId="41" borderId="35" xfId="391" applyNumberFormat="1" applyFont="1" applyFill="1" applyBorder="1"/>
    <xf numFmtId="0" fontId="69" fillId="40" borderId="47" xfId="391" applyNumberFormat="1" applyFont="1" applyFill="1" applyBorder="1"/>
    <xf numFmtId="0" fontId="69" fillId="40" borderId="46" xfId="391" applyNumberFormat="1" applyFont="1" applyFill="1" applyBorder="1"/>
    <xf numFmtId="0" fontId="69" fillId="40" borderId="35" xfId="391" applyNumberFormat="1" applyFont="1" applyFill="1" applyBorder="1"/>
    <xf numFmtId="37" fontId="69" fillId="40" borderId="35" xfId="391" applyNumberFormat="1" applyFont="1" applyFill="1" applyBorder="1"/>
    <xf numFmtId="0" fontId="65" fillId="40" borderId="47" xfId="391" applyNumberFormat="1" applyFont="1" applyFill="1" applyBorder="1"/>
    <xf numFmtId="0" fontId="65" fillId="40" borderId="46" xfId="391" applyNumberFormat="1" applyFont="1" applyFill="1" applyBorder="1"/>
    <xf numFmtId="0" fontId="65" fillId="40" borderId="49" xfId="391" applyNumberFormat="1" applyFont="1" applyFill="1" applyBorder="1"/>
    <xf numFmtId="0" fontId="65" fillId="40" borderId="48" xfId="391" applyNumberFormat="1" applyFont="1" applyFill="1" applyBorder="1"/>
    <xf numFmtId="1" fontId="65" fillId="40" borderId="50" xfId="391" applyNumberFormat="1" applyFont="1" applyFill="1" applyBorder="1"/>
    <xf numFmtId="0" fontId="65" fillId="40" borderId="50" xfId="391" applyNumberFormat="1" applyFont="1" applyFill="1" applyBorder="1"/>
    <xf numFmtId="37" fontId="49" fillId="0" borderId="51" xfId="391" applyNumberFormat="1" applyFont="1" applyFill="1" applyBorder="1"/>
    <xf numFmtId="0" fontId="70" fillId="0" borderId="0" xfId="391" applyNumberFormat="1" applyFont="1" applyFill="1" applyAlignment="1">
      <alignment horizontal="center"/>
    </xf>
    <xf numFmtId="0" fontId="0" fillId="5" borderId="0" xfId="0" applyFill="1"/>
    <xf numFmtId="0" fontId="2" fillId="5" borderId="0" xfId="390" applyFill="1"/>
    <xf numFmtId="0" fontId="2" fillId="5" borderId="0" xfId="390" applyFont="1" applyFill="1"/>
    <xf numFmtId="43" fontId="2" fillId="5" borderId="0" xfId="1" applyFont="1" applyFill="1"/>
    <xf numFmtId="0" fontId="2" fillId="0" borderId="0" xfId="390" applyFont="1" applyFill="1"/>
    <xf numFmtId="0" fontId="0" fillId="0" borderId="0" xfId="0" applyFill="1"/>
    <xf numFmtId="43" fontId="2" fillId="0" borderId="0" xfId="390" applyNumberFormat="1" applyFill="1"/>
    <xf numFmtId="0" fontId="0" fillId="0" borderId="0" xfId="0" applyFont="1" applyBorder="1" applyAlignment="1">
      <alignment horizontal="left" vertical="top" indent="1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6" borderId="52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6" borderId="37" xfId="0" applyFont="1" applyFill="1" applyBorder="1"/>
    <xf numFmtId="0" fontId="0" fillId="0" borderId="53" xfId="0" applyFont="1" applyBorder="1"/>
    <xf numFmtId="166" fontId="11" fillId="0" borderId="0" xfId="373" applyNumberFormat="1" applyFont="1" applyBorder="1"/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44" fontId="11" fillId="0" borderId="38" xfId="10" applyFont="1" applyBorder="1"/>
    <xf numFmtId="0" fontId="0" fillId="0" borderId="53" xfId="0" applyFont="1" applyFill="1" applyBorder="1" applyAlignment="1">
      <alignment vertical="center" textRotation="90"/>
    </xf>
    <xf numFmtId="0" fontId="0" fillId="0" borderId="54" xfId="0" applyFont="1" applyFill="1" applyBorder="1" applyAlignment="1">
      <alignment vertical="center" textRotation="90"/>
    </xf>
    <xf numFmtId="0" fontId="0" fillId="0" borderId="1" xfId="0" applyFont="1" applyBorder="1" applyAlignment="1">
      <alignment horizontal="left"/>
    </xf>
    <xf numFmtId="0" fontId="11" fillId="0" borderId="1" xfId="274" applyFont="1" applyBorder="1" applyAlignment="1">
      <alignment horizontal="left"/>
    </xf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44" fontId="11" fillId="0" borderId="55" xfId="10" applyFont="1" applyBorder="1"/>
    <xf numFmtId="169" fontId="0" fillId="0" borderId="0" xfId="2" applyNumberFormat="1" applyFont="1" applyFill="1"/>
    <xf numFmtId="165" fontId="0" fillId="0" borderId="1" xfId="2" applyNumberFormat="1" applyFont="1" applyFill="1" applyBorder="1"/>
    <xf numFmtId="0" fontId="0" fillId="0" borderId="0" xfId="0" applyFont="1" applyFill="1"/>
    <xf numFmtId="165" fontId="0" fillId="0" borderId="0" xfId="2" applyNumberFormat="1" applyFont="1" applyFill="1"/>
    <xf numFmtId="44" fontId="0" fillId="0" borderId="0" xfId="2" applyFont="1" applyFill="1"/>
    <xf numFmtId="43" fontId="61" fillId="0" borderId="0" xfId="1" applyFont="1" applyFill="1"/>
    <xf numFmtId="37" fontId="65" fillId="40" borderId="49" xfId="391" applyNumberFormat="1" applyFont="1" applyFill="1" applyBorder="1" applyAlignment="1" applyProtection="1">
      <alignment horizontal="center"/>
    </xf>
    <xf numFmtId="1" fontId="65" fillId="40" borderId="35" xfId="391" applyNumberFormat="1" applyFont="1" applyFill="1" applyBorder="1"/>
    <xf numFmtId="0" fontId="69" fillId="41" borderId="36" xfId="391" applyNumberFormat="1" applyFont="1" applyFill="1" applyBorder="1"/>
    <xf numFmtId="43" fontId="65" fillId="40" borderId="46" xfId="1" applyFont="1" applyFill="1" applyBorder="1"/>
    <xf numFmtId="166" fontId="65" fillId="40" borderId="46" xfId="1" applyNumberFormat="1" applyFont="1" applyFill="1" applyBorder="1"/>
    <xf numFmtId="43" fontId="65" fillId="40" borderId="46" xfId="391" applyNumberFormat="1" applyFont="1" applyFill="1" applyBorder="1"/>
    <xf numFmtId="43" fontId="75" fillId="0" borderId="0" xfId="1" applyFont="1" applyFill="1" applyBorder="1"/>
    <xf numFmtId="0" fontId="0" fillId="0" borderId="0" xfId="0" applyFont="1" applyFill="1" applyBorder="1" applyAlignment="1">
      <alignment horizontal="left" vertical="center" wrapText="1"/>
    </xf>
    <xf numFmtId="168" fontId="65" fillId="40" borderId="50" xfId="391" applyNumberFormat="1" applyFont="1" applyFill="1" applyBorder="1"/>
    <xf numFmtId="166" fontId="65" fillId="41" borderId="35" xfId="1" applyNumberFormat="1" applyFont="1" applyFill="1" applyBorder="1"/>
    <xf numFmtId="41" fontId="65" fillId="40" borderId="36" xfId="1" applyNumberFormat="1" applyFont="1" applyFill="1" applyBorder="1"/>
    <xf numFmtId="166" fontId="65" fillId="40" borderId="35" xfId="1" applyNumberFormat="1" applyFont="1" applyFill="1" applyBorder="1"/>
    <xf numFmtId="43" fontId="65" fillId="40" borderId="36" xfId="391" applyNumberFormat="1" applyFont="1" applyFill="1" applyBorder="1"/>
    <xf numFmtId="43" fontId="65" fillId="40" borderId="50" xfId="391" applyNumberFormat="1" applyFont="1" applyFill="1" applyBorder="1"/>
    <xf numFmtId="43" fontId="0" fillId="5" borderId="0" xfId="1" applyNumberFormat="1" applyFont="1" applyFill="1" applyBorder="1"/>
    <xf numFmtId="166" fontId="11" fillId="0" borderId="0" xfId="373" applyNumberFormat="1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407">
    <cellStyle name="20% - Accent1 2" xfId="40"/>
    <cellStyle name="20% - Accent1 2 2" xfId="299"/>
    <cellStyle name="20% - Accent1 3" xfId="39"/>
    <cellStyle name="20% - Accent1 3 2" xfId="300"/>
    <cellStyle name="20% - Accent2 2" xfId="42"/>
    <cellStyle name="20% - Accent2 3" xfId="41"/>
    <cellStyle name="20% - Accent2 4" xfId="393"/>
    <cellStyle name="20% - Accent3 2" xfId="44"/>
    <cellStyle name="20% - Accent3 3" xfId="43"/>
    <cellStyle name="20% - Accent3 4" xfId="394"/>
    <cellStyle name="20% - Accent4 2" xfId="46"/>
    <cellStyle name="20% - Accent4 2 2" xfId="301"/>
    <cellStyle name="20% - Accent4 3" xfId="45"/>
    <cellStyle name="20% - Accent4 3 2" xfId="302"/>
    <cellStyle name="20% - Accent5 2" xfId="48"/>
    <cellStyle name="20% - Accent5 3" xfId="47"/>
    <cellStyle name="20% - Accent6 2" xfId="50"/>
    <cellStyle name="20% - Accent6 3" xfId="49"/>
    <cellStyle name="20% - Accent6 4" xfId="395"/>
    <cellStyle name="40% - Accent1 2" xfId="52"/>
    <cellStyle name="40% - Accent1 3" xfId="51"/>
    <cellStyle name="40% - Accent1 3 2" xfId="303"/>
    <cellStyle name="40% - Accent2 2" xfId="54"/>
    <cellStyle name="40% - Accent2 3" xfId="53"/>
    <cellStyle name="40% - Accent3 2" xfId="56"/>
    <cellStyle name="40% - Accent3 3" xfId="55"/>
    <cellStyle name="40% - Accent3 4" xfId="396"/>
    <cellStyle name="40% - Accent4 2" xfId="58"/>
    <cellStyle name="40% - Accent4 3" xfId="57"/>
    <cellStyle name="40% - Accent4 3 2" xfId="304"/>
    <cellStyle name="40% - Accent5 2" xfId="60"/>
    <cellStyle name="40% - Accent5 3" xfId="59"/>
    <cellStyle name="40% - Accent6 2" xfId="62"/>
    <cellStyle name="40% - Accent6 3" xfId="61"/>
    <cellStyle name="40% - Accent6 3 2" xfId="305"/>
    <cellStyle name="60% - Accent1 2" xfId="64"/>
    <cellStyle name="60% - Accent1 2 2" xfId="306"/>
    <cellStyle name="60% - Accent1 3" xfId="63"/>
    <cellStyle name="60% - Accent1 3 2" xfId="307"/>
    <cellStyle name="60% - Accent2 2" xfId="66"/>
    <cellStyle name="60% - Accent2 3" xfId="65"/>
    <cellStyle name="60% - Accent3 2" xfId="68"/>
    <cellStyle name="60% - Accent3 3" xfId="67"/>
    <cellStyle name="60% - Accent3 3 2" xfId="308"/>
    <cellStyle name="60% - Accent4 2" xfId="70"/>
    <cellStyle name="60% - Accent4 3" xfId="69"/>
    <cellStyle name="60% - Accent4 3 2" xfId="309"/>
    <cellStyle name="60% - Accent5 2" xfId="72"/>
    <cellStyle name="60% - Accent5 2 2" xfId="310"/>
    <cellStyle name="60% - Accent5 3" xfId="71"/>
    <cellStyle name="60% - Accent6 2" xfId="74"/>
    <cellStyle name="60% - Accent6 3" xfId="73"/>
    <cellStyle name="60% - Accent6 4" xfId="397"/>
    <cellStyle name="Accent1 2" xfId="76"/>
    <cellStyle name="Accent1 2 2" xfId="311"/>
    <cellStyle name="Accent1 3" xfId="75"/>
    <cellStyle name="Accent1 3 2" xfId="312"/>
    <cellStyle name="Accent2 2" xfId="78"/>
    <cellStyle name="Accent2 3" xfId="77"/>
    <cellStyle name="Accent3 2" xfId="80"/>
    <cellStyle name="Accent3 2 2" xfId="313"/>
    <cellStyle name="Accent3 3" xfId="79"/>
    <cellStyle name="Accent4 2" xfId="82"/>
    <cellStyle name="Accent4 3" xfId="81"/>
    <cellStyle name="Accent4 4" xfId="398"/>
    <cellStyle name="Accent5 2" xfId="84"/>
    <cellStyle name="Accent5 3" xfId="83"/>
    <cellStyle name="Accent6 2" xfId="86"/>
    <cellStyle name="Accent6 2 2" xfId="314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5"/>
    <cellStyle name="Calculation 3" xfId="97"/>
    <cellStyle name="Calculation 3 2" xfId="316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7"/>
    <cellStyle name="Comma 18" xfId="318"/>
    <cellStyle name="Comma 19" xfId="319"/>
    <cellStyle name="Comma 2" xfId="5"/>
    <cellStyle name="Comma 2 2" xfId="6"/>
    <cellStyle name="Comma 2 2 2" xfId="320"/>
    <cellStyle name="Comma 2 3" xfId="105"/>
    <cellStyle name="Comma 2 4" xfId="321"/>
    <cellStyle name="Comma 2 6" xfId="7"/>
    <cellStyle name="Comma 2 6 2" xfId="8"/>
    <cellStyle name="Comma 20" xfId="370"/>
    <cellStyle name="Comma 21" xfId="399"/>
    <cellStyle name="Comma 3" xfId="9"/>
    <cellStyle name="Comma 3 2" xfId="106"/>
    <cellStyle name="Comma 3 2 2" xfId="107"/>
    <cellStyle name="Comma 3 3" xfId="287"/>
    <cellStyle name="Comma 3 4" xfId="322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4"/>
    <cellStyle name="Currency 11" xfId="371"/>
    <cellStyle name="Currency 12" xfId="400"/>
    <cellStyle name="Currency 2" xfId="10"/>
    <cellStyle name="Currency 2 2" xfId="11"/>
    <cellStyle name="Currency 2 2 2" xfId="123"/>
    <cellStyle name="Currency 2 3" xfId="122"/>
    <cellStyle name="Currency 2 3 2" xfId="325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6"/>
    <cellStyle name="Currency 9" xfId="327"/>
    <cellStyle name="Data Enter" xfId="126"/>
    <cellStyle name="date" xfId="328"/>
    <cellStyle name="Explanatory Text 2" xfId="128"/>
    <cellStyle name="Explanatory Text 3" xfId="127"/>
    <cellStyle name="FactSheet" xfId="129"/>
    <cellStyle name="fish" xfId="329"/>
    <cellStyle name="Good 2" xfId="131"/>
    <cellStyle name="Good 3" xfId="130"/>
    <cellStyle name="Heading 1 2" xfId="133"/>
    <cellStyle name="Heading 1 2 2" xfId="330"/>
    <cellStyle name="Heading 1 3" xfId="132"/>
    <cellStyle name="Heading 1 3 2" xfId="331"/>
    <cellStyle name="Heading 2 2" xfId="135"/>
    <cellStyle name="Heading 2 2 2" xfId="332"/>
    <cellStyle name="Heading 2 3" xfId="134"/>
    <cellStyle name="Heading 2 3 2" xfId="333"/>
    <cellStyle name="Heading 3 2" xfId="137"/>
    <cellStyle name="Heading 3 2 2" xfId="334"/>
    <cellStyle name="Heading 3 3" xfId="136"/>
    <cellStyle name="Heading 3 3 2" xfId="335"/>
    <cellStyle name="Heading 4 2" xfId="139"/>
    <cellStyle name="Heading 4 3" xfId="138"/>
    <cellStyle name="Heading 4 4" xfId="401"/>
    <cellStyle name="Hyperlink 2" xfId="140"/>
    <cellStyle name="Hyperlink 3" xfId="141"/>
    <cellStyle name="Hyperlink 3 2" xfId="295"/>
    <cellStyle name="Input 2" xfId="143"/>
    <cellStyle name="Input 3" xfId="142"/>
    <cellStyle name="Input 4" xfId="402"/>
    <cellStyle name="input(0)" xfId="144"/>
    <cellStyle name="Input(2)" xfId="145"/>
    <cellStyle name="Linked Cell 2" xfId="147"/>
    <cellStyle name="Linked Cell 2 2" xfId="336"/>
    <cellStyle name="Linked Cell 3" xfId="146"/>
    <cellStyle name="Neutral 2" xfId="149"/>
    <cellStyle name="Neutral 2 2" xfId="337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39"/>
    <cellStyle name="Normal 10 2 3" xfId="338"/>
    <cellStyle name="Normal 10_2112 DF Schedule" xfId="340"/>
    <cellStyle name="Normal 100" xfId="380"/>
    <cellStyle name="Normal 101" xfId="382"/>
    <cellStyle name="Normal 102" xfId="383"/>
    <cellStyle name="Normal 103" xfId="384"/>
    <cellStyle name="Normal 104" xfId="385"/>
    <cellStyle name="Normal 105" xfId="381"/>
    <cellStyle name="Normal 106" xfId="386"/>
    <cellStyle name="Normal 107" xfId="387"/>
    <cellStyle name="Normal 108" xfId="388"/>
    <cellStyle name="Normal 109" xfId="392"/>
    <cellStyle name="Normal 11" xfId="157"/>
    <cellStyle name="Normal 12" xfId="158"/>
    <cellStyle name="Normal 12 2" xfId="341"/>
    <cellStyle name="Normal 13" xfId="159"/>
    <cellStyle name="Normal 13 2" xfId="342"/>
    <cellStyle name="Normal 14" xfId="160"/>
    <cellStyle name="Normal 14 2" xfId="343"/>
    <cellStyle name="Normal 15" xfId="161"/>
    <cellStyle name="Normal 15 2" xfId="344"/>
    <cellStyle name="Normal 16" xfId="162"/>
    <cellStyle name="Normal 16 2" xfId="345"/>
    <cellStyle name="Normal 17" xfId="163"/>
    <cellStyle name="Normal 17 2" xfId="346"/>
    <cellStyle name="Normal 18" xfId="164"/>
    <cellStyle name="Normal 18 2" xfId="347"/>
    <cellStyle name="Normal 19" xfId="165"/>
    <cellStyle name="Normal 19 2" xfId="348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49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0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369"/>
    <cellStyle name="Normal 93" xfId="373"/>
    <cellStyle name="Normal 94" xfId="374"/>
    <cellStyle name="Normal 95" xfId="375"/>
    <cellStyle name="Normal 96" xfId="376"/>
    <cellStyle name="Normal 97" xfId="377"/>
    <cellStyle name="Normal 98" xfId="378"/>
    <cellStyle name="Normal 99" xfId="379"/>
    <cellStyle name="Normal_Book3" xfId="389"/>
    <cellStyle name="Normal_CostStudyTCII" xfId="391"/>
    <cellStyle name="Normal_Price out" xfId="4"/>
    <cellStyle name="Normal_Sheet1" xfId="390"/>
    <cellStyle name="Note 2" xfId="246"/>
    <cellStyle name="Note 2 2" xfId="351"/>
    <cellStyle name="Note 3" xfId="245"/>
    <cellStyle name="Note 3 2" xfId="352"/>
    <cellStyle name="Note 4" xfId="403"/>
    <cellStyle name="Notes" xfId="247"/>
    <cellStyle name="Output 2" xfId="249"/>
    <cellStyle name="Output 3" xfId="248"/>
    <cellStyle name="Output 4" xfId="404"/>
    <cellStyle name="Percent" xfId="3" builtinId="5"/>
    <cellStyle name="Percent 10" xfId="405"/>
    <cellStyle name="Percent 2" xfId="24"/>
    <cellStyle name="Percent 2 2" xfId="25"/>
    <cellStyle name="Percent 2 2 2" xfId="251"/>
    <cellStyle name="Percent 2 3" xfId="353"/>
    <cellStyle name="Percent 2 6" xfId="26"/>
    <cellStyle name="Percent 3" xfId="27"/>
    <cellStyle name="Percent 3 2" xfId="28"/>
    <cellStyle name="Percent 4" xfId="29"/>
    <cellStyle name="Percent 4 2" xfId="355"/>
    <cellStyle name="Percent 4 3" xfId="354"/>
    <cellStyle name="Percent 5" xfId="253"/>
    <cellStyle name="Percent 6" xfId="254"/>
    <cellStyle name="Percent 7" xfId="250"/>
    <cellStyle name="Percent 7 2" xfId="275"/>
    <cellStyle name="Percent 7 3" xfId="356"/>
    <cellStyle name="Percent 8" xfId="357"/>
    <cellStyle name="Percent 9" xfId="372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58"/>
    <cellStyle name="STYL1 - Style2" xfId="359"/>
    <cellStyle name="STYL2 - Style3" xfId="360"/>
    <cellStyle name="STYL3 - Style4" xfId="361"/>
    <cellStyle name="STYL4 - Style5" xfId="362"/>
    <cellStyle name="STYL5 - Style6" xfId="363"/>
    <cellStyle name="STYL6 - Style7" xfId="364"/>
    <cellStyle name="STYL7 - Style8" xfId="365"/>
    <cellStyle name="Style 1" xfId="261"/>
    <cellStyle name="Style 1 2" xfId="262"/>
    <cellStyle name="STYLE1" xfId="263"/>
    <cellStyle name="sub heading" xfId="366"/>
    <cellStyle name="Title 2" xfId="265"/>
    <cellStyle name="Title 3" xfId="264"/>
    <cellStyle name="title 4" xfId="406"/>
    <cellStyle name="Total 2" xfId="267"/>
    <cellStyle name="Total 2 2" xfId="367"/>
    <cellStyle name="Total 3" xfId="266"/>
    <cellStyle name="Total 3 2" xfId="368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medi\AppData\Local\Microsoft\Windows\Temporary%20Internet%20Files\Content.Outlook\QUL3GDTI\Company%20Filed\TG-161214%20-%20R_ED%20-%20Bellevue%20Disposal%20Incre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Disposal"/>
      <sheetName val="Yardwaste Analysis"/>
      <sheetName val="Roll Off Average Cost"/>
    </sheetNames>
    <sheetDataSet>
      <sheetData sheetId="0"/>
      <sheetData sheetId="1">
        <row r="58">
          <cell r="R58">
            <v>2751.5933201199632</v>
          </cell>
        </row>
        <row r="63">
          <cell r="R63">
            <v>6602.9066731263492</v>
          </cell>
        </row>
        <row r="69">
          <cell r="R69">
            <v>1252.4191300000002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0" zoomScaleNormal="100" workbookViewId="0">
      <selection activeCell="B21" sqref="B21:B22"/>
    </sheetView>
  </sheetViews>
  <sheetFormatPr defaultColWidth="9.140625" defaultRowHeight="15"/>
  <cols>
    <col min="1" max="1" width="36.285156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372" t="s">
        <v>19</v>
      </c>
      <c r="B1" s="372"/>
      <c r="C1" s="372"/>
      <c r="D1" s="372"/>
      <c r="E1" s="372"/>
      <c r="F1" s="372"/>
      <c r="G1" s="372"/>
      <c r="H1" s="372"/>
    </row>
    <row r="2" spans="1:8">
      <c r="A2" s="3" t="s">
        <v>64</v>
      </c>
      <c r="B2" s="12" t="s">
        <v>50</v>
      </c>
      <c r="C2" s="12" t="s">
        <v>51</v>
      </c>
      <c r="D2" s="12" t="s">
        <v>52</v>
      </c>
      <c r="E2" s="13" t="s">
        <v>55</v>
      </c>
      <c r="F2" s="13" t="s">
        <v>56</v>
      </c>
      <c r="G2" s="13" t="s">
        <v>57</v>
      </c>
      <c r="H2" s="12" t="s">
        <v>60</v>
      </c>
    </row>
    <row r="3" spans="1:8">
      <c r="A3" s="3" t="s">
        <v>61</v>
      </c>
      <c r="B3" s="1">
        <f>52*5/12</f>
        <v>21.666666666666668</v>
      </c>
      <c r="C3" s="14">
        <f>$B$3*2</f>
        <v>43.333333333333336</v>
      </c>
      <c r="D3" s="14">
        <f>$B$3*3</f>
        <v>65</v>
      </c>
      <c r="E3" s="14">
        <f>$B$3*4</f>
        <v>86.666666666666671</v>
      </c>
      <c r="F3" s="14">
        <f>$B$3*5</f>
        <v>108.33333333333334</v>
      </c>
      <c r="G3" s="14">
        <f>$B$3*6</f>
        <v>130</v>
      </c>
      <c r="H3" s="14">
        <f>$B$3*7</f>
        <v>151.66666666666669</v>
      </c>
    </row>
    <row r="4" spans="1:8">
      <c r="A4" s="3" t="s">
        <v>97</v>
      </c>
      <c r="B4" s="1">
        <f>52*4/12</f>
        <v>17.333333333333332</v>
      </c>
      <c r="C4" s="14">
        <f>$B$4*2</f>
        <v>34.666666666666664</v>
      </c>
      <c r="D4" s="14">
        <f>$B$4*3</f>
        <v>52</v>
      </c>
      <c r="E4" s="14">
        <f>$B$4*4</f>
        <v>69.333333333333329</v>
      </c>
      <c r="F4" s="14">
        <f>$B$4*5</f>
        <v>86.666666666666657</v>
      </c>
      <c r="G4" s="14">
        <f>$B$4*6</f>
        <v>104</v>
      </c>
      <c r="H4" s="14">
        <f>$B$4*7</f>
        <v>121.33333333333333</v>
      </c>
    </row>
    <row r="5" spans="1:8">
      <c r="A5" s="3" t="s">
        <v>62</v>
      </c>
      <c r="B5" s="1">
        <f>52*3/12</f>
        <v>13</v>
      </c>
      <c r="C5" s="14">
        <f>$B$5*2</f>
        <v>26</v>
      </c>
      <c r="D5" s="14">
        <f>$B$5*3</f>
        <v>39</v>
      </c>
      <c r="E5" s="14">
        <f>$B$5*4</f>
        <v>52</v>
      </c>
      <c r="F5" s="14">
        <f>$B$5*5</f>
        <v>65</v>
      </c>
      <c r="G5" s="14">
        <f>$B$5*6</f>
        <v>78</v>
      </c>
      <c r="H5" s="14">
        <f>$B$5*7</f>
        <v>91</v>
      </c>
    </row>
    <row r="6" spans="1:8">
      <c r="A6" s="3" t="s">
        <v>63</v>
      </c>
      <c r="B6" s="1">
        <f>52*2/12</f>
        <v>8.6666666666666661</v>
      </c>
      <c r="C6" s="15">
        <f>$B$6*2</f>
        <v>17.333333333333332</v>
      </c>
      <c r="D6" s="15">
        <f>$B$6*3</f>
        <v>26</v>
      </c>
      <c r="E6" s="15">
        <f>$B$6*4</f>
        <v>34.666666666666664</v>
      </c>
      <c r="F6" s="15">
        <f>$B$6*5</f>
        <v>43.333333333333329</v>
      </c>
      <c r="G6" s="15">
        <f>$B$6*6</f>
        <v>52</v>
      </c>
      <c r="H6" s="15">
        <f>$B$6*7</f>
        <v>60.666666666666664</v>
      </c>
    </row>
    <row r="7" spans="1:8">
      <c r="A7" s="3" t="s">
        <v>22</v>
      </c>
      <c r="B7" s="1">
        <f>52/12</f>
        <v>4.333333333333333</v>
      </c>
      <c r="C7" s="15">
        <f>$B$7*2</f>
        <v>8.6666666666666661</v>
      </c>
      <c r="D7" s="15">
        <f>$B$7*3</f>
        <v>13</v>
      </c>
      <c r="E7" s="15">
        <f>$B$7*4</f>
        <v>17.333333333333332</v>
      </c>
      <c r="F7" s="15">
        <f>$B$7*5</f>
        <v>21.666666666666664</v>
      </c>
      <c r="G7" s="15">
        <f>$B$7*6</f>
        <v>26</v>
      </c>
      <c r="H7" s="15">
        <f>$B$7*7</f>
        <v>30.333333333333332</v>
      </c>
    </row>
    <row r="8" spans="1:8">
      <c r="A8" s="3" t="s">
        <v>24</v>
      </c>
      <c r="B8" s="1">
        <f>26/12</f>
        <v>2.1666666666666665</v>
      </c>
      <c r="C8" s="15">
        <f>$B$8*2</f>
        <v>4.333333333333333</v>
      </c>
      <c r="D8" s="15">
        <f>$B$8*3</f>
        <v>6.5</v>
      </c>
      <c r="E8" s="15">
        <f>$B$8*4</f>
        <v>8.6666666666666661</v>
      </c>
      <c r="F8" s="15">
        <f>$B$8*5</f>
        <v>10.833333333333332</v>
      </c>
      <c r="G8" s="15">
        <f>$B$8*6</f>
        <v>13</v>
      </c>
      <c r="H8" s="15">
        <f>$B$8*7</f>
        <v>15.166666666666666</v>
      </c>
    </row>
    <row r="9" spans="1:8">
      <c r="A9" s="3" t="s">
        <v>23</v>
      </c>
      <c r="B9" s="1">
        <f>12/12</f>
        <v>1</v>
      </c>
      <c r="C9" s="15">
        <f>$B$9*2</f>
        <v>2</v>
      </c>
      <c r="D9" s="15">
        <f>$B$9*3</f>
        <v>3</v>
      </c>
      <c r="E9" s="15">
        <f>$B$9*4</f>
        <v>4</v>
      </c>
      <c r="F9" s="15">
        <f>$B$9*5</f>
        <v>5</v>
      </c>
      <c r="G9" s="15">
        <f>$B$9*6</f>
        <v>6</v>
      </c>
      <c r="H9" s="15">
        <f>$B$9*7</f>
        <v>7</v>
      </c>
    </row>
    <row r="10" spans="1:8">
      <c r="B10" s="1"/>
      <c r="C10" s="15"/>
      <c r="D10" s="15"/>
      <c r="E10" s="15"/>
      <c r="F10" s="15"/>
      <c r="G10" s="15"/>
      <c r="H10" s="15"/>
    </row>
    <row r="11" spans="1:8">
      <c r="A11" s="372" t="s">
        <v>11</v>
      </c>
      <c r="B11" s="372"/>
      <c r="C11" s="29"/>
      <c r="D11" s="15"/>
      <c r="E11" s="15"/>
      <c r="F11" s="15"/>
      <c r="G11" s="15"/>
      <c r="H11" s="15"/>
    </row>
    <row r="12" spans="1:8">
      <c r="A12" s="27" t="s">
        <v>59</v>
      </c>
      <c r="B12" s="31" t="s">
        <v>89</v>
      </c>
      <c r="C12" s="29"/>
      <c r="D12" s="15"/>
      <c r="E12" s="15"/>
      <c r="F12" s="15"/>
      <c r="G12" s="15"/>
      <c r="H12" s="15"/>
    </row>
    <row r="13" spans="1:8">
      <c r="A13" s="30" t="s">
        <v>90</v>
      </c>
      <c r="B13" s="28">
        <v>20</v>
      </c>
      <c r="C13" s="29"/>
      <c r="D13" s="15"/>
      <c r="E13" s="15"/>
      <c r="F13" s="15"/>
      <c r="G13" s="15"/>
      <c r="H13" s="15"/>
    </row>
    <row r="14" spans="1:8">
      <c r="A14" s="30" t="s">
        <v>65</v>
      </c>
      <c r="B14" s="28">
        <v>34</v>
      </c>
      <c r="C14" s="29"/>
      <c r="D14" s="15"/>
      <c r="E14" s="15"/>
      <c r="F14" s="15"/>
      <c r="G14" s="15"/>
      <c r="H14" s="15"/>
    </row>
    <row r="15" spans="1:8">
      <c r="A15" s="30" t="s">
        <v>66</v>
      </c>
      <c r="B15" s="28">
        <v>51</v>
      </c>
      <c r="C15" s="29"/>
      <c r="D15" s="15"/>
      <c r="E15" s="15"/>
      <c r="F15" s="15"/>
      <c r="G15" s="15"/>
      <c r="H15" s="15"/>
    </row>
    <row r="16" spans="1:8">
      <c r="A16" s="30" t="s">
        <v>67</v>
      </c>
      <c r="B16" s="28">
        <v>77</v>
      </c>
      <c r="C16" s="29"/>
      <c r="D16" s="15"/>
      <c r="E16" s="15"/>
      <c r="F16" s="3" t="s">
        <v>20</v>
      </c>
      <c r="G16" s="8">
        <v>2000</v>
      </c>
      <c r="H16" s="15"/>
    </row>
    <row r="17" spans="1:8">
      <c r="A17" s="30" t="s">
        <v>68</v>
      </c>
      <c r="B17" s="28">
        <v>97</v>
      </c>
      <c r="C17" s="29"/>
      <c r="D17" s="15"/>
      <c r="E17" s="15"/>
      <c r="F17" s="3" t="s">
        <v>21</v>
      </c>
      <c r="G17" s="17" t="s">
        <v>53</v>
      </c>
      <c r="H17" s="15"/>
    </row>
    <row r="18" spans="1:8">
      <c r="A18" s="30" t="s">
        <v>69</v>
      </c>
      <c r="B18" s="28">
        <v>117</v>
      </c>
      <c r="C18" s="29"/>
      <c r="D18" s="15"/>
      <c r="E18" s="15"/>
      <c r="H18" s="15"/>
    </row>
    <row r="19" spans="1:8">
      <c r="A19" s="30" t="s">
        <v>70</v>
      </c>
      <c r="B19" s="28">
        <v>157</v>
      </c>
      <c r="C19" s="29"/>
      <c r="D19" s="15"/>
      <c r="E19" s="15"/>
      <c r="F19" s="10"/>
      <c r="G19" s="11"/>
      <c r="H19" s="15"/>
    </row>
    <row r="20" spans="1:8" s="25" customFormat="1">
      <c r="A20" s="49" t="s">
        <v>104</v>
      </c>
      <c r="B20" s="40">
        <v>37</v>
      </c>
      <c r="C20" s="48" t="s">
        <v>91</v>
      </c>
      <c r="D20" s="29"/>
      <c r="E20" s="29"/>
      <c r="F20" s="10"/>
      <c r="G20" s="11"/>
      <c r="H20" s="29"/>
    </row>
    <row r="21" spans="1:8">
      <c r="A21" s="30" t="s">
        <v>71</v>
      </c>
      <c r="B21" s="28">
        <v>47</v>
      </c>
      <c r="C21" s="29"/>
      <c r="D21" s="15"/>
      <c r="E21" s="15"/>
      <c r="F21" s="15"/>
      <c r="G21" s="15"/>
      <c r="H21" s="15"/>
    </row>
    <row r="22" spans="1:8">
      <c r="A22" s="30" t="s">
        <v>72</v>
      </c>
      <c r="B22" s="28">
        <v>68</v>
      </c>
      <c r="C22" s="29"/>
      <c r="D22" s="15"/>
      <c r="E22" s="15"/>
      <c r="F22" s="15"/>
      <c r="G22" s="15"/>
      <c r="H22" s="15"/>
    </row>
    <row r="23" spans="1:8">
      <c r="A23" s="30" t="s">
        <v>73</v>
      </c>
      <c r="B23" s="28">
        <v>34</v>
      </c>
      <c r="C23" s="29"/>
      <c r="D23" s="15"/>
      <c r="E23" s="15"/>
      <c r="F23" s="15"/>
      <c r="G23" s="15"/>
      <c r="H23" s="15"/>
    </row>
    <row r="24" spans="1:8">
      <c r="A24" s="30" t="s">
        <v>32</v>
      </c>
      <c r="B24" s="28">
        <v>34</v>
      </c>
      <c r="C24" s="29"/>
      <c r="D24" s="15"/>
      <c r="E24" s="15"/>
      <c r="F24" s="15"/>
      <c r="G24" s="15"/>
      <c r="H24" s="15"/>
    </row>
    <row r="25" spans="1:8">
      <c r="A25" s="27" t="s">
        <v>74</v>
      </c>
      <c r="B25" s="28"/>
      <c r="C25" s="29"/>
      <c r="D25" s="15"/>
      <c r="E25" s="15"/>
      <c r="F25" s="15"/>
      <c r="G25" s="15"/>
      <c r="H25" s="15"/>
    </row>
    <row r="26" spans="1:8">
      <c r="A26" s="30" t="s">
        <v>75</v>
      </c>
      <c r="B26" s="28">
        <v>29</v>
      </c>
      <c r="C26" s="29"/>
      <c r="D26" s="15"/>
      <c r="E26" s="15"/>
      <c r="F26" s="15"/>
      <c r="G26" s="15"/>
      <c r="H26" s="15"/>
    </row>
    <row r="27" spans="1:8">
      <c r="A27" s="30" t="s">
        <v>76</v>
      </c>
      <c r="B27" s="28">
        <v>175</v>
      </c>
      <c r="C27" s="29"/>
      <c r="D27" s="15"/>
      <c r="E27" s="15"/>
      <c r="F27" s="15"/>
      <c r="G27" s="15"/>
      <c r="H27" s="15"/>
    </row>
    <row r="28" spans="1:8">
      <c r="A28" s="30" t="s">
        <v>77</v>
      </c>
      <c r="B28" s="28">
        <v>250</v>
      </c>
      <c r="C28" s="29"/>
      <c r="D28" s="15"/>
      <c r="E28" s="15"/>
      <c r="F28" s="15"/>
      <c r="G28" s="15"/>
      <c r="H28" s="15"/>
    </row>
    <row r="29" spans="1:8">
      <c r="A29" s="30" t="s">
        <v>78</v>
      </c>
      <c r="B29" s="28">
        <v>324</v>
      </c>
      <c r="C29" s="29"/>
      <c r="D29" s="15"/>
      <c r="E29" s="15"/>
      <c r="F29" s="15"/>
      <c r="G29" s="15"/>
      <c r="H29" s="15"/>
    </row>
    <row r="30" spans="1:8">
      <c r="A30" s="30" t="s">
        <v>79</v>
      </c>
      <c r="B30" s="28">
        <v>473</v>
      </c>
      <c r="C30" s="29"/>
      <c r="D30" s="15"/>
      <c r="E30" s="15"/>
      <c r="F30" s="15"/>
      <c r="G30" s="15"/>
      <c r="H30" s="15"/>
    </row>
    <row r="31" spans="1:8">
      <c r="A31" s="30" t="s">
        <v>80</v>
      </c>
      <c r="B31" s="28">
        <v>613</v>
      </c>
      <c r="C31" s="29"/>
      <c r="D31" s="15"/>
      <c r="E31" s="15"/>
      <c r="F31" s="15"/>
      <c r="G31" s="15"/>
      <c r="H31" s="15"/>
    </row>
    <row r="32" spans="1:8">
      <c r="A32" s="30" t="s">
        <v>81</v>
      </c>
      <c r="B32" s="28">
        <v>840</v>
      </c>
      <c r="C32" s="29"/>
      <c r="D32" s="15"/>
      <c r="E32" s="15"/>
      <c r="F32" s="15"/>
      <c r="G32" s="15"/>
      <c r="H32" s="15"/>
    </row>
    <row r="33" spans="1:8">
      <c r="A33" s="30" t="s">
        <v>82</v>
      </c>
      <c r="B33" s="28">
        <v>980</v>
      </c>
      <c r="C33" s="29"/>
      <c r="D33" s="15"/>
      <c r="E33" s="15"/>
      <c r="F33" s="15"/>
      <c r="G33" s="15"/>
      <c r="H33" s="15"/>
    </row>
    <row r="34" spans="1:8">
      <c r="A34" s="30" t="s">
        <v>98</v>
      </c>
      <c r="B34" s="28">
        <v>482</v>
      </c>
      <c r="C34" s="29" t="s">
        <v>91</v>
      </c>
      <c r="D34" s="15"/>
      <c r="E34" s="15"/>
      <c r="F34" s="15"/>
      <c r="G34" s="15"/>
      <c r="H34" s="15"/>
    </row>
    <row r="35" spans="1:8">
      <c r="A35" s="30" t="s">
        <v>99</v>
      </c>
      <c r="B35" s="28">
        <v>689</v>
      </c>
      <c r="C35" s="29" t="s">
        <v>91</v>
      </c>
      <c r="D35" s="15"/>
      <c r="E35" s="15"/>
      <c r="F35" s="15"/>
      <c r="G35" s="15"/>
      <c r="H35" s="15"/>
    </row>
    <row r="36" spans="1:8" s="25" customFormat="1">
      <c r="A36" s="30" t="s">
        <v>84</v>
      </c>
      <c r="B36" s="28">
        <v>892</v>
      </c>
      <c r="C36" s="29" t="s">
        <v>91</v>
      </c>
      <c r="D36" s="26"/>
      <c r="E36" s="26"/>
      <c r="F36" s="26"/>
      <c r="G36" s="26"/>
      <c r="H36" s="26"/>
    </row>
    <row r="37" spans="1:8" s="25" customFormat="1">
      <c r="A37" s="30" t="s">
        <v>83</v>
      </c>
      <c r="B37" s="28">
        <v>1301</v>
      </c>
      <c r="C37" s="29"/>
      <c r="D37" s="26"/>
      <c r="E37" s="26"/>
      <c r="F37" s="26"/>
      <c r="G37" s="26"/>
      <c r="H37" s="26"/>
    </row>
    <row r="38" spans="1:8" s="25" customFormat="1">
      <c r="A38" s="30" t="s">
        <v>85</v>
      </c>
      <c r="B38" s="28">
        <v>1686</v>
      </c>
      <c r="C38" s="29"/>
      <c r="D38" s="26"/>
      <c r="E38" s="26"/>
      <c r="F38" s="26"/>
      <c r="G38" s="26"/>
      <c r="H38" s="26"/>
    </row>
    <row r="39" spans="1:8" s="25" customFormat="1">
      <c r="A39" s="30" t="s">
        <v>86</v>
      </c>
      <c r="B39" s="28">
        <v>2046</v>
      </c>
      <c r="C39" s="29"/>
      <c r="D39" s="26"/>
      <c r="E39" s="26"/>
      <c r="F39" s="26"/>
      <c r="G39" s="26"/>
      <c r="H39" s="26"/>
    </row>
    <row r="40" spans="1:8" s="25" customFormat="1">
      <c r="A40" s="30" t="s">
        <v>87</v>
      </c>
      <c r="B40" s="28">
        <v>2310</v>
      </c>
      <c r="C40" s="29"/>
      <c r="D40" s="26"/>
      <c r="E40" s="26"/>
      <c r="F40" s="26"/>
      <c r="G40" s="26"/>
      <c r="H40" s="26"/>
    </row>
    <row r="41" spans="1:8" s="25" customFormat="1">
      <c r="A41" s="30" t="s">
        <v>100</v>
      </c>
      <c r="B41" s="28">
        <v>2800</v>
      </c>
      <c r="C41" s="29" t="s">
        <v>91</v>
      </c>
      <c r="D41" s="26"/>
      <c r="E41" s="26"/>
      <c r="F41" s="26"/>
      <c r="G41" s="26"/>
      <c r="H41" s="26"/>
    </row>
    <row r="42" spans="1:8" s="25" customFormat="1">
      <c r="A42" s="30" t="s">
        <v>88</v>
      </c>
      <c r="B42" s="28">
        <v>125</v>
      </c>
      <c r="C42" s="29"/>
      <c r="D42" s="26"/>
      <c r="E42" s="26"/>
      <c r="F42" s="26"/>
      <c r="G42" s="26"/>
      <c r="H42" s="26"/>
    </row>
    <row r="43" spans="1:8">
      <c r="B43" s="130" t="s">
        <v>118</v>
      </c>
      <c r="C43" s="130"/>
      <c r="D43" s="130"/>
    </row>
    <row r="46" spans="1:8">
      <c r="A46" s="24" t="s">
        <v>152</v>
      </c>
      <c r="B46" s="22" t="s">
        <v>6</v>
      </c>
      <c r="C46" s="22" t="s">
        <v>7</v>
      </c>
      <c r="F46" s="373" t="s">
        <v>27</v>
      </c>
      <c r="G46" s="373"/>
    </row>
    <row r="47" spans="1:8">
      <c r="A47" s="18" t="s">
        <v>8</v>
      </c>
      <c r="B47" s="354">
        <v>134.59</v>
      </c>
      <c r="C47" s="353">
        <f>B47/2000</f>
        <v>6.7295000000000008E-2</v>
      </c>
      <c r="D47" s="352"/>
      <c r="F47" s="3" t="s">
        <v>28</v>
      </c>
      <c r="G47" s="5">
        <f>0.015</f>
        <v>1.4999999999999999E-2</v>
      </c>
    </row>
    <row r="48" spans="1:8">
      <c r="A48" s="18" t="s">
        <v>9</v>
      </c>
      <c r="B48" s="347">
        <v>140.82</v>
      </c>
      <c r="C48" s="351">
        <f>B48/2000</f>
        <v>7.041E-2</v>
      </c>
      <c r="D48" s="352"/>
      <c r="F48" s="3" t="s">
        <v>29</v>
      </c>
      <c r="G48" s="6">
        <v>5.1000000000000004E-3</v>
      </c>
    </row>
    <row r="49" spans="1:7">
      <c r="A49" s="16" t="s">
        <v>10</v>
      </c>
      <c r="B49" s="354">
        <f>B48-B47</f>
        <v>6.2299999999999898</v>
      </c>
      <c r="C49" s="350">
        <f>C48-C47</f>
        <v>3.1149999999999928E-3</v>
      </c>
      <c r="D49" s="352"/>
      <c r="F49" s="3" t="s">
        <v>58</v>
      </c>
      <c r="G49" s="7">
        <v>2E-3</v>
      </c>
    </row>
    <row r="50" spans="1:7">
      <c r="B50" s="352"/>
      <c r="C50" s="352"/>
      <c r="D50" s="352"/>
      <c r="F50" s="3" t="s">
        <v>17</v>
      </c>
      <c r="G50" s="19">
        <f>SUM(G47:G49)</f>
        <v>2.2100000000000002E-2</v>
      </c>
    </row>
    <row r="51" spans="1:7">
      <c r="B51" s="23" t="str">
        <f>A46</f>
        <v>King County</v>
      </c>
    </row>
    <row r="52" spans="1:7">
      <c r="A52" s="3" t="s">
        <v>4</v>
      </c>
      <c r="B52" s="20">
        <f>B49</f>
        <v>6.2299999999999898</v>
      </c>
      <c r="F52" s="3" t="s">
        <v>30</v>
      </c>
      <c r="G52" s="21">
        <f>1-G50</f>
        <v>0.97789999999999999</v>
      </c>
    </row>
    <row r="53" spans="1:7">
      <c r="A53" s="3" t="s">
        <v>26</v>
      </c>
      <c r="B53" s="20">
        <f>B52/$G$52</f>
        <v>6.3707945597709275</v>
      </c>
    </row>
    <row r="54" spans="1:7">
      <c r="A54" s="3" t="s">
        <v>25</v>
      </c>
      <c r="B54" s="9">
        <f>'Staff Calcs '!D131</f>
        <v>9354</v>
      </c>
    </row>
    <row r="55" spans="1:7">
      <c r="A55" s="2" t="s">
        <v>31</v>
      </c>
      <c r="B55" s="4">
        <f>B53*B54</f>
        <v>59592.412312097258</v>
      </c>
    </row>
    <row r="58" spans="1:7" ht="15.75" thickBot="1"/>
    <row r="59" spans="1:7">
      <c r="A59" s="89" t="s">
        <v>94</v>
      </c>
      <c r="B59" s="90" t="s">
        <v>92</v>
      </c>
      <c r="D59" s="20"/>
    </row>
    <row r="60" spans="1:7">
      <c r="A60" s="91" t="s">
        <v>93</v>
      </c>
      <c r="B60" s="92">
        <f>'Staff Calcs '!R59</f>
        <v>59382.681538525736</v>
      </c>
    </row>
    <row r="61" spans="1:7">
      <c r="A61" s="91" t="s">
        <v>13</v>
      </c>
      <c r="B61" s="92">
        <f>B60-B55</f>
        <v>-209.73077357152215</v>
      </c>
    </row>
    <row r="62" spans="1:7">
      <c r="A62" s="91"/>
      <c r="B62" s="93"/>
    </row>
    <row r="63" spans="1:7">
      <c r="A63" s="94" t="s">
        <v>95</v>
      </c>
      <c r="B63" s="95" t="s">
        <v>92</v>
      </c>
    </row>
    <row r="64" spans="1:7">
      <c r="A64" s="91" t="s">
        <v>54</v>
      </c>
      <c r="B64" s="96">
        <f>'Staff Calcs '!W59</f>
        <v>59745.532312097319</v>
      </c>
    </row>
    <row r="65" spans="1:3" ht="15.75" thickBot="1">
      <c r="A65" s="97" t="s">
        <v>13</v>
      </c>
      <c r="B65" s="98">
        <f>B64-B55</f>
        <v>153.12000000006083</v>
      </c>
      <c r="C65" s="20">
        <f>B61-B65</f>
        <v>-362.85077357158298</v>
      </c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42"/>
  <sheetViews>
    <sheetView tabSelected="1" zoomScale="80" zoomScaleNormal="80" workbookViewId="0">
      <pane xSplit="3" ySplit="1" topLeftCell="R32" activePane="bottomRight" state="frozen"/>
      <selection pane="topRight" activeCell="D1" sqref="D1"/>
      <selection pane="bottomLeft" activeCell="A6" sqref="A6"/>
      <selection pane="bottomRight" activeCell="W60" sqref="W60"/>
    </sheetView>
  </sheetViews>
  <sheetFormatPr defaultColWidth="8.85546875" defaultRowHeight="15"/>
  <cols>
    <col min="1" max="1" width="5.42578125" style="61" bestFit="1" customWidth="1"/>
    <col min="2" max="2" width="33.140625" style="65" customWidth="1"/>
    <col min="3" max="3" width="27.140625" style="61" bestFit="1" customWidth="1"/>
    <col min="4" max="4" width="23.7109375" style="62" customWidth="1"/>
    <col min="5" max="5" width="13.7109375" style="61" customWidth="1"/>
    <col min="6" max="6" width="16" style="61" customWidth="1"/>
    <col min="7" max="7" width="19.28515625" style="135" customWidth="1"/>
    <col min="8" max="8" width="25.7109375" style="61" customWidth="1"/>
    <col min="9" max="9" width="21.7109375" style="60" customWidth="1"/>
    <col min="10" max="10" width="12.42578125" style="61" customWidth="1"/>
    <col min="11" max="11" width="12.140625" style="61" customWidth="1"/>
    <col min="12" max="12" width="13.7109375" style="61" customWidth="1"/>
    <col min="13" max="13" width="21.7109375" style="61" customWidth="1"/>
    <col min="14" max="14" width="26.28515625" style="61" customWidth="1"/>
    <col min="15" max="15" width="24.28515625" style="61" customWidth="1"/>
    <col min="16" max="16" width="32.7109375" style="61" customWidth="1"/>
    <col min="17" max="17" width="35.140625" style="61" customWidth="1"/>
    <col min="18" max="18" width="24.5703125" style="61" bestFit="1" customWidth="1"/>
    <col min="19" max="19" width="31.28515625" style="61" bestFit="1" customWidth="1"/>
    <col min="20" max="20" width="29" style="61" bestFit="1" customWidth="1"/>
    <col min="21" max="21" width="18.140625" style="61" bestFit="1" customWidth="1"/>
    <col min="22" max="23" width="21.5703125" style="61" bestFit="1" customWidth="1"/>
    <col min="24" max="16384" width="8.85546875" style="61"/>
  </cols>
  <sheetData>
    <row r="1" spans="1:23" ht="30">
      <c r="A1" s="53"/>
      <c r="B1" s="103" t="s">
        <v>16</v>
      </c>
      <c r="C1" s="81" t="s">
        <v>18</v>
      </c>
      <c r="D1" s="80" t="s">
        <v>43</v>
      </c>
      <c r="E1" s="103" t="s">
        <v>0</v>
      </c>
      <c r="F1" s="53" t="s">
        <v>1</v>
      </c>
      <c r="G1" s="131" t="s">
        <v>11</v>
      </c>
      <c r="H1" s="103" t="s">
        <v>35</v>
      </c>
      <c r="I1" s="104" t="s">
        <v>36</v>
      </c>
      <c r="J1" s="100" t="s">
        <v>10</v>
      </c>
      <c r="K1" s="80" t="s">
        <v>2</v>
      </c>
      <c r="L1" s="103" t="s">
        <v>45</v>
      </c>
      <c r="M1" s="80" t="s">
        <v>40</v>
      </c>
      <c r="N1" s="103" t="s">
        <v>37</v>
      </c>
      <c r="O1" s="103" t="s">
        <v>38</v>
      </c>
      <c r="P1" s="103" t="s">
        <v>41</v>
      </c>
      <c r="Q1" s="80" t="s">
        <v>39</v>
      </c>
      <c r="R1" s="103" t="s">
        <v>46</v>
      </c>
      <c r="S1" s="103" t="s">
        <v>42</v>
      </c>
      <c r="T1" s="103" t="s">
        <v>44</v>
      </c>
      <c r="U1" s="103" t="s">
        <v>47</v>
      </c>
      <c r="V1" s="103" t="s">
        <v>49</v>
      </c>
      <c r="W1" s="103" t="s">
        <v>48</v>
      </c>
    </row>
    <row r="2" spans="1:23" s="63" customFormat="1" ht="14.45" customHeight="1">
      <c r="A2" s="375" t="s">
        <v>14</v>
      </c>
      <c r="B2" s="320" t="str">
        <f>'Tariff Changes'!$A$7</f>
        <v>Item 100, pg 21 Appendix A</v>
      </c>
      <c r="C2" s="138" t="s">
        <v>119</v>
      </c>
      <c r="D2" s="141">
        <f>865.5</f>
        <v>865.5</v>
      </c>
      <c r="E2" s="74">
        <f>References!$B$7</f>
        <v>4.333333333333333</v>
      </c>
      <c r="F2" s="142">
        <f>D2*E2*12</f>
        <v>45005.999999999993</v>
      </c>
      <c r="G2" s="143">
        <f>References!$B$13</f>
        <v>20</v>
      </c>
      <c r="H2" s="72">
        <f>G2*F2</f>
        <v>900119.99999999988</v>
      </c>
      <c r="I2" s="50">
        <f t="shared" ref="I2:I10" si="0">$D$134*H2</f>
        <v>539761.69485970342</v>
      </c>
      <c r="J2" s="76">
        <f>(References!$C$49*I2)</f>
        <v>1681.3576794879723</v>
      </c>
      <c r="K2" s="76">
        <f>J2/References!$G$52</f>
        <v>1719.3554345924658</v>
      </c>
      <c r="L2" s="71">
        <f>K2/F2*E2</f>
        <v>0.16554548763647856</v>
      </c>
      <c r="M2" s="144">
        <f>'Tariff Changes'!C8</f>
        <v>8.0500000000000007</v>
      </c>
      <c r="N2" s="71">
        <f>L2+M2</f>
        <v>8.2155454876364793</v>
      </c>
      <c r="O2" s="144">
        <f>'Tariff Changes'!E8</f>
        <v>8.1727670323469468</v>
      </c>
      <c r="P2" s="71">
        <f>M2*D2*12</f>
        <v>83607.3</v>
      </c>
      <c r="Q2" s="71">
        <f>O2*D2*12</f>
        <v>84882.35839795538</v>
      </c>
      <c r="R2" s="71">
        <f>Q2-P2</f>
        <v>1275.0583979553776</v>
      </c>
      <c r="S2" s="71">
        <f>N2*D2*12</f>
        <v>85326.655434592467</v>
      </c>
      <c r="T2" s="71">
        <f t="shared" ref="T2:T10" si="1">Q2-S2</f>
        <v>-444.29703663708642</v>
      </c>
      <c r="U2" s="75">
        <f t="shared" ref="U2:U51" si="2">N2</f>
        <v>8.2155454876364793</v>
      </c>
      <c r="V2" s="75">
        <f>U2*D2*12</f>
        <v>85326.655434592467</v>
      </c>
      <c r="W2" s="75">
        <f>V2-P2</f>
        <v>1719.355434592464</v>
      </c>
    </row>
    <row r="3" spans="1:23" s="63" customFormat="1">
      <c r="A3" s="376"/>
      <c r="B3" s="321" t="str">
        <f>'Tariff Changes'!$A$7</f>
        <v>Item 100, pg 21 Appendix A</v>
      </c>
      <c r="C3" s="139" t="s">
        <v>120</v>
      </c>
      <c r="D3" s="141">
        <f>4500.91666666667</f>
        <v>4500.9166666666697</v>
      </c>
      <c r="E3" s="73">
        <f>References!$B$7</f>
        <v>4.333333333333333</v>
      </c>
      <c r="F3" s="142">
        <f>D3*E3*12</f>
        <v>234047.6666666668</v>
      </c>
      <c r="G3" s="143">
        <f>References!B14</f>
        <v>34</v>
      </c>
      <c r="H3" s="72">
        <f t="shared" ref="H3:H10" si="3">G3*F3</f>
        <v>7957620.6666666716</v>
      </c>
      <c r="I3" s="50">
        <f t="shared" si="0"/>
        <v>4771829.1095527327</v>
      </c>
      <c r="J3" s="71">
        <f>(References!$C$49*I3)</f>
        <v>14864.247676256728</v>
      </c>
      <c r="K3" s="71">
        <f>J3/References!$G$52</f>
        <v>15200.171465647538</v>
      </c>
      <c r="L3" s="71">
        <f t="shared" ref="L3:L10" si="4">K3/F3*E3</f>
        <v>0.28142732898201345</v>
      </c>
      <c r="M3" s="144">
        <f>'Tariff Changes'!C9</f>
        <v>12.93</v>
      </c>
      <c r="N3" s="71">
        <f t="shared" ref="N3:N10" si="5">L3+M3</f>
        <v>13.211427328982014</v>
      </c>
      <c r="O3" s="144">
        <f>'Tariff Changes'!E9</f>
        <v>13.13674480186735</v>
      </c>
      <c r="P3" s="71">
        <f t="shared" ref="P3:P10" si="6">M3*D3*12</f>
        <v>698362.23000000045</v>
      </c>
      <c r="Q3" s="71">
        <f t="shared" ref="Q3:Q10" si="7">O3*D3*12</f>
        <v>709528.72349365789</v>
      </c>
      <c r="R3" s="71">
        <f t="shared" ref="R3:R10" si="8">Q3-P3</f>
        <v>11166.493493657443</v>
      </c>
      <c r="S3" s="71">
        <f t="shared" ref="S3:S10" si="9">N3*D3*12</f>
        <v>713562.40146564809</v>
      </c>
      <c r="T3" s="71">
        <f t="shared" si="1"/>
        <v>-4033.677971990197</v>
      </c>
      <c r="U3" s="75">
        <f t="shared" si="2"/>
        <v>13.211427328982014</v>
      </c>
      <c r="V3" s="75">
        <f t="shared" ref="V3:V10" si="10">U3*D3*12</f>
        <v>713562.40146564809</v>
      </c>
      <c r="W3" s="75">
        <f t="shared" ref="W3:W10" si="11">V3-P3</f>
        <v>15200.17146564764</v>
      </c>
    </row>
    <row r="4" spans="1:23" s="63" customFormat="1">
      <c r="A4" s="376"/>
      <c r="B4" s="321" t="str">
        <f>'Tariff Changes'!$A$7</f>
        <v>Item 100, pg 21 Appendix A</v>
      </c>
      <c r="C4" s="139" t="s">
        <v>121</v>
      </c>
      <c r="D4" s="141">
        <f>218.666666666667</f>
        <v>218.666666666667</v>
      </c>
      <c r="E4" s="73">
        <f>References!$B$7</f>
        <v>4.333333333333333</v>
      </c>
      <c r="F4" s="142">
        <f t="shared" ref="F4:F10" si="12">D4*E4*12</f>
        <v>11370.666666666682</v>
      </c>
      <c r="G4" s="143">
        <f>References!B15</f>
        <v>51</v>
      </c>
      <c r="H4" s="72">
        <f>G4*F4</f>
        <v>579904.00000000081</v>
      </c>
      <c r="I4" s="50">
        <f t="shared" si="0"/>
        <v>347742.48533075803</v>
      </c>
      <c r="J4" s="71">
        <f>(References!$C$49*I4)</f>
        <v>1083.2178418053088</v>
      </c>
      <c r="K4" s="71">
        <f>J4/References!$G$52</f>
        <v>1107.6979668732067</v>
      </c>
      <c r="L4" s="71">
        <f t="shared" si="4"/>
        <v>0.42214099347302025</v>
      </c>
      <c r="M4" s="144">
        <f>'Tariff Changes'!C10</f>
        <v>22</v>
      </c>
      <c r="N4" s="71">
        <f t="shared" si="5"/>
        <v>22.422140993473022</v>
      </c>
      <c r="O4" s="144">
        <f>'Tariff Changes'!E10</f>
        <v>22.4134896037347</v>
      </c>
      <c r="P4" s="71">
        <f t="shared" si="6"/>
        <v>57728.000000000087</v>
      </c>
      <c r="Q4" s="71">
        <f t="shared" si="7"/>
        <v>58812.996720199939</v>
      </c>
      <c r="R4" s="71">
        <f t="shared" si="8"/>
        <v>1084.9967201998516</v>
      </c>
      <c r="S4" s="71">
        <f t="shared" si="9"/>
        <v>58835.697966873304</v>
      </c>
      <c r="T4" s="71">
        <f t="shared" si="1"/>
        <v>-22.701246673364949</v>
      </c>
      <c r="U4" s="75">
        <f t="shared" si="2"/>
        <v>22.422140993473022</v>
      </c>
      <c r="V4" s="75">
        <f t="shared" si="10"/>
        <v>58835.697966873304</v>
      </c>
      <c r="W4" s="75">
        <f t="shared" si="11"/>
        <v>1107.6979668732165</v>
      </c>
    </row>
    <row r="5" spans="1:23" s="63" customFormat="1">
      <c r="A5" s="376"/>
      <c r="B5" s="321" t="str">
        <f>'Tariff Changes'!$A$7</f>
        <v>Item 100, pg 21 Appendix A</v>
      </c>
      <c r="C5" s="139" t="s">
        <v>122</v>
      </c>
      <c r="D5" s="141">
        <f>9.83333333333333</f>
        <v>9.8333333333333304</v>
      </c>
      <c r="E5" s="73">
        <f>References!$B$7</f>
        <v>4.333333333333333</v>
      </c>
      <c r="F5" s="142">
        <f t="shared" si="12"/>
        <v>511.33333333333314</v>
      </c>
      <c r="G5" s="143">
        <f>References!B16</f>
        <v>77</v>
      </c>
      <c r="H5" s="72">
        <f t="shared" si="3"/>
        <v>39372.66666666665</v>
      </c>
      <c r="I5" s="50">
        <f t="shared" si="0"/>
        <v>23610.026764371574</v>
      </c>
      <c r="J5" s="71">
        <f>(References!$C$49*I5)</f>
        <v>73.545233371017289</v>
      </c>
      <c r="K5" s="71">
        <f>J5/References!$G$52</f>
        <v>75.207315033252158</v>
      </c>
      <c r="L5" s="71">
        <f t="shared" si="4"/>
        <v>0.63735012740044217</v>
      </c>
      <c r="M5" s="144">
        <f>'Tariff Changes'!C11</f>
        <v>32.18</v>
      </c>
      <c r="N5" s="71">
        <f t="shared" si="5"/>
        <v>32.817350127400445</v>
      </c>
      <c r="O5" s="144">
        <f>'Tariff Changes'!E11</f>
        <v>32.800234405602048</v>
      </c>
      <c r="P5" s="71">
        <f t="shared" si="6"/>
        <v>3797.2399999999989</v>
      </c>
      <c r="Q5" s="71">
        <f t="shared" si="7"/>
        <v>3870.4276598610404</v>
      </c>
      <c r="R5" s="71">
        <f t="shared" si="8"/>
        <v>73.187659861041539</v>
      </c>
      <c r="S5" s="71">
        <f t="shared" si="9"/>
        <v>3872.4473150332515</v>
      </c>
      <c r="T5" s="71">
        <f t="shared" si="1"/>
        <v>-2.0196551722110598</v>
      </c>
      <c r="U5" s="75">
        <f t="shared" si="2"/>
        <v>32.817350127400445</v>
      </c>
      <c r="V5" s="75">
        <f t="shared" si="10"/>
        <v>3872.4473150332515</v>
      </c>
      <c r="W5" s="75">
        <f t="shared" si="11"/>
        <v>75.207315033252598</v>
      </c>
    </row>
    <row r="6" spans="1:23" s="63" customFormat="1">
      <c r="A6" s="376"/>
      <c r="B6" s="321" t="str">
        <f>'Tariff Changes'!$A$7</f>
        <v>Item 100, pg 21 Appendix A</v>
      </c>
      <c r="C6" s="139" t="s">
        <v>123</v>
      </c>
      <c r="D6" s="141">
        <v>1</v>
      </c>
      <c r="E6" s="73">
        <f>References!$B$7</f>
        <v>4.333333333333333</v>
      </c>
      <c r="F6" s="142">
        <f t="shared" ref="F6" si="13">D6*E6*12</f>
        <v>52</v>
      </c>
      <c r="G6" s="143">
        <f>References!B17</f>
        <v>97</v>
      </c>
      <c r="H6" s="72">
        <f t="shared" ref="H6" si="14">G6*F6</f>
        <v>5044</v>
      </c>
      <c r="I6" s="50">
        <f t="shared" si="0"/>
        <v>3024.6611439278586</v>
      </c>
      <c r="J6" s="71">
        <f>(References!$C$49*I6)</f>
        <v>9.4218194633352574</v>
      </c>
      <c r="K6" s="71">
        <f>J6/References!$G$52</f>
        <v>9.6347473804430486</v>
      </c>
      <c r="L6" s="71">
        <f t="shared" ref="L6" si="15">K6/F6*E6</f>
        <v>0.80289561503692064</v>
      </c>
      <c r="M6" s="144">
        <f>'Tariff Changes'!C12</f>
        <v>43.23</v>
      </c>
      <c r="N6" s="71">
        <f t="shared" ref="N6" si="16">L6+M6</f>
        <v>44.032895615036921</v>
      </c>
      <c r="O6" s="144">
        <f>'Tariff Changes'!E12</f>
        <v>44.056979207469396</v>
      </c>
      <c r="P6" s="71">
        <f t="shared" ref="P6" si="17">M6*D6*12</f>
        <v>518.76</v>
      </c>
      <c r="Q6" s="71">
        <f t="shared" ref="Q6" si="18">O6*D6*12</f>
        <v>528.68375048963276</v>
      </c>
      <c r="R6" s="71">
        <f t="shared" ref="R6" si="19">Q6-P6</f>
        <v>9.9237504896327664</v>
      </c>
      <c r="S6" s="71">
        <f t="shared" ref="S6" si="20">N6*D6*12</f>
        <v>528.39474738044305</v>
      </c>
      <c r="T6" s="71">
        <f t="shared" ref="T6" si="21">Q6-S6</f>
        <v>0.28900310918970717</v>
      </c>
      <c r="U6" s="75">
        <f t="shared" ref="U6" si="22">N6</f>
        <v>44.032895615036921</v>
      </c>
      <c r="V6" s="75">
        <f t="shared" ref="V6" si="23">U6*D6*12</f>
        <v>528.39474738044305</v>
      </c>
      <c r="W6" s="75">
        <f t="shared" ref="W6" si="24">V6-P6</f>
        <v>9.6347473804430592</v>
      </c>
    </row>
    <row r="7" spans="1:23" s="63" customFormat="1">
      <c r="A7" s="376"/>
      <c r="B7" s="321" t="str">
        <f>'Tariff Changes'!$A$7</f>
        <v>Item 100, pg 21 Appendix A</v>
      </c>
      <c r="C7" s="139" t="s">
        <v>113</v>
      </c>
      <c r="D7" s="141">
        <f>126.916666666667</f>
        <v>126.916666666667</v>
      </c>
      <c r="E7" s="73">
        <f>References!B9</f>
        <v>1</v>
      </c>
      <c r="F7" s="142">
        <f t="shared" si="12"/>
        <v>1523.0000000000041</v>
      </c>
      <c r="G7" s="143">
        <f>References!$B$14</f>
        <v>34</v>
      </c>
      <c r="H7" s="72">
        <f t="shared" si="3"/>
        <v>51782.000000000138</v>
      </c>
      <c r="I7" s="50">
        <f t="shared" si="0"/>
        <v>31051.348801521173</v>
      </c>
      <c r="J7" s="71">
        <f>(References!$C$49*I7)</f>
        <v>96.72495151673823</v>
      </c>
      <c r="K7" s="71">
        <f>J7/References!$G$52</f>
        <v>98.910882009140224</v>
      </c>
      <c r="L7" s="71">
        <f t="shared" si="4"/>
        <v>6.4944768226618488E-2</v>
      </c>
      <c r="M7" s="144">
        <f>'Tariff Changes'!C14</f>
        <v>4.66</v>
      </c>
      <c r="N7" s="71">
        <f t="shared" si="5"/>
        <v>4.724944768226619</v>
      </c>
      <c r="O7" s="144">
        <f>'Tariff Changes'!E14</f>
        <v>4.7077470674058546</v>
      </c>
      <c r="P7" s="71">
        <f t="shared" si="6"/>
        <v>7097.1800000000185</v>
      </c>
      <c r="Q7" s="71">
        <f t="shared" si="7"/>
        <v>7169.898783659135</v>
      </c>
      <c r="R7" s="71">
        <f t="shared" si="8"/>
        <v>72.718783659116525</v>
      </c>
      <c r="S7" s="71">
        <f t="shared" si="9"/>
        <v>7196.090882009159</v>
      </c>
      <c r="T7" s="71">
        <f t="shared" si="1"/>
        <v>-26.192098350024025</v>
      </c>
      <c r="U7" s="75">
        <f t="shared" si="2"/>
        <v>4.724944768226619</v>
      </c>
      <c r="V7" s="75">
        <f t="shared" si="10"/>
        <v>7196.090882009159</v>
      </c>
      <c r="W7" s="75">
        <f t="shared" si="11"/>
        <v>98.910882009140551</v>
      </c>
    </row>
    <row r="8" spans="1:23" s="63" customFormat="1">
      <c r="A8" s="376"/>
      <c r="B8" s="321" t="str">
        <f>'Tariff Changes'!$A$7</f>
        <v>Item 100, pg 21 Appendix A</v>
      </c>
      <c r="C8" s="139" t="s">
        <v>124</v>
      </c>
      <c r="D8" s="141">
        <f>374.666666666667</f>
        <v>374.66666666666703</v>
      </c>
      <c r="E8" s="73">
        <f>References!$B$7</f>
        <v>4.333333333333333</v>
      </c>
      <c r="F8" s="142">
        <f t="shared" si="12"/>
        <v>19482.666666666686</v>
      </c>
      <c r="G8" s="143">
        <f>References!$B$14</f>
        <v>34</v>
      </c>
      <c r="H8" s="72">
        <f t="shared" si="3"/>
        <v>662410.66666666733</v>
      </c>
      <c r="I8" s="50">
        <f t="shared" si="0"/>
        <v>397218.04218675999</v>
      </c>
      <c r="J8" s="71">
        <f>(References!$C$49*I8)</f>
        <v>1237.3342014117545</v>
      </c>
      <c r="K8" s="71">
        <f>J8/References!$G$52</f>
        <v>1265.2972711031339</v>
      </c>
      <c r="L8" s="71">
        <f t="shared" si="4"/>
        <v>0.2814273289820135</v>
      </c>
      <c r="M8" s="144">
        <f>'Tariff Changes'!C15</f>
        <v>12.93</v>
      </c>
      <c r="N8" s="71">
        <f t="shared" si="5"/>
        <v>13.211427328982014</v>
      </c>
      <c r="O8" s="144">
        <f>'Tariff Changes'!E15</f>
        <v>13.13674480186735</v>
      </c>
      <c r="P8" s="71">
        <f t="shared" si="6"/>
        <v>58133.28000000005</v>
      </c>
      <c r="Q8" s="71">
        <f t="shared" si="7"/>
        <v>59062.804629195656</v>
      </c>
      <c r="R8" s="71">
        <f t="shared" si="8"/>
        <v>929.52462919560639</v>
      </c>
      <c r="S8" s="71">
        <f t="shared" si="9"/>
        <v>59398.57727110319</v>
      </c>
      <c r="T8" s="71">
        <f t="shared" si="1"/>
        <v>-335.7726419075334</v>
      </c>
      <c r="U8" s="75">
        <f t="shared" si="2"/>
        <v>13.211427328982014</v>
      </c>
      <c r="V8" s="75">
        <f t="shared" si="10"/>
        <v>59398.57727110319</v>
      </c>
      <c r="W8" s="75">
        <f t="shared" si="11"/>
        <v>1265.2972711031398</v>
      </c>
    </row>
    <row r="9" spans="1:23" s="63" customFormat="1">
      <c r="A9" s="376"/>
      <c r="B9" s="321" t="str">
        <f>'Tariff Changes'!$A$7</f>
        <v>Item 100, pg 21 Appendix A</v>
      </c>
      <c r="C9" s="139" t="s">
        <v>125</v>
      </c>
      <c r="D9" s="141">
        <f>3111.66666666667</f>
        <v>3111.6666666666702</v>
      </c>
      <c r="E9" s="73">
        <f>References!$B$7</f>
        <v>4.333333333333333</v>
      </c>
      <c r="F9" s="142">
        <f t="shared" si="12"/>
        <v>161806.66666666683</v>
      </c>
      <c r="G9" s="143">
        <f>References!B21</f>
        <v>47</v>
      </c>
      <c r="H9" s="72">
        <f t="shared" si="3"/>
        <v>7604913.3333333414</v>
      </c>
      <c r="I9" s="50">
        <f t="shared" si="0"/>
        <v>4560326.301005601</v>
      </c>
      <c r="J9" s="71">
        <f>(References!$C$49*I9)</f>
        <v>14205.416427632414</v>
      </c>
      <c r="K9" s="71">
        <f>J9/References!$G$52</f>
        <v>14526.450994613369</v>
      </c>
      <c r="L9" s="71">
        <f t="shared" si="4"/>
        <v>0.38903189594572452</v>
      </c>
      <c r="M9" s="144">
        <f>'Tariff Changes'!C16</f>
        <v>21.92</v>
      </c>
      <c r="N9" s="71">
        <f t="shared" si="5"/>
        <v>22.309031895945726</v>
      </c>
      <c r="O9" s="144">
        <f>'Tariff Changes'!E16</f>
        <v>22.333489603734701</v>
      </c>
      <c r="P9" s="71">
        <f t="shared" si="6"/>
        <v>818492.80000000098</v>
      </c>
      <c r="Q9" s="71">
        <f t="shared" si="7"/>
        <v>833932.50180345471</v>
      </c>
      <c r="R9" s="71">
        <f t="shared" si="8"/>
        <v>15439.701803453732</v>
      </c>
      <c r="S9" s="71">
        <f t="shared" si="9"/>
        <v>833019.25099461433</v>
      </c>
      <c r="T9" s="71">
        <f t="shared" si="1"/>
        <v>913.25080884038471</v>
      </c>
      <c r="U9" s="75">
        <f t="shared" si="2"/>
        <v>22.309031895945726</v>
      </c>
      <c r="V9" s="75">
        <f t="shared" si="10"/>
        <v>833019.25099461433</v>
      </c>
      <c r="W9" s="75">
        <f t="shared" si="11"/>
        <v>14526.450994613348</v>
      </c>
    </row>
    <row r="10" spans="1:23" s="63" customFormat="1">
      <c r="A10" s="376"/>
      <c r="B10" s="321" t="str">
        <f>'Tariff Changes'!$A$7</f>
        <v>Item 100, pg 21 Appendix A</v>
      </c>
      <c r="C10" s="139" t="s">
        <v>126</v>
      </c>
      <c r="D10" s="141">
        <f>1176.5</f>
        <v>1176.5</v>
      </c>
      <c r="E10" s="73">
        <f>References!$B$7</f>
        <v>4.333333333333333</v>
      </c>
      <c r="F10" s="142">
        <f t="shared" si="12"/>
        <v>61177.999999999993</v>
      </c>
      <c r="G10" s="143">
        <f>References!B22</f>
        <v>68</v>
      </c>
      <c r="H10" s="72">
        <f t="shared" si="3"/>
        <v>4160103.9999999995</v>
      </c>
      <c r="I10" s="50">
        <f t="shared" si="0"/>
        <v>2494628.256046562</v>
      </c>
      <c r="J10" s="71">
        <f>(References!$C$49*I10)</f>
        <v>7770.7670175850226</v>
      </c>
      <c r="K10" s="71">
        <f>J10/References!$G$52</f>
        <v>7946.3820611361316</v>
      </c>
      <c r="L10" s="71">
        <f t="shared" si="4"/>
        <v>0.56285465796402689</v>
      </c>
      <c r="M10" s="144">
        <f>'Tariff Changes'!C17</f>
        <v>32.01</v>
      </c>
      <c r="N10" s="71">
        <f t="shared" si="5"/>
        <v>32.572854657964022</v>
      </c>
      <c r="O10" s="144">
        <f>'Tariff Changes'!E17</f>
        <v>32.630234405602046</v>
      </c>
      <c r="P10" s="71">
        <f t="shared" si="6"/>
        <v>451917.18</v>
      </c>
      <c r="Q10" s="71">
        <f t="shared" si="7"/>
        <v>460673.64933828969</v>
      </c>
      <c r="R10" s="71">
        <f t="shared" si="8"/>
        <v>8756.4693382896949</v>
      </c>
      <c r="S10" s="71">
        <f t="shared" si="9"/>
        <v>459863.56206113612</v>
      </c>
      <c r="T10" s="71">
        <f t="shared" si="1"/>
        <v>810.08727715356508</v>
      </c>
      <c r="U10" s="75">
        <f t="shared" si="2"/>
        <v>32.572854657964022</v>
      </c>
      <c r="V10" s="75">
        <f t="shared" si="10"/>
        <v>459863.56206113612</v>
      </c>
      <c r="W10" s="75">
        <f t="shared" si="11"/>
        <v>7946.3820611361298</v>
      </c>
    </row>
    <row r="11" spans="1:23" s="63" customFormat="1">
      <c r="A11" s="376"/>
      <c r="B11" s="129"/>
      <c r="C11" s="139"/>
      <c r="D11" s="141"/>
      <c r="E11" s="73"/>
      <c r="F11" s="145"/>
      <c r="G11" s="143"/>
      <c r="H11" s="72"/>
      <c r="I11" s="50"/>
      <c r="J11" s="71"/>
      <c r="K11" s="71"/>
      <c r="L11" s="71"/>
      <c r="M11" s="144"/>
      <c r="N11" s="71"/>
      <c r="O11" s="71"/>
      <c r="P11" s="71"/>
      <c r="Q11" s="71"/>
      <c r="R11" s="71"/>
      <c r="S11" s="71"/>
      <c r="T11" s="71"/>
      <c r="U11" s="75"/>
      <c r="V11" s="75"/>
      <c r="W11" s="75"/>
    </row>
    <row r="12" spans="1:23" s="63" customFormat="1">
      <c r="A12" s="376"/>
      <c r="B12" s="129"/>
      <c r="C12" s="139"/>
      <c r="D12" s="141"/>
      <c r="E12" s="73"/>
      <c r="F12" s="72"/>
      <c r="G12" s="143"/>
      <c r="H12" s="72"/>
      <c r="I12" s="50"/>
      <c r="J12" s="71"/>
      <c r="K12" s="71"/>
      <c r="L12" s="71"/>
      <c r="M12" s="144"/>
      <c r="N12" s="71"/>
      <c r="O12" s="71"/>
      <c r="P12" s="71"/>
      <c r="Q12" s="71"/>
      <c r="R12" s="71"/>
      <c r="S12" s="71"/>
      <c r="T12" s="71"/>
      <c r="U12" s="75"/>
      <c r="V12" s="75"/>
      <c r="W12" s="75"/>
    </row>
    <row r="13" spans="1:23" s="63" customFormat="1">
      <c r="A13" s="54"/>
      <c r="B13" s="82"/>
      <c r="C13" s="55" t="s">
        <v>17</v>
      </c>
      <c r="D13" s="56">
        <f>SUM(D2:D12)</f>
        <v>10385.666666666673</v>
      </c>
      <c r="E13" s="57"/>
      <c r="F13" s="56">
        <f>SUM(F2:F12)</f>
        <v>534978.00000000035</v>
      </c>
      <c r="G13" s="132"/>
      <c r="H13" s="56">
        <f>SUM(H2:H12)</f>
        <v>21961271.333333347</v>
      </c>
      <c r="I13" s="56">
        <f>SUM(I2:I12)</f>
        <v>13169191.925691938</v>
      </c>
      <c r="J13" s="78"/>
      <c r="K13" s="78"/>
      <c r="L13" s="78"/>
      <c r="M13" s="78"/>
      <c r="N13" s="78"/>
      <c r="O13" s="78"/>
      <c r="P13" s="56">
        <f>SUM(P2:P12)</f>
        <v>2179653.9700000016</v>
      </c>
      <c r="Q13" s="152">
        <f>SUM(Q2:Q12)</f>
        <v>2218462.0445767632</v>
      </c>
      <c r="R13" s="152">
        <f>SUM(R2:R12)</f>
        <v>38808.074576761494</v>
      </c>
      <c r="S13" s="152">
        <f>SUM(S2:S12)</f>
        <v>2221603.0781383906</v>
      </c>
      <c r="T13" s="152">
        <f>SUM(T2:T12)</f>
        <v>-3141.0335616272769</v>
      </c>
      <c r="U13" s="152"/>
      <c r="V13" s="152">
        <f>SUM(V2:V12)</f>
        <v>2221603.0781383906</v>
      </c>
      <c r="W13" s="152">
        <f>SUM(W2:W12)</f>
        <v>41949.108138388772</v>
      </c>
    </row>
    <row r="14" spans="1:23" s="63" customFormat="1" ht="14.45" customHeight="1">
      <c r="A14" s="375" t="s">
        <v>15</v>
      </c>
      <c r="B14" s="140" t="str">
        <f>'Tariff Changes'!$A$78</f>
        <v>Item 240, pg 40</v>
      </c>
      <c r="C14" s="146" t="s">
        <v>133</v>
      </c>
      <c r="D14" s="60"/>
      <c r="E14" s="73"/>
      <c r="F14" s="147">
        <f>38.9997*12</f>
        <v>467.99639999999999</v>
      </c>
      <c r="G14" s="143">
        <f>References!B23</f>
        <v>34</v>
      </c>
      <c r="H14" s="72">
        <f t="shared" ref="H14:H37" si="25">G14*F14</f>
        <v>15911.8776</v>
      </c>
      <c r="I14" s="50">
        <f t="shared" ref="I14:I37" si="26">$D$134*H14</f>
        <v>9541.6411387105618</v>
      </c>
      <c r="J14" s="71">
        <f>(References!$C$49*I14)</f>
        <v>29.722212147083329</v>
      </c>
      <c r="K14" s="71">
        <f>J14/References!$G$52</f>
        <v>30.393917728891839</v>
      </c>
      <c r="L14" s="71">
        <f t="shared" ref="L14:L15" si="27">K14/F14</f>
        <v>6.4944768226618502E-2</v>
      </c>
      <c r="M14" s="71">
        <f>'Tariff Changes'!C79</f>
        <v>3.53</v>
      </c>
      <c r="N14" s="71">
        <f t="shared" ref="N14:N15" si="28">L14+M14</f>
        <v>3.5949447682266182</v>
      </c>
      <c r="O14" s="71">
        <f>'Tariff Changes'!E79</f>
        <v>3.5820897768699105</v>
      </c>
      <c r="P14" s="71">
        <f t="shared" ref="P14:P15" si="29">M14*F14</f>
        <v>1652.027292</v>
      </c>
      <c r="Q14" s="71">
        <f t="shared" ref="Q14:Q15" si="30">O14*F14</f>
        <v>1676.4051200519214</v>
      </c>
      <c r="R14" s="71">
        <f t="shared" ref="R14:R15" si="31">Q14-P14</f>
        <v>24.377828051921369</v>
      </c>
      <c r="S14" s="71">
        <f t="shared" ref="S14:S15" si="32">N14*F14</f>
        <v>1682.4212097288917</v>
      </c>
      <c r="T14" s="71">
        <f t="shared" ref="T14:T15" si="33">Q14-S14</f>
        <v>-6.0160896769702958</v>
      </c>
      <c r="U14" s="75">
        <f t="shared" ref="U14:U15" si="34">N14</f>
        <v>3.5949447682266182</v>
      </c>
      <c r="V14" s="75">
        <f t="shared" ref="V14:V15" si="35">U14*F14</f>
        <v>1682.4212097288917</v>
      </c>
      <c r="W14" s="75">
        <f t="shared" ref="W14:W15" si="36">V14-P14</f>
        <v>30.393917728891665</v>
      </c>
    </row>
    <row r="15" spans="1:23" s="63" customFormat="1">
      <c r="A15" s="376"/>
      <c r="B15" s="140" t="str">
        <f>'Tariff Changes'!$A$78</f>
        <v>Item 240, pg 40</v>
      </c>
      <c r="C15" s="146" t="s">
        <v>134</v>
      </c>
      <c r="D15" s="60"/>
      <c r="E15" s="73"/>
      <c r="F15" s="147">
        <f>38.9997*12</f>
        <v>467.99639999999999</v>
      </c>
      <c r="G15" s="143">
        <f>References!B21</f>
        <v>47</v>
      </c>
      <c r="H15" s="72">
        <f t="shared" si="25"/>
        <v>21995.8308</v>
      </c>
      <c r="I15" s="50">
        <f t="shared" si="26"/>
        <v>13189.915691746952</v>
      </c>
      <c r="J15" s="71">
        <f>(References!$C$49*I15)</f>
        <v>41.086587379791659</v>
      </c>
      <c r="K15" s="71">
        <f>J15/References!$G$52</f>
        <v>42.015121566409306</v>
      </c>
      <c r="L15" s="71">
        <f t="shared" si="27"/>
        <v>8.9776591372090264E-2</v>
      </c>
      <c r="M15" s="71">
        <f>'Tariff Changes'!C80</f>
        <v>6.78</v>
      </c>
      <c r="N15" s="71">
        <f t="shared" si="28"/>
        <v>6.8697765913720907</v>
      </c>
      <c r="O15" s="71">
        <f>'Tariff Changes'!E80</f>
        <v>6.8841795537398216</v>
      </c>
      <c r="P15" s="71">
        <f t="shared" si="29"/>
        <v>3173.0155920000002</v>
      </c>
      <c r="Q15" s="71">
        <f t="shared" si="30"/>
        <v>3221.7712481038429</v>
      </c>
      <c r="R15" s="71">
        <f t="shared" si="31"/>
        <v>48.755656103842739</v>
      </c>
      <c r="S15" s="71">
        <f t="shared" si="32"/>
        <v>3215.0307135664093</v>
      </c>
      <c r="T15" s="71">
        <f t="shared" si="33"/>
        <v>6.7405345374336321</v>
      </c>
      <c r="U15" s="75">
        <f t="shared" si="34"/>
        <v>6.8697765913720907</v>
      </c>
      <c r="V15" s="75">
        <f t="shared" si="35"/>
        <v>3215.0307135664093</v>
      </c>
      <c r="W15" s="75">
        <f t="shared" si="36"/>
        <v>42.015121566409107</v>
      </c>
    </row>
    <row r="16" spans="1:23" s="63" customFormat="1">
      <c r="A16" s="376"/>
      <c r="B16" s="140" t="str">
        <f>'Tariff Changes'!$A$78</f>
        <v>Item 240, pg 40</v>
      </c>
      <c r="C16" s="146" t="s">
        <v>135</v>
      </c>
      <c r="D16" s="72"/>
      <c r="E16" s="73"/>
      <c r="F16" s="148">
        <f>233.9982*12</f>
        <v>2807.9784</v>
      </c>
      <c r="G16" s="149">
        <f>References!B22</f>
        <v>68</v>
      </c>
      <c r="H16" s="72">
        <f t="shared" si="25"/>
        <v>190942.5312</v>
      </c>
      <c r="I16" s="50">
        <f t="shared" si="26"/>
        <v>114499.69366452673</v>
      </c>
      <c r="J16" s="71">
        <f>(References!$C$49*I16)</f>
        <v>356.66654576499991</v>
      </c>
      <c r="K16" s="71">
        <f>J16/References!$G$52</f>
        <v>364.72701274670203</v>
      </c>
      <c r="L16" s="71">
        <f t="shared" ref="L16:L37" si="37">K16/F16</f>
        <v>0.12988953645323698</v>
      </c>
      <c r="M16" s="71">
        <f>'Tariff Changes'!C81</f>
        <v>8.5399999999999991</v>
      </c>
      <c r="N16" s="71">
        <f t="shared" ref="N16:N37" si="38">L16+M16</f>
        <v>8.6698895364532369</v>
      </c>
      <c r="O16" s="71">
        <f>'Tariff Changes'!E81</f>
        <v>8.6962693306097307</v>
      </c>
      <c r="P16" s="71">
        <f t="shared" ref="P16:P37" si="39">M16*F16</f>
        <v>23980.135535999998</v>
      </c>
      <c r="Q16" s="71">
        <f t="shared" ref="Q16:Q37" si="40">O16*F16</f>
        <v>24418.936440934584</v>
      </c>
      <c r="R16" s="71">
        <f t="shared" ref="R16:R37" si="41">Q16-P16</f>
        <v>438.80090493458556</v>
      </c>
      <c r="S16" s="71">
        <f t="shared" ref="S16:S37" si="42">N16*F16</f>
        <v>24344.8625487467</v>
      </c>
      <c r="T16" s="71">
        <f t="shared" ref="T16:T37" si="43">Q16-S16</f>
        <v>74.073892187883757</v>
      </c>
      <c r="U16" s="75">
        <f t="shared" ref="U16:U37" si="44">N16</f>
        <v>8.6698895364532369</v>
      </c>
      <c r="V16" s="75">
        <f t="shared" ref="V16:V37" si="45">U16*F16</f>
        <v>24344.8625487467</v>
      </c>
      <c r="W16" s="75">
        <f t="shared" ref="W16:W37" si="46">V16-P16</f>
        <v>364.7270127467018</v>
      </c>
    </row>
    <row r="17" spans="1:23" s="63" customFormat="1">
      <c r="A17" s="376"/>
      <c r="B17" s="140" t="str">
        <f>'Tariff Changes'!$A$78</f>
        <v>Item 240, pg 40</v>
      </c>
      <c r="C17" s="146" t="s">
        <v>136</v>
      </c>
      <c r="D17" s="72"/>
      <c r="E17" s="73"/>
      <c r="F17" s="148">
        <f>73.6661*12</f>
        <v>883.9932</v>
      </c>
      <c r="G17" s="149">
        <f>References!$B$27</f>
        <v>175</v>
      </c>
      <c r="H17" s="72">
        <f t="shared" si="25"/>
        <v>154698.81</v>
      </c>
      <c r="I17" s="50">
        <f t="shared" si="26"/>
        <v>92765.955515241571</v>
      </c>
      <c r="J17" s="71">
        <f>(References!$C$49*I17)</f>
        <v>288.96595142997683</v>
      </c>
      <c r="K17" s="71">
        <f>J17/References!$G$52</f>
        <v>295.49642236422625</v>
      </c>
      <c r="L17" s="71">
        <f t="shared" si="37"/>
        <v>0.33427454234288934</v>
      </c>
      <c r="M17" s="71">
        <f>'Tariff Changes'!C82</f>
        <v>17.87</v>
      </c>
      <c r="N17" s="71">
        <f t="shared" si="38"/>
        <v>18.20427454234289</v>
      </c>
      <c r="O17" s="71">
        <f>'Tariff Changes'!E82</f>
        <v>18.199682132088043</v>
      </c>
      <c r="P17" s="71">
        <f t="shared" si="39"/>
        <v>15796.958484000001</v>
      </c>
      <c r="Q17" s="71">
        <f t="shared" si="40"/>
        <v>16088.395246927332</v>
      </c>
      <c r="R17" s="71">
        <f t="shared" si="41"/>
        <v>291.43676292733107</v>
      </c>
      <c r="S17" s="71">
        <f t="shared" si="42"/>
        <v>16092.454906364228</v>
      </c>
      <c r="T17" s="71">
        <f t="shared" si="43"/>
        <v>-4.0596594368962542</v>
      </c>
      <c r="U17" s="75">
        <f t="shared" si="44"/>
        <v>18.20427454234289</v>
      </c>
      <c r="V17" s="75">
        <f t="shared" si="45"/>
        <v>16092.454906364228</v>
      </c>
      <c r="W17" s="75">
        <f t="shared" si="46"/>
        <v>295.49642236422733</v>
      </c>
    </row>
    <row r="18" spans="1:23" s="63" customFormat="1">
      <c r="A18" s="376"/>
      <c r="B18" s="140" t="str">
        <f>'Tariff Changes'!$A$78</f>
        <v>Item 240, pg 40</v>
      </c>
      <c r="C18" s="146" t="s">
        <v>153</v>
      </c>
      <c r="D18" s="60"/>
      <c r="E18" s="73"/>
      <c r="F18" s="147">
        <f>4.33*12</f>
        <v>51.96</v>
      </c>
      <c r="G18" s="149">
        <f>References!$B$27</f>
        <v>175</v>
      </c>
      <c r="H18" s="72">
        <f t="shared" si="25"/>
        <v>9093</v>
      </c>
      <c r="I18" s="50">
        <f t="shared" si="26"/>
        <v>5452.665301692311</v>
      </c>
      <c r="J18" s="71">
        <f>(References!$C$49*I18)</f>
        <v>16.985052414771509</v>
      </c>
      <c r="K18" s="71">
        <f>J18/References!$G$52</f>
        <v>17.368905220136526</v>
      </c>
      <c r="L18" s="71">
        <f t="shared" si="37"/>
        <v>0.33427454234288922</v>
      </c>
      <c r="M18" s="71">
        <f>'Tariff Changes'!C83</f>
        <v>17.87</v>
      </c>
      <c r="N18" s="71">
        <f t="shared" si="38"/>
        <v>18.20427454234289</v>
      </c>
      <c r="O18" s="71">
        <f>'Tariff Changes'!E83</f>
        <v>18.199682132088043</v>
      </c>
      <c r="P18" s="71">
        <f t="shared" si="39"/>
        <v>928.52520000000004</v>
      </c>
      <c r="Q18" s="71">
        <f t="shared" si="40"/>
        <v>945.65548358329477</v>
      </c>
      <c r="R18" s="71">
        <f t="shared" si="41"/>
        <v>17.130283583294727</v>
      </c>
      <c r="S18" s="71">
        <f t="shared" si="42"/>
        <v>945.89410522013657</v>
      </c>
      <c r="T18" s="71">
        <f t="shared" si="43"/>
        <v>-0.23862163684179905</v>
      </c>
      <c r="U18" s="75">
        <f t="shared" si="44"/>
        <v>18.20427454234289</v>
      </c>
      <c r="V18" s="75">
        <f t="shared" si="45"/>
        <v>945.89410522013657</v>
      </c>
      <c r="W18" s="75">
        <f t="shared" si="46"/>
        <v>17.368905220136526</v>
      </c>
    </row>
    <row r="19" spans="1:23" s="63" customFormat="1">
      <c r="A19" s="376"/>
      <c r="B19" s="140" t="str">
        <f>'Tariff Changes'!$A$78</f>
        <v>Item 240, pg 40</v>
      </c>
      <c r="C19" s="146" t="s">
        <v>137</v>
      </c>
      <c r="D19" s="60"/>
      <c r="E19" s="73"/>
      <c r="F19" s="147">
        <f>2*12</f>
        <v>24</v>
      </c>
      <c r="G19" s="150">
        <f>((References!$B$28-References!$B$27)/2)+References!$B$27</f>
        <v>212.5</v>
      </c>
      <c r="H19" s="72">
        <f t="shared" si="25"/>
        <v>5100</v>
      </c>
      <c r="I19" s="50">
        <f t="shared" si="26"/>
        <v>3058.2418386265026</v>
      </c>
      <c r="J19" s="71">
        <f>(References!$C$49*I19)</f>
        <v>9.5264233273215329</v>
      </c>
      <c r="K19" s="71">
        <f>J19/References!$G$52</f>
        <v>9.7417152339927728</v>
      </c>
      <c r="L19" s="71">
        <f t="shared" si="37"/>
        <v>0.40590480141636553</v>
      </c>
      <c r="M19" s="71">
        <f>'Tariff Changes'!C84</f>
        <v>24.94</v>
      </c>
      <c r="N19" s="71">
        <f t="shared" si="38"/>
        <v>25.345904801416367</v>
      </c>
      <c r="O19" s="71">
        <f>'Tariff Changes'!E84</f>
        <v>25.352102665110056</v>
      </c>
      <c r="P19" s="71">
        <f t="shared" si="39"/>
        <v>598.56000000000006</v>
      </c>
      <c r="Q19" s="71">
        <f t="shared" si="40"/>
        <v>608.45046396264138</v>
      </c>
      <c r="R19" s="71">
        <f t="shared" si="41"/>
        <v>9.89046396264132</v>
      </c>
      <c r="S19" s="71">
        <f t="shared" si="42"/>
        <v>608.30171523399281</v>
      </c>
      <c r="T19" s="71">
        <f t="shared" si="43"/>
        <v>0.14874872864857025</v>
      </c>
      <c r="U19" s="75">
        <f t="shared" si="44"/>
        <v>25.345904801416367</v>
      </c>
      <c r="V19" s="75">
        <f t="shared" si="45"/>
        <v>608.30171523399281</v>
      </c>
      <c r="W19" s="75">
        <f t="shared" si="46"/>
        <v>9.7417152339927497</v>
      </c>
    </row>
    <row r="20" spans="1:23" s="63" customFormat="1">
      <c r="A20" s="376"/>
      <c r="B20" s="140" t="str">
        <f>'Tariff Changes'!$A$78</f>
        <v>Item 240, pg 40</v>
      </c>
      <c r="C20" s="146" t="s">
        <v>138</v>
      </c>
      <c r="D20" s="60"/>
      <c r="E20" s="73"/>
      <c r="F20" s="147">
        <f>64.9995*12</f>
        <v>779.99399999999991</v>
      </c>
      <c r="G20" s="150">
        <f>((References!$B$28-References!$B$27)/2)+References!$B$27</f>
        <v>212.5</v>
      </c>
      <c r="H20" s="72">
        <f t="shared" si="25"/>
        <v>165748.72499999998</v>
      </c>
      <c r="I20" s="50">
        <f t="shared" si="26"/>
        <v>99392.09519490166</v>
      </c>
      <c r="J20" s="71">
        <f>(References!$C$49*I20)</f>
        <v>309.60637653211796</v>
      </c>
      <c r="K20" s="71">
        <f>J20/References!$G$52</f>
        <v>316.60330967595661</v>
      </c>
      <c r="L20" s="71">
        <f t="shared" si="37"/>
        <v>0.40590480141636559</v>
      </c>
      <c r="M20" s="71">
        <f>'Tariff Changes'!C85</f>
        <v>21.1</v>
      </c>
      <c r="N20" s="71">
        <f t="shared" si="38"/>
        <v>21.505904801416367</v>
      </c>
      <c r="O20" s="71">
        <f>'Tariff Changes'!E85</f>
        <v>21.512102665110056</v>
      </c>
      <c r="P20" s="71">
        <f t="shared" si="39"/>
        <v>16457.8734</v>
      </c>
      <c r="Q20" s="71">
        <f t="shared" si="40"/>
        <v>16779.31100616985</v>
      </c>
      <c r="R20" s="71">
        <f t="shared" si="41"/>
        <v>321.43760616984946</v>
      </c>
      <c r="S20" s="71">
        <f t="shared" si="42"/>
        <v>16774.476709675957</v>
      </c>
      <c r="T20" s="71">
        <f t="shared" si="43"/>
        <v>4.8342964938929072</v>
      </c>
      <c r="U20" s="75">
        <f t="shared" si="44"/>
        <v>21.505904801416367</v>
      </c>
      <c r="V20" s="75">
        <f t="shared" si="45"/>
        <v>16774.476709675957</v>
      </c>
      <c r="W20" s="75">
        <f t="shared" si="46"/>
        <v>316.60330967595655</v>
      </c>
    </row>
    <row r="21" spans="1:23" s="63" customFormat="1" ht="15" customHeight="1">
      <c r="A21" s="376"/>
      <c r="B21" s="140" t="str">
        <f>'Tariff Changes'!$A$78</f>
        <v>Item 240, pg 40</v>
      </c>
      <c r="C21" s="146" t="s">
        <v>140</v>
      </c>
      <c r="D21" s="60"/>
      <c r="E21" s="73"/>
      <c r="F21" s="147">
        <f>5*12</f>
        <v>60</v>
      </c>
      <c r="G21" s="143">
        <f>References!$B$29</f>
        <v>324</v>
      </c>
      <c r="H21" s="72">
        <f t="shared" si="25"/>
        <v>19440</v>
      </c>
      <c r="I21" s="50">
        <f t="shared" si="26"/>
        <v>11657.298302529258</v>
      </c>
      <c r="J21" s="71">
        <f>(References!$C$49*I21)</f>
        <v>36.312484212378557</v>
      </c>
      <c r="K21" s="71">
        <f>J21/References!$G$52</f>
        <v>37.133126303690112</v>
      </c>
      <c r="L21" s="71">
        <f t="shared" si="37"/>
        <v>0.61888543839483523</v>
      </c>
      <c r="M21" s="71">
        <f>'Tariff Changes'!C86</f>
        <v>36.75</v>
      </c>
      <c r="N21" s="71">
        <f t="shared" si="38"/>
        <v>37.368885438394834</v>
      </c>
      <c r="O21" s="71">
        <f>'Tariff Changes'!E86</f>
        <v>37.409999999999997</v>
      </c>
      <c r="P21" s="71">
        <f t="shared" si="39"/>
        <v>2205</v>
      </c>
      <c r="Q21" s="71">
        <f t="shared" si="40"/>
        <v>2244.6</v>
      </c>
      <c r="R21" s="71">
        <f t="shared" si="41"/>
        <v>39.599999999999909</v>
      </c>
      <c r="S21" s="71">
        <f t="shared" si="42"/>
        <v>2242.13312630369</v>
      </c>
      <c r="T21" s="71">
        <f t="shared" si="43"/>
        <v>2.4668736963099036</v>
      </c>
      <c r="U21" s="75">
        <f t="shared" si="44"/>
        <v>37.368885438394834</v>
      </c>
      <c r="V21" s="75">
        <f t="shared" si="45"/>
        <v>2242.13312630369</v>
      </c>
      <c r="W21" s="75">
        <f t="shared" si="46"/>
        <v>37.133126303690005</v>
      </c>
    </row>
    <row r="22" spans="1:23" s="63" customFormat="1">
      <c r="A22" s="376"/>
      <c r="B22" s="140" t="str">
        <f>'Tariff Changes'!$A$78</f>
        <v>Item 240, pg 40</v>
      </c>
      <c r="C22" s="146" t="s">
        <v>141</v>
      </c>
      <c r="D22" s="60"/>
      <c r="E22" s="73"/>
      <c r="F22" s="147">
        <f>95.326*12</f>
        <v>1143.9119999999998</v>
      </c>
      <c r="G22" s="143">
        <f>References!$B$29</f>
        <v>324</v>
      </c>
      <c r="H22" s="72">
        <f t="shared" si="25"/>
        <v>370627.48799999995</v>
      </c>
      <c r="I22" s="50">
        <f t="shared" si="26"/>
        <v>222248.72359738077</v>
      </c>
      <c r="J22" s="71">
        <f>(References!$C$49*I22)</f>
        <v>692.30477400583948</v>
      </c>
      <c r="K22" s="71">
        <f>J22/References!$G$52</f>
        <v>707.95047960511249</v>
      </c>
      <c r="L22" s="71">
        <f t="shared" si="37"/>
        <v>0.61888543839483512</v>
      </c>
      <c r="M22" s="71">
        <f>'Tariff Changes'!C87</f>
        <v>32.58</v>
      </c>
      <c r="N22" s="71">
        <f t="shared" si="38"/>
        <v>33.198885438394832</v>
      </c>
      <c r="O22" s="71">
        <f>'Tariff Changes'!E87</f>
        <v>33.239999999999995</v>
      </c>
      <c r="P22" s="71">
        <f t="shared" si="39"/>
        <v>37268.652959999992</v>
      </c>
      <c r="Q22" s="71">
        <f t="shared" si="40"/>
        <v>38023.634879999991</v>
      </c>
      <c r="R22" s="71">
        <f t="shared" si="41"/>
        <v>754.98191999999835</v>
      </c>
      <c r="S22" s="71">
        <f t="shared" si="42"/>
        <v>37976.603439605104</v>
      </c>
      <c r="T22" s="71">
        <f t="shared" si="43"/>
        <v>47.031440394886886</v>
      </c>
      <c r="U22" s="75">
        <f t="shared" si="44"/>
        <v>33.198885438394832</v>
      </c>
      <c r="V22" s="75">
        <f t="shared" si="45"/>
        <v>37976.603439605104</v>
      </c>
      <c r="W22" s="75">
        <f t="shared" si="46"/>
        <v>707.95047960511147</v>
      </c>
    </row>
    <row r="23" spans="1:23" s="63" customFormat="1">
      <c r="A23" s="376"/>
      <c r="B23" s="140" t="str">
        <f>'Tariff Changes'!$A$78</f>
        <v>Item 240, pg 40</v>
      </c>
      <c r="C23" s="146" t="s">
        <v>142</v>
      </c>
      <c r="D23" s="60"/>
      <c r="E23" s="73"/>
      <c r="F23" s="147">
        <f>8.666*12</f>
        <v>103.992</v>
      </c>
      <c r="G23" s="143">
        <f>References!$B$29</f>
        <v>324</v>
      </c>
      <c r="H23" s="72">
        <f t="shared" si="25"/>
        <v>33693.408000000003</v>
      </c>
      <c r="I23" s="50">
        <f t="shared" si="26"/>
        <v>20204.429417943709</v>
      </c>
      <c r="J23" s="71">
        <f>(References!$C$49*I23)</f>
        <v>62.936797636894511</v>
      </c>
      <c r="K23" s="71">
        <f>J23/References!$G$52</f>
        <v>64.359134509555687</v>
      </c>
      <c r="L23" s="71">
        <f t="shared" si="37"/>
        <v>0.61888543839483501</v>
      </c>
      <c r="M23" s="71">
        <f>'Tariff Changes'!C88</f>
        <v>32.58</v>
      </c>
      <c r="N23" s="71">
        <f t="shared" si="38"/>
        <v>33.198885438394832</v>
      </c>
      <c r="O23" s="71">
        <f>'Tariff Changes'!E88</f>
        <v>33.239999999999995</v>
      </c>
      <c r="P23" s="71">
        <f t="shared" si="39"/>
        <v>3388.0593599999997</v>
      </c>
      <c r="Q23" s="71">
        <f t="shared" si="40"/>
        <v>3456.6940799999998</v>
      </c>
      <c r="R23" s="71">
        <f t="shared" si="41"/>
        <v>68.634720000000016</v>
      </c>
      <c r="S23" s="71">
        <f t="shared" si="42"/>
        <v>3452.4184945095553</v>
      </c>
      <c r="T23" s="71">
        <f t="shared" si="43"/>
        <v>4.2755854904444277</v>
      </c>
      <c r="U23" s="75">
        <f t="shared" si="44"/>
        <v>33.198885438394832</v>
      </c>
      <c r="V23" s="75">
        <f t="shared" si="45"/>
        <v>3452.4184945095553</v>
      </c>
      <c r="W23" s="75">
        <f t="shared" si="46"/>
        <v>64.359134509555588</v>
      </c>
    </row>
    <row r="24" spans="1:23" s="63" customFormat="1">
      <c r="A24" s="376"/>
      <c r="B24" s="140" t="str">
        <f>'Tariff Changes'!$A$78</f>
        <v>Item 240, pg 40</v>
      </c>
      <c r="C24" s="146" t="s">
        <v>143</v>
      </c>
      <c r="D24" s="72"/>
      <c r="E24" s="73"/>
      <c r="F24" s="148">
        <f>2*12</f>
        <v>24</v>
      </c>
      <c r="G24" s="149">
        <f>References!$B$30</f>
        <v>473</v>
      </c>
      <c r="H24" s="72">
        <f t="shared" si="25"/>
        <v>11352</v>
      </c>
      <c r="I24" s="50">
        <f t="shared" si="26"/>
        <v>6807.2865396251091</v>
      </c>
      <c r="J24" s="71">
        <f>(References!$C$49*I24)</f>
        <v>21.204697570932165</v>
      </c>
      <c r="K24" s="71">
        <f>J24/References!$G$52</f>
        <v>21.683912026722737</v>
      </c>
      <c r="L24" s="71">
        <f t="shared" si="37"/>
        <v>0.90349633444678068</v>
      </c>
      <c r="M24" s="71">
        <f>'Tariff Changes'!C89</f>
        <v>51.43</v>
      </c>
      <c r="N24" s="71">
        <f t="shared" si="38"/>
        <v>52.333496334446778</v>
      </c>
      <c r="O24" s="71">
        <f>'Tariff Changes'!E89</f>
        <v>52.42</v>
      </c>
      <c r="P24" s="71">
        <f t="shared" si="39"/>
        <v>1234.32</v>
      </c>
      <c r="Q24" s="71">
        <f t="shared" si="40"/>
        <v>1258.08</v>
      </c>
      <c r="R24" s="71">
        <f t="shared" si="41"/>
        <v>23.759999999999991</v>
      </c>
      <c r="S24" s="71">
        <f t="shared" si="42"/>
        <v>1256.0039120267227</v>
      </c>
      <c r="T24" s="71">
        <f t="shared" si="43"/>
        <v>2.0760879732772537</v>
      </c>
      <c r="U24" s="75">
        <f t="shared" si="44"/>
        <v>52.333496334446778</v>
      </c>
      <c r="V24" s="75">
        <f t="shared" si="45"/>
        <v>1256.0039120267227</v>
      </c>
      <c r="W24" s="75">
        <f t="shared" si="46"/>
        <v>21.683912026722737</v>
      </c>
    </row>
    <row r="25" spans="1:23" s="63" customFormat="1">
      <c r="A25" s="376"/>
      <c r="B25" s="140" t="str">
        <f>'Tariff Changes'!$A$78</f>
        <v>Item 240, pg 40</v>
      </c>
      <c r="C25" s="146" t="s">
        <v>144</v>
      </c>
      <c r="D25" s="72"/>
      <c r="E25" s="73"/>
      <c r="F25" s="148">
        <f>77.9994*12</f>
        <v>935.99279999999999</v>
      </c>
      <c r="G25" s="149">
        <f>References!$B$30</f>
        <v>473</v>
      </c>
      <c r="H25" s="72">
        <f t="shared" si="25"/>
        <v>442724.5944</v>
      </c>
      <c r="I25" s="50">
        <f t="shared" si="26"/>
        <v>265482.13285941735</v>
      </c>
      <c r="J25" s="71">
        <f>(References!$C$49*I25)</f>
        <v>826.97684385708317</v>
      </c>
      <c r="K25" s="71">
        <f>J25/References!$G$52</f>
        <v>845.66606386857882</v>
      </c>
      <c r="L25" s="71">
        <f t="shared" si="37"/>
        <v>0.90349633444678079</v>
      </c>
      <c r="M25" s="71">
        <f>'Tariff Changes'!C90</f>
        <v>47.89</v>
      </c>
      <c r="N25" s="71">
        <f t="shared" si="38"/>
        <v>48.793496334446779</v>
      </c>
      <c r="O25" s="71">
        <f>'Tariff Changes'!E90</f>
        <v>48.88</v>
      </c>
      <c r="P25" s="71">
        <f t="shared" si="39"/>
        <v>44824.695191999999</v>
      </c>
      <c r="Q25" s="71">
        <f t="shared" si="40"/>
        <v>45751.328064000001</v>
      </c>
      <c r="R25" s="71">
        <f t="shared" si="41"/>
        <v>926.63287200000195</v>
      </c>
      <c r="S25" s="71">
        <f t="shared" si="42"/>
        <v>45670.361255868578</v>
      </c>
      <c r="T25" s="71">
        <f t="shared" si="43"/>
        <v>80.966808131423022</v>
      </c>
      <c r="U25" s="75">
        <f t="shared" si="44"/>
        <v>48.793496334446779</v>
      </c>
      <c r="V25" s="75">
        <f t="shared" si="45"/>
        <v>45670.361255868578</v>
      </c>
      <c r="W25" s="75">
        <f t="shared" si="46"/>
        <v>845.66606386857893</v>
      </c>
    </row>
    <row r="26" spans="1:23" s="63" customFormat="1" ht="15" customHeight="1">
      <c r="A26" s="376"/>
      <c r="B26" s="140" t="str">
        <f>'Tariff Changes'!$A$78</f>
        <v>Item 240, pg 40</v>
      </c>
      <c r="C26" s="146" t="s">
        <v>145</v>
      </c>
      <c r="D26" s="60"/>
      <c r="E26" s="73"/>
      <c r="F26" s="147">
        <f>17.3332*12</f>
        <v>207.9984</v>
      </c>
      <c r="G26" s="149">
        <f>References!$B$30</f>
        <v>473</v>
      </c>
      <c r="H26" s="72">
        <f t="shared" si="25"/>
        <v>98383.243199999997</v>
      </c>
      <c r="I26" s="50">
        <f t="shared" si="26"/>
        <v>58996.029524314974</v>
      </c>
      <c r="J26" s="71">
        <f>(References!$C$49*I26)</f>
        <v>183.77263196824072</v>
      </c>
      <c r="K26" s="71">
        <f>J26/References!$G$52</f>
        <v>187.9257919707953</v>
      </c>
      <c r="L26" s="71">
        <f t="shared" si="37"/>
        <v>0.90349633444678079</v>
      </c>
      <c r="M26" s="71">
        <f>'Tariff Changes'!C91</f>
        <v>47.89</v>
      </c>
      <c r="N26" s="71">
        <f t="shared" si="38"/>
        <v>48.793496334446779</v>
      </c>
      <c r="O26" s="71">
        <f>'Tariff Changes'!E91</f>
        <v>48.88</v>
      </c>
      <c r="P26" s="71">
        <f t="shared" si="39"/>
        <v>9961.0433759999996</v>
      </c>
      <c r="Q26" s="71">
        <f t="shared" si="40"/>
        <v>10166.961792</v>
      </c>
      <c r="R26" s="71">
        <f t="shared" si="41"/>
        <v>205.91841600000043</v>
      </c>
      <c r="S26" s="71">
        <f t="shared" si="42"/>
        <v>10148.969167970796</v>
      </c>
      <c r="T26" s="71">
        <f t="shared" si="43"/>
        <v>17.992624029204308</v>
      </c>
      <c r="U26" s="75">
        <f t="shared" si="44"/>
        <v>48.793496334446779</v>
      </c>
      <c r="V26" s="75">
        <f t="shared" si="45"/>
        <v>10148.969167970796</v>
      </c>
      <c r="W26" s="75">
        <f t="shared" si="46"/>
        <v>187.92579197079613</v>
      </c>
    </row>
    <row r="27" spans="1:23" s="63" customFormat="1">
      <c r="A27" s="376"/>
      <c r="B27" s="140" t="str">
        <f>'Tariff Changes'!$A$78</f>
        <v>Item 240, pg 40</v>
      </c>
      <c r="C27" s="146" t="s">
        <v>146</v>
      </c>
      <c r="D27" s="60"/>
      <c r="E27" s="73"/>
      <c r="F27" s="147">
        <f>25.9998*12</f>
        <v>311.99760000000003</v>
      </c>
      <c r="G27" s="149">
        <f>References!$B$30</f>
        <v>473</v>
      </c>
      <c r="H27" s="72">
        <f t="shared" si="25"/>
        <v>147574.86480000001</v>
      </c>
      <c r="I27" s="50">
        <f t="shared" si="26"/>
        <v>88494.044286472461</v>
      </c>
      <c r="J27" s="71">
        <f>(References!$C$49*I27)</f>
        <v>275.65894795236107</v>
      </c>
      <c r="K27" s="71">
        <f>J27/References!$G$52</f>
        <v>281.88868795619294</v>
      </c>
      <c r="L27" s="71">
        <f t="shared" si="37"/>
        <v>0.90349633444678068</v>
      </c>
      <c r="M27" s="71">
        <f>'Tariff Changes'!C92</f>
        <v>47.89</v>
      </c>
      <c r="N27" s="71">
        <f t="shared" si="38"/>
        <v>48.793496334446779</v>
      </c>
      <c r="O27" s="71">
        <f>'Tariff Changes'!E92</f>
        <v>48.88</v>
      </c>
      <c r="P27" s="71">
        <f t="shared" si="39"/>
        <v>14941.565064000002</v>
      </c>
      <c r="Q27" s="71">
        <f t="shared" si="40"/>
        <v>15250.442688000003</v>
      </c>
      <c r="R27" s="71">
        <f t="shared" si="41"/>
        <v>308.87762400000065</v>
      </c>
      <c r="S27" s="71">
        <f t="shared" si="42"/>
        <v>15223.453751956195</v>
      </c>
      <c r="T27" s="71">
        <f t="shared" si="43"/>
        <v>26.98893604380828</v>
      </c>
      <c r="U27" s="75">
        <f t="shared" si="44"/>
        <v>48.793496334446779</v>
      </c>
      <c r="V27" s="75">
        <f t="shared" si="45"/>
        <v>15223.453751956195</v>
      </c>
      <c r="W27" s="75">
        <f t="shared" si="46"/>
        <v>281.88868795619237</v>
      </c>
    </row>
    <row r="28" spans="1:23" s="63" customFormat="1">
      <c r="A28" s="376"/>
      <c r="B28" s="140" t="str">
        <f>'Tariff Changes'!$A$78</f>
        <v>Item 240, pg 40</v>
      </c>
      <c r="C28" s="146" t="s">
        <v>147</v>
      </c>
      <c r="D28" s="60"/>
      <c r="E28" s="73"/>
      <c r="F28" s="147">
        <f>8*12</f>
        <v>96</v>
      </c>
      <c r="G28" s="143">
        <f>References!$B$31</f>
        <v>613</v>
      </c>
      <c r="H28" s="72">
        <f t="shared" si="25"/>
        <v>58848</v>
      </c>
      <c r="I28" s="50">
        <f t="shared" si="26"/>
        <v>35288.512886174984</v>
      </c>
      <c r="J28" s="71">
        <f>(References!$C$49*I28)</f>
        <v>109.92371764043482</v>
      </c>
      <c r="K28" s="71">
        <f>J28/References!$G$52</f>
        <v>112.40793295882484</v>
      </c>
      <c r="L28" s="71">
        <f t="shared" si="37"/>
        <v>1.1709159683210921</v>
      </c>
      <c r="M28" s="71">
        <f>'Tariff Changes'!C93</f>
        <v>67.28</v>
      </c>
      <c r="N28" s="71">
        <f t="shared" si="38"/>
        <v>68.450915968321098</v>
      </c>
      <c r="O28" s="71">
        <f>'Tariff Changes'!E93</f>
        <v>68.599999999999994</v>
      </c>
      <c r="P28" s="71">
        <f t="shared" si="39"/>
        <v>6458.88</v>
      </c>
      <c r="Q28" s="71">
        <f t="shared" si="40"/>
        <v>6585.5999999999995</v>
      </c>
      <c r="R28" s="71">
        <f t="shared" si="41"/>
        <v>126.71999999999935</v>
      </c>
      <c r="S28" s="71">
        <f t="shared" si="42"/>
        <v>6571.287932958825</v>
      </c>
      <c r="T28" s="71">
        <f t="shared" si="43"/>
        <v>14.312067041174487</v>
      </c>
      <c r="U28" s="75">
        <f t="shared" si="44"/>
        <v>68.450915968321098</v>
      </c>
      <c r="V28" s="75">
        <f t="shared" si="45"/>
        <v>6571.287932958825</v>
      </c>
      <c r="W28" s="75">
        <f t="shared" si="46"/>
        <v>112.40793295882486</v>
      </c>
    </row>
    <row r="29" spans="1:23" s="63" customFormat="1">
      <c r="A29" s="376"/>
      <c r="B29" s="140" t="str">
        <f>'Tariff Changes'!$A$78</f>
        <v>Item 240, pg 40</v>
      </c>
      <c r="C29" s="146" t="s">
        <v>148</v>
      </c>
      <c r="D29" s="72"/>
      <c r="E29" s="73"/>
      <c r="F29" s="148">
        <f>129.999*12</f>
        <v>1559.9879999999998</v>
      </c>
      <c r="G29" s="143">
        <f>References!$B$31</f>
        <v>613</v>
      </c>
      <c r="H29" s="72">
        <f t="shared" si="25"/>
        <v>956272.64399999985</v>
      </c>
      <c r="I29" s="50">
        <f t="shared" si="26"/>
        <v>573433.92333623266</v>
      </c>
      <c r="J29" s="71">
        <f>(References!$C$49*I29)</f>
        <v>1786.2466711923605</v>
      </c>
      <c r="K29" s="71">
        <f>J29/References!$G$52</f>
        <v>1826.6148595892837</v>
      </c>
      <c r="L29" s="71">
        <f t="shared" si="37"/>
        <v>1.1709159683210921</v>
      </c>
      <c r="M29" s="71">
        <f>'Tariff Changes'!C94</f>
        <v>61.34</v>
      </c>
      <c r="N29" s="71">
        <f t="shared" si="38"/>
        <v>62.510915968321093</v>
      </c>
      <c r="O29" s="71">
        <f>'Tariff Changes'!E94</f>
        <v>62.660000000000004</v>
      </c>
      <c r="P29" s="71">
        <f t="shared" si="39"/>
        <v>95689.663919999992</v>
      </c>
      <c r="Q29" s="71">
        <f t="shared" si="40"/>
        <v>97748.848079999996</v>
      </c>
      <c r="R29" s="71">
        <f t="shared" si="41"/>
        <v>2059.1841600000043</v>
      </c>
      <c r="S29" s="71">
        <f t="shared" si="42"/>
        <v>97516.27877958928</v>
      </c>
      <c r="T29" s="71">
        <f t="shared" si="43"/>
        <v>232.5693004107161</v>
      </c>
      <c r="U29" s="75">
        <f t="shared" si="44"/>
        <v>62.510915968321093</v>
      </c>
      <c r="V29" s="75">
        <f t="shared" si="45"/>
        <v>97516.27877958928</v>
      </c>
      <c r="W29" s="75">
        <f t="shared" si="46"/>
        <v>1826.6148595892882</v>
      </c>
    </row>
    <row r="30" spans="1:23" s="63" customFormat="1">
      <c r="A30" s="376"/>
      <c r="B30" s="140" t="str">
        <f>'Tariff Changes'!$A$78</f>
        <v>Item 240, pg 40</v>
      </c>
      <c r="C30" s="146" t="s">
        <v>149</v>
      </c>
      <c r="D30" s="72"/>
      <c r="E30" s="73"/>
      <c r="F30" s="148">
        <f>77.9994*12</f>
        <v>935.99279999999999</v>
      </c>
      <c r="G30" s="143">
        <f>References!$B$31</f>
        <v>613</v>
      </c>
      <c r="H30" s="72">
        <f t="shared" si="25"/>
        <v>573763.58640000003</v>
      </c>
      <c r="I30" s="50">
        <f t="shared" si="26"/>
        <v>344060.35400173964</v>
      </c>
      <c r="J30" s="71">
        <f>(References!$C$49*I30)</f>
        <v>1071.7480027154165</v>
      </c>
      <c r="K30" s="71">
        <f>J30/References!$G$52</f>
        <v>1095.9689157535704</v>
      </c>
      <c r="L30" s="71">
        <f t="shared" si="37"/>
        <v>1.1709159683210921</v>
      </c>
      <c r="M30" s="71">
        <f>'Tariff Changes'!C95</f>
        <v>61.34</v>
      </c>
      <c r="N30" s="71">
        <f t="shared" si="38"/>
        <v>62.510915968321093</v>
      </c>
      <c r="O30" s="71">
        <f>'Tariff Changes'!E95</f>
        <v>62.660000000000004</v>
      </c>
      <c r="P30" s="71">
        <f t="shared" si="39"/>
        <v>57413.798352000005</v>
      </c>
      <c r="Q30" s="71">
        <f t="shared" si="40"/>
        <v>58649.308848000001</v>
      </c>
      <c r="R30" s="71">
        <f t="shared" si="41"/>
        <v>1235.5104959999953</v>
      </c>
      <c r="S30" s="71">
        <f t="shared" si="42"/>
        <v>58509.767267753574</v>
      </c>
      <c r="T30" s="71">
        <f t="shared" si="43"/>
        <v>139.54158024642675</v>
      </c>
      <c r="U30" s="75">
        <f t="shared" si="44"/>
        <v>62.510915968321093</v>
      </c>
      <c r="V30" s="75">
        <f t="shared" si="45"/>
        <v>58509.767267753574</v>
      </c>
      <c r="W30" s="75">
        <f t="shared" si="46"/>
        <v>1095.9689157535686</v>
      </c>
    </row>
    <row r="31" spans="1:23" s="63" customFormat="1">
      <c r="A31" s="376"/>
      <c r="B31" s="140" t="str">
        <f>'Tariff Changes'!$A$78</f>
        <v>Item 240, pg 40</v>
      </c>
      <c r="C31" s="146" t="s">
        <v>150</v>
      </c>
      <c r="D31" s="60"/>
      <c r="E31" s="73"/>
      <c r="F31" s="147">
        <f>38.9997*12</f>
        <v>467.99639999999999</v>
      </c>
      <c r="G31" s="143">
        <f>References!$B$31</f>
        <v>613</v>
      </c>
      <c r="H31" s="72">
        <f t="shared" si="25"/>
        <v>286881.79320000001</v>
      </c>
      <c r="I31" s="50">
        <f t="shared" si="26"/>
        <v>172030.17700086982</v>
      </c>
      <c r="J31" s="71">
        <f>(References!$C$49*I31)</f>
        <v>535.87400135770827</v>
      </c>
      <c r="K31" s="71">
        <f>J31/References!$G$52</f>
        <v>547.9844578767852</v>
      </c>
      <c r="L31" s="71">
        <f t="shared" si="37"/>
        <v>1.1709159683210921</v>
      </c>
      <c r="M31" s="71">
        <f>'Tariff Changes'!C96</f>
        <v>61.34</v>
      </c>
      <c r="N31" s="71">
        <f t="shared" si="38"/>
        <v>62.510915968321093</v>
      </c>
      <c r="O31" s="71">
        <f>'Tariff Changes'!E96</f>
        <v>62.660000000000004</v>
      </c>
      <c r="P31" s="71">
        <f t="shared" si="39"/>
        <v>28706.899176000003</v>
      </c>
      <c r="Q31" s="71">
        <f t="shared" si="40"/>
        <v>29324.654424</v>
      </c>
      <c r="R31" s="71">
        <f t="shared" si="41"/>
        <v>617.75524799999766</v>
      </c>
      <c r="S31" s="71">
        <f t="shared" si="42"/>
        <v>29254.883633876787</v>
      </c>
      <c r="T31" s="71">
        <f t="shared" si="43"/>
        <v>69.770790123213374</v>
      </c>
      <c r="U31" s="75">
        <f t="shared" si="44"/>
        <v>62.510915968321093</v>
      </c>
      <c r="V31" s="75">
        <f t="shared" si="45"/>
        <v>29254.883633876787</v>
      </c>
      <c r="W31" s="75">
        <f t="shared" si="46"/>
        <v>547.98445787678429</v>
      </c>
    </row>
    <row r="32" spans="1:23" s="63" customFormat="1">
      <c r="A32" s="376"/>
      <c r="B32" s="140" t="str">
        <f>'Tariff Changes'!$A$78</f>
        <v>Item 240, pg 40</v>
      </c>
      <c r="C32" s="146" t="s">
        <v>127</v>
      </c>
      <c r="D32" s="60"/>
      <c r="E32" s="73"/>
      <c r="F32" s="147">
        <f>8*12</f>
        <v>96</v>
      </c>
      <c r="G32" s="143">
        <f>References!$B$32</f>
        <v>840</v>
      </c>
      <c r="H32" s="72">
        <f t="shared" si="25"/>
        <v>80640</v>
      </c>
      <c r="I32" s="50">
        <f t="shared" si="26"/>
        <v>48356.200366047291</v>
      </c>
      <c r="J32" s="71">
        <f>(References!$C$49*I32)</f>
        <v>150.62956414023697</v>
      </c>
      <c r="K32" s="71">
        <f>J32/References!$G$52</f>
        <v>154.0337091116034</v>
      </c>
      <c r="L32" s="71">
        <f t="shared" si="37"/>
        <v>1.6045178032458687</v>
      </c>
      <c r="M32" s="71">
        <f>'Tariff Changes'!C97</f>
        <v>99.95</v>
      </c>
      <c r="N32" s="71">
        <f t="shared" si="38"/>
        <v>101.55451780324587</v>
      </c>
      <c r="O32" s="71">
        <f>'Tariff Changes'!E97</f>
        <v>101.93</v>
      </c>
      <c r="P32" s="71">
        <f t="shared" si="39"/>
        <v>9595.2000000000007</v>
      </c>
      <c r="Q32" s="71">
        <f t="shared" si="40"/>
        <v>9785.2800000000007</v>
      </c>
      <c r="R32" s="71">
        <f t="shared" si="41"/>
        <v>190.07999999999993</v>
      </c>
      <c r="S32" s="71">
        <f t="shared" si="42"/>
        <v>9749.2337091116042</v>
      </c>
      <c r="T32" s="71">
        <f t="shared" si="43"/>
        <v>36.04629088839647</v>
      </c>
      <c r="U32" s="75">
        <f t="shared" si="44"/>
        <v>101.55451780324587</v>
      </c>
      <c r="V32" s="75">
        <f t="shared" si="45"/>
        <v>9749.2337091116042</v>
      </c>
      <c r="W32" s="75">
        <f t="shared" si="46"/>
        <v>154.03370911160346</v>
      </c>
    </row>
    <row r="33" spans="1:23" s="63" customFormat="1">
      <c r="A33" s="376"/>
      <c r="B33" s="140" t="str">
        <f>'Tariff Changes'!$A$78</f>
        <v>Item 240, pg 40</v>
      </c>
      <c r="C33" s="146" t="s">
        <v>128</v>
      </c>
      <c r="D33" s="72"/>
      <c r="E33" s="73"/>
      <c r="F33" s="148">
        <f>60.6662*12</f>
        <v>727.99440000000004</v>
      </c>
      <c r="G33" s="143">
        <f>References!$B$32</f>
        <v>840</v>
      </c>
      <c r="H33" s="72">
        <f t="shared" si="25"/>
        <v>611515.29600000009</v>
      </c>
      <c r="I33" s="50">
        <f t="shared" si="26"/>
        <v>366698.36533083732</v>
      </c>
      <c r="J33" s="71">
        <f>(References!$C$49*I33)</f>
        <v>1142.2654080055556</v>
      </c>
      <c r="K33" s="71">
        <f>J33/References!$G$52</f>
        <v>1168.0799754632944</v>
      </c>
      <c r="L33" s="71">
        <f t="shared" si="37"/>
        <v>1.6045178032458689</v>
      </c>
      <c r="M33" s="71">
        <f>'Tariff Changes'!C98</f>
        <v>91.64</v>
      </c>
      <c r="N33" s="71">
        <f t="shared" si="38"/>
        <v>93.24451780324587</v>
      </c>
      <c r="O33" s="71">
        <f>'Tariff Changes'!E98</f>
        <v>93.62</v>
      </c>
      <c r="P33" s="71">
        <f t="shared" si="39"/>
        <v>66713.406816000002</v>
      </c>
      <c r="Q33" s="71">
        <f t="shared" si="40"/>
        <v>68154.835728000005</v>
      </c>
      <c r="R33" s="71">
        <f t="shared" si="41"/>
        <v>1441.428912000003</v>
      </c>
      <c r="S33" s="71">
        <f t="shared" si="42"/>
        <v>67881.486791463292</v>
      </c>
      <c r="T33" s="71">
        <f t="shared" si="43"/>
        <v>273.34893653671315</v>
      </c>
      <c r="U33" s="75">
        <f t="shared" si="44"/>
        <v>93.24451780324587</v>
      </c>
      <c r="V33" s="75">
        <f t="shared" si="45"/>
        <v>67881.486791463292</v>
      </c>
      <c r="W33" s="75">
        <f t="shared" si="46"/>
        <v>1168.0799754632899</v>
      </c>
    </row>
    <row r="34" spans="1:23" s="63" customFormat="1">
      <c r="A34" s="376"/>
      <c r="B34" s="140" t="str">
        <f>'Tariff Changes'!$A$78</f>
        <v>Item 240, pg 40</v>
      </c>
      <c r="C34" s="146" t="s">
        <v>129</v>
      </c>
      <c r="D34" s="72"/>
      <c r="E34" s="73"/>
      <c r="F34" s="148">
        <f>34.6664*12</f>
        <v>415.99680000000001</v>
      </c>
      <c r="G34" s="143">
        <f>References!$B$32</f>
        <v>840</v>
      </c>
      <c r="H34" s="72">
        <f t="shared" si="25"/>
        <v>349437.31200000003</v>
      </c>
      <c r="I34" s="50">
        <f t="shared" si="26"/>
        <v>209541.92304619274</v>
      </c>
      <c r="J34" s="71">
        <f>(References!$C$49*I34)</f>
        <v>652.7230902888889</v>
      </c>
      <c r="K34" s="71">
        <f>J34/References!$G$52</f>
        <v>667.47427169331104</v>
      </c>
      <c r="L34" s="71">
        <f t="shared" si="37"/>
        <v>1.6045178032458687</v>
      </c>
      <c r="M34" s="71">
        <f>'Tariff Changes'!C99</f>
        <v>91.64</v>
      </c>
      <c r="N34" s="71">
        <f t="shared" si="38"/>
        <v>93.24451780324587</v>
      </c>
      <c r="O34" s="71">
        <f>'Tariff Changes'!E99</f>
        <v>93.62</v>
      </c>
      <c r="P34" s="71">
        <f t="shared" si="39"/>
        <v>38121.946752000003</v>
      </c>
      <c r="Q34" s="71">
        <f t="shared" si="40"/>
        <v>38945.620416000005</v>
      </c>
      <c r="R34" s="71">
        <f t="shared" si="41"/>
        <v>823.67366400000174</v>
      </c>
      <c r="S34" s="71">
        <f t="shared" si="42"/>
        <v>38789.421023693314</v>
      </c>
      <c r="T34" s="71">
        <f t="shared" si="43"/>
        <v>156.19939230669115</v>
      </c>
      <c r="U34" s="75">
        <f t="shared" si="44"/>
        <v>93.24451780324587</v>
      </c>
      <c r="V34" s="75">
        <f t="shared" si="45"/>
        <v>38789.421023693314</v>
      </c>
      <c r="W34" s="75">
        <f t="shared" si="46"/>
        <v>667.47427169331058</v>
      </c>
    </row>
    <row r="35" spans="1:23" s="63" customFormat="1">
      <c r="A35" s="376"/>
      <c r="B35" s="140" t="str">
        <f>'Tariff Changes'!$A$78</f>
        <v>Item 240, pg 40</v>
      </c>
      <c r="C35" s="146" t="s">
        <v>130</v>
      </c>
      <c r="D35" s="60"/>
      <c r="E35" s="73"/>
      <c r="F35" s="147">
        <f>4*12</f>
        <v>48</v>
      </c>
      <c r="G35" s="143">
        <f>References!$B$33</f>
        <v>980</v>
      </c>
      <c r="H35" s="72">
        <f t="shared" si="25"/>
        <v>47040</v>
      </c>
      <c r="I35" s="50">
        <f t="shared" si="26"/>
        <v>28207.783546860919</v>
      </c>
      <c r="J35" s="71">
        <f>(References!$C$49*I35)</f>
        <v>87.867245748471561</v>
      </c>
      <c r="K35" s="71">
        <f>J35/References!$G$52</f>
        <v>89.852996981768655</v>
      </c>
      <c r="L35" s="71">
        <f t="shared" si="37"/>
        <v>1.8719374371201802</v>
      </c>
      <c r="M35" s="71">
        <f>'Tariff Changes'!C100</f>
        <v>121.3</v>
      </c>
      <c r="N35" s="71">
        <f t="shared" si="38"/>
        <v>123.17193743712018</v>
      </c>
      <c r="O35" s="71">
        <f>'Tariff Changes'!E100</f>
        <v>123.94</v>
      </c>
      <c r="P35" s="71">
        <f t="shared" si="39"/>
        <v>5822.4</v>
      </c>
      <c r="Q35" s="71">
        <f t="shared" si="40"/>
        <v>5949.12</v>
      </c>
      <c r="R35" s="71">
        <f t="shared" si="41"/>
        <v>126.72000000000025</v>
      </c>
      <c r="S35" s="71">
        <f t="shared" si="42"/>
        <v>5912.2529969817688</v>
      </c>
      <c r="T35" s="71">
        <f t="shared" si="43"/>
        <v>36.867003018231117</v>
      </c>
      <c r="U35" s="75">
        <f t="shared" si="44"/>
        <v>123.17193743712018</v>
      </c>
      <c r="V35" s="75">
        <f t="shared" si="45"/>
        <v>5912.2529969817688</v>
      </c>
      <c r="W35" s="75">
        <f t="shared" si="46"/>
        <v>89.852996981769138</v>
      </c>
    </row>
    <row r="36" spans="1:23" s="63" customFormat="1">
      <c r="A36" s="376"/>
      <c r="B36" s="140" t="str">
        <f>'Tariff Changes'!$A$78</f>
        <v>Item 240, pg 40</v>
      </c>
      <c r="C36" s="146" t="s">
        <v>131</v>
      </c>
      <c r="D36" s="60"/>
      <c r="E36" s="73"/>
      <c r="F36" s="147">
        <f>17.3332*12</f>
        <v>207.9984</v>
      </c>
      <c r="G36" s="143">
        <f>References!$B$33</f>
        <v>980</v>
      </c>
      <c r="H36" s="72">
        <f t="shared" si="25"/>
        <v>203838.432</v>
      </c>
      <c r="I36" s="50">
        <f t="shared" si="26"/>
        <v>122232.78844361241</v>
      </c>
      <c r="J36" s="71">
        <f>(References!$C$49*I36)</f>
        <v>380.75513600185178</v>
      </c>
      <c r="K36" s="71">
        <f>J36/References!$G$52</f>
        <v>389.35999182109805</v>
      </c>
      <c r="L36" s="71">
        <f t="shared" si="37"/>
        <v>1.87193743712018</v>
      </c>
      <c r="M36" s="71">
        <f>'Tariff Changes'!C101</f>
        <v>119.16</v>
      </c>
      <c r="N36" s="71">
        <f t="shared" si="38"/>
        <v>121.03193743712018</v>
      </c>
      <c r="O36" s="71">
        <f>'Tariff Changes'!E101</f>
        <v>121.8</v>
      </c>
      <c r="P36" s="71">
        <f t="shared" si="39"/>
        <v>24785.089344</v>
      </c>
      <c r="Q36" s="71">
        <f t="shared" si="40"/>
        <v>25334.205119999999</v>
      </c>
      <c r="R36" s="71">
        <f t="shared" si="41"/>
        <v>549.11577599999873</v>
      </c>
      <c r="S36" s="71">
        <f t="shared" si="42"/>
        <v>25174.449335821097</v>
      </c>
      <c r="T36" s="71">
        <f t="shared" si="43"/>
        <v>159.7557841789021</v>
      </c>
      <c r="U36" s="75">
        <f t="shared" si="44"/>
        <v>121.03193743712018</v>
      </c>
      <c r="V36" s="75">
        <f t="shared" si="45"/>
        <v>25174.449335821097</v>
      </c>
      <c r="W36" s="75">
        <f t="shared" si="46"/>
        <v>389.35999182109663</v>
      </c>
    </row>
    <row r="37" spans="1:23" s="63" customFormat="1">
      <c r="A37" s="376"/>
      <c r="B37" s="140" t="str">
        <f>'Tariff Changes'!$A$78</f>
        <v>Item 240, pg 40</v>
      </c>
      <c r="C37" s="146" t="s">
        <v>132</v>
      </c>
      <c r="D37" s="60"/>
      <c r="E37" s="73"/>
      <c r="F37" s="147">
        <f>43.333*12</f>
        <v>519.99599999999998</v>
      </c>
      <c r="G37" s="143">
        <f>References!$B$33</f>
        <v>980</v>
      </c>
      <c r="H37" s="72">
        <f t="shared" si="25"/>
        <v>509596.07999999996</v>
      </c>
      <c r="I37" s="50">
        <f t="shared" si="26"/>
        <v>305581.971109031</v>
      </c>
      <c r="J37" s="71">
        <f>(References!$C$49*I37)</f>
        <v>951.88784000462931</v>
      </c>
      <c r="K37" s="71">
        <f>J37/References!$G$52</f>
        <v>973.39997955274498</v>
      </c>
      <c r="L37" s="71">
        <f t="shared" si="37"/>
        <v>1.8719374371201798</v>
      </c>
      <c r="M37" s="71">
        <f>'Tariff Changes'!C102</f>
        <v>119.16</v>
      </c>
      <c r="N37" s="71">
        <f t="shared" si="38"/>
        <v>121.03193743712018</v>
      </c>
      <c r="O37" s="71">
        <f>'Tariff Changes'!E102</f>
        <v>121.8</v>
      </c>
      <c r="P37" s="71">
        <f t="shared" si="39"/>
        <v>61962.723359999996</v>
      </c>
      <c r="Q37" s="71">
        <f t="shared" si="40"/>
        <v>63335.512799999997</v>
      </c>
      <c r="R37" s="71">
        <f t="shared" si="41"/>
        <v>1372.7894400000005</v>
      </c>
      <c r="S37" s="71">
        <f t="shared" si="42"/>
        <v>62936.123339552738</v>
      </c>
      <c r="T37" s="71">
        <f t="shared" si="43"/>
        <v>399.3894604472589</v>
      </c>
      <c r="U37" s="75">
        <f t="shared" si="44"/>
        <v>121.03193743712018</v>
      </c>
      <c r="V37" s="75">
        <f t="shared" si="45"/>
        <v>62936.123339552738</v>
      </c>
      <c r="W37" s="75">
        <f t="shared" si="46"/>
        <v>973.39997955274157</v>
      </c>
    </row>
    <row r="38" spans="1:23" s="63" customFormat="1">
      <c r="A38" s="376"/>
      <c r="B38" s="140"/>
      <c r="C38" s="146"/>
      <c r="D38" s="60"/>
      <c r="E38" s="73"/>
      <c r="F38" s="147"/>
      <c r="G38" s="143"/>
      <c r="H38" s="72"/>
      <c r="I38" s="50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5"/>
      <c r="V38" s="75"/>
      <c r="W38" s="75"/>
    </row>
    <row r="39" spans="1:23" s="63" customFormat="1">
      <c r="A39" s="54"/>
      <c r="B39" s="82"/>
      <c r="C39" s="55" t="s">
        <v>17</v>
      </c>
      <c r="D39" s="56">
        <f t="shared" ref="D39" si="47">SUM(D14:D38)</f>
        <v>0</v>
      </c>
      <c r="E39" s="56"/>
      <c r="F39" s="56">
        <f>SUM(F14:F38)</f>
        <v>13347.773999999999</v>
      </c>
      <c r="G39" s="132"/>
      <c r="H39" s="56">
        <f>SUM(H14:H38)</f>
        <v>5365119.5166000007</v>
      </c>
      <c r="I39" s="56">
        <f>SUM(I14:I38)</f>
        <v>3217222.1519407285</v>
      </c>
      <c r="J39" s="78"/>
      <c r="K39" s="78"/>
      <c r="L39" s="78"/>
      <c r="M39" s="78"/>
      <c r="N39" s="78"/>
      <c r="O39" s="78"/>
      <c r="P39" s="56">
        <f>SUM(P14:P38)</f>
        <v>571680.43917599996</v>
      </c>
      <c r="Q39" s="152">
        <f>SUM(Q14:Q38)</f>
        <v>583703.65192973346</v>
      </c>
      <c r="R39" s="152">
        <f>SUM(R14:R38)</f>
        <v>12023.212753733467</v>
      </c>
      <c r="S39" s="152">
        <f>SUM(S14:S38)</f>
        <v>581928.56986757927</v>
      </c>
      <c r="T39" s="152">
        <f>SUM(T14:T38)</f>
        <v>1775.0820621542282</v>
      </c>
      <c r="U39" s="152"/>
      <c r="V39" s="152">
        <f>SUM(V14:V38)</f>
        <v>581928.56986757927</v>
      </c>
      <c r="W39" s="152">
        <f>SUM(W14:W38)</f>
        <v>10248.130691579241</v>
      </c>
    </row>
    <row r="40" spans="1:23" s="63" customFormat="1" ht="14.45" customHeight="1">
      <c r="A40" s="375" t="s">
        <v>151</v>
      </c>
      <c r="B40" s="140" t="str">
        <f>'Tariff Changes'!$A$46</f>
        <v>Item 105, pg 27</v>
      </c>
      <c r="C40" s="146" t="s">
        <v>133</v>
      </c>
      <c r="D40" s="60"/>
      <c r="E40" s="73"/>
      <c r="F40" s="147">
        <f>797.3272*12</f>
        <v>9567.9264000000003</v>
      </c>
      <c r="G40" s="143">
        <f>References!B14</f>
        <v>34</v>
      </c>
      <c r="H40" s="72">
        <f t="shared" ref="H40:H51" si="48">G40*F40</f>
        <v>325309.4976</v>
      </c>
      <c r="I40" s="50">
        <f t="shared" ref="I40:I56" si="49">$D$134*H40</f>
        <v>195073.55216919369</v>
      </c>
      <c r="J40" s="71">
        <f>(References!$C$49*I40)</f>
        <v>607.65411500703692</v>
      </c>
      <c r="K40" s="71">
        <f>J40/References!$G$52</f>
        <v>621.38676245734428</v>
      </c>
      <c r="L40" s="71">
        <f t="shared" ref="L40:L51" si="50">K40/F40</f>
        <v>6.4944768226618488E-2</v>
      </c>
      <c r="M40" s="71">
        <f>'Tariff Changes'!C47</f>
        <v>3.93</v>
      </c>
      <c r="N40" s="71">
        <f t="shared" ref="N40:N51" si="51">L40+M40</f>
        <v>3.9949447682266186</v>
      </c>
      <c r="O40" s="71">
        <f>'Tariff Changes'!E47</f>
        <v>3.9820897768699108</v>
      </c>
      <c r="P40" s="71">
        <f t="shared" ref="P40:P51" si="52">M40*F40</f>
        <v>37601.950752000004</v>
      </c>
      <c r="Q40" s="71">
        <f t="shared" ref="Q40:Q51" si="53">O40*F40</f>
        <v>38100.341903283734</v>
      </c>
      <c r="R40" s="71">
        <f t="shared" ref="R40:R51" si="54">Q40-P40</f>
        <v>498.39115128372941</v>
      </c>
      <c r="S40" s="71">
        <f t="shared" ref="S40:S51" si="55">N40*F40</f>
        <v>38223.337514457344</v>
      </c>
      <c r="T40" s="71">
        <f t="shared" ref="T40:T51" si="56">Q40-S40</f>
        <v>-122.99561117361009</v>
      </c>
      <c r="U40" s="75">
        <f t="shared" si="2"/>
        <v>3.9949447682266186</v>
      </c>
      <c r="V40" s="75">
        <f t="shared" ref="V40:V51" si="57">U40*F40</f>
        <v>38223.337514457344</v>
      </c>
      <c r="W40" s="75">
        <f t="shared" ref="W40:W51" si="58">V40-P40</f>
        <v>621.3867624573395</v>
      </c>
    </row>
    <row r="41" spans="1:23" s="63" customFormat="1">
      <c r="A41" s="376"/>
      <c r="B41" s="140" t="str">
        <f>'Tariff Changes'!$A$46</f>
        <v>Item 105, pg 27</v>
      </c>
      <c r="C41" s="146" t="s">
        <v>135</v>
      </c>
      <c r="D41" s="60"/>
      <c r="E41" s="73"/>
      <c r="F41" s="147">
        <f>103.9992*12</f>
        <v>1247.9904000000001</v>
      </c>
      <c r="G41" s="143">
        <f>References!B22</f>
        <v>68</v>
      </c>
      <c r="H41" s="72">
        <f t="shared" si="48"/>
        <v>84863.347200000004</v>
      </c>
      <c r="I41" s="50">
        <f t="shared" si="49"/>
        <v>50888.752739789663</v>
      </c>
      <c r="J41" s="71">
        <f>(References!$C$49*I41)</f>
        <v>158.51846478444443</v>
      </c>
      <c r="K41" s="71">
        <f>J41/References!$G$52</f>
        <v>162.10089455408982</v>
      </c>
      <c r="L41" s="71">
        <f t="shared" si="50"/>
        <v>0.12988953645323698</v>
      </c>
      <c r="M41" s="71">
        <f>'Tariff Changes'!C49</f>
        <v>9.76</v>
      </c>
      <c r="N41" s="71">
        <f t="shared" si="51"/>
        <v>9.8898895364532375</v>
      </c>
      <c r="O41" s="71">
        <f>'Tariff Changes'!E49</f>
        <v>9.9162693306097314</v>
      </c>
      <c r="P41" s="71">
        <f t="shared" si="52"/>
        <v>12180.386304000001</v>
      </c>
      <c r="Q41" s="71">
        <f t="shared" si="53"/>
        <v>12375.408928415372</v>
      </c>
      <c r="R41" s="71">
        <f t="shared" si="54"/>
        <v>195.02262441537096</v>
      </c>
      <c r="S41" s="71">
        <f t="shared" si="55"/>
        <v>12342.487198554092</v>
      </c>
      <c r="T41" s="71">
        <f t="shared" si="56"/>
        <v>32.921729861280255</v>
      </c>
      <c r="U41" s="75">
        <f t="shared" si="2"/>
        <v>9.8898895364532375</v>
      </c>
      <c r="V41" s="75">
        <f t="shared" si="57"/>
        <v>12342.487198554092</v>
      </c>
      <c r="W41" s="75">
        <f t="shared" si="58"/>
        <v>162.1008945540907</v>
      </c>
    </row>
    <row r="42" spans="1:23" s="63" customFormat="1">
      <c r="A42" s="376"/>
      <c r="B42" s="140" t="str">
        <f>'Tariff Changes'!$A$46</f>
        <v>Item 105, pg 27</v>
      </c>
      <c r="C42" s="146" t="s">
        <v>136</v>
      </c>
      <c r="D42" s="60"/>
      <c r="E42" s="73"/>
      <c r="F42" s="147">
        <f>17.3332*12</f>
        <v>207.9984</v>
      </c>
      <c r="G42" s="143">
        <f>References!B27</f>
        <v>175</v>
      </c>
      <c r="H42" s="72">
        <f t="shared" si="48"/>
        <v>36399.72</v>
      </c>
      <c r="I42" s="50">
        <f t="shared" si="49"/>
        <v>21827.283650645077</v>
      </c>
      <c r="J42" s="71">
        <f>(References!$C$49*I42)</f>
        <v>67.991988571759251</v>
      </c>
      <c r="K42" s="71">
        <f>J42/References!$G$52</f>
        <v>69.528569968053233</v>
      </c>
      <c r="L42" s="71">
        <f t="shared" si="50"/>
        <v>0.33427454234288934</v>
      </c>
      <c r="M42" s="71">
        <f>'Tariff Changes'!C50</f>
        <v>20.39</v>
      </c>
      <c r="N42" s="71">
        <f t="shared" si="51"/>
        <v>20.72427454234289</v>
      </c>
      <c r="O42" s="71">
        <f>'Tariff Changes'!E50</f>
        <v>20.802102665110056</v>
      </c>
      <c r="P42" s="71">
        <f t="shared" si="52"/>
        <v>4241.0873760000004</v>
      </c>
      <c r="Q42" s="71">
        <f t="shared" si="53"/>
        <v>4326.8040709786274</v>
      </c>
      <c r="R42" s="71">
        <f t="shared" si="54"/>
        <v>85.716694978626947</v>
      </c>
      <c r="S42" s="71">
        <f t="shared" si="55"/>
        <v>4310.6159459680539</v>
      </c>
      <c r="T42" s="71">
        <f t="shared" si="56"/>
        <v>16.188125010573458</v>
      </c>
      <c r="U42" s="75">
        <f t="shared" si="2"/>
        <v>20.72427454234289</v>
      </c>
      <c r="V42" s="75">
        <f t="shared" si="57"/>
        <v>4310.6159459680539</v>
      </c>
      <c r="W42" s="75">
        <f t="shared" si="58"/>
        <v>69.528569968053489</v>
      </c>
    </row>
    <row r="43" spans="1:23" s="63" customFormat="1">
      <c r="A43" s="376"/>
      <c r="B43" s="140" t="str">
        <f>'Tariff Changes'!$A$46</f>
        <v>Item 105, pg 27</v>
      </c>
      <c r="C43" s="146" t="s">
        <v>138</v>
      </c>
      <c r="D43" s="60"/>
      <c r="E43" s="73"/>
      <c r="F43" s="147">
        <f>17.3332*12</f>
        <v>207.9984</v>
      </c>
      <c r="G43" s="150">
        <f>((References!$B$28-References!$B$27)/2)+References!$B$27</f>
        <v>212.5</v>
      </c>
      <c r="H43" s="72">
        <f t="shared" si="48"/>
        <v>44199.66</v>
      </c>
      <c r="I43" s="50">
        <f t="shared" si="49"/>
        <v>26504.558718640448</v>
      </c>
      <c r="J43" s="71">
        <f>(References!$C$49*I43)</f>
        <v>82.561700408564803</v>
      </c>
      <c r="K43" s="71">
        <f>J43/References!$G$52</f>
        <v>84.427549246921771</v>
      </c>
      <c r="L43" s="71">
        <f t="shared" si="50"/>
        <v>0.40590480141636553</v>
      </c>
      <c r="M43" s="71">
        <f>'Tariff Changes'!C51</f>
        <v>24.25</v>
      </c>
      <c r="N43" s="71">
        <f t="shared" si="51"/>
        <v>24.655904801416366</v>
      </c>
      <c r="O43" s="71">
        <f>'Tariff Changes'!E51</f>
        <v>24.662102665110055</v>
      </c>
      <c r="P43" s="71">
        <f t="shared" si="52"/>
        <v>5043.9611999999997</v>
      </c>
      <c r="Q43" s="71">
        <f t="shared" si="53"/>
        <v>5129.6778949786276</v>
      </c>
      <c r="R43" s="71">
        <f t="shared" si="54"/>
        <v>85.716694978627856</v>
      </c>
      <c r="S43" s="71">
        <f t="shared" si="55"/>
        <v>5128.3887492469221</v>
      </c>
      <c r="T43" s="71">
        <f t="shared" si="56"/>
        <v>1.2891457317055028</v>
      </c>
      <c r="U43" s="75">
        <f t="shared" si="2"/>
        <v>24.655904801416366</v>
      </c>
      <c r="V43" s="75">
        <f t="shared" si="57"/>
        <v>5128.3887492469221</v>
      </c>
      <c r="W43" s="75">
        <f t="shared" si="58"/>
        <v>84.427549246922354</v>
      </c>
    </row>
    <row r="44" spans="1:23" s="63" customFormat="1">
      <c r="A44" s="376"/>
      <c r="B44" s="140" t="str">
        <f>'Tariff Changes'!$A$46</f>
        <v>Item 105, pg 27</v>
      </c>
      <c r="C44" s="146" t="s">
        <v>139</v>
      </c>
      <c r="D44" s="146"/>
      <c r="E44" s="73"/>
      <c r="F44" s="147">
        <f>8.6666*12</f>
        <v>103.9992</v>
      </c>
      <c r="G44" s="150">
        <f>((References!$B$28-References!$B$27)/2)+References!$B$27</f>
        <v>212.5</v>
      </c>
      <c r="H44" s="72">
        <f t="shared" si="48"/>
        <v>22099.83</v>
      </c>
      <c r="I44" s="50">
        <f t="shared" si="49"/>
        <v>13252.279359320224</v>
      </c>
      <c r="J44" s="71">
        <f>(References!$C$49*I44)</f>
        <v>41.280850204282402</v>
      </c>
      <c r="K44" s="71">
        <f>J44/References!$G$52</f>
        <v>42.213774623460885</v>
      </c>
      <c r="L44" s="71">
        <f t="shared" si="50"/>
        <v>0.40590480141636553</v>
      </c>
      <c r="M44" s="71">
        <f>'Tariff Changes'!C52</f>
        <v>24.25</v>
      </c>
      <c r="N44" s="71">
        <f t="shared" si="51"/>
        <v>24.655904801416366</v>
      </c>
      <c r="O44" s="71">
        <f>'Tariff Changes'!E52</f>
        <v>24.662102665110055</v>
      </c>
      <c r="P44" s="71">
        <f t="shared" si="52"/>
        <v>2521.9805999999999</v>
      </c>
      <c r="Q44" s="71">
        <f t="shared" si="53"/>
        <v>2564.8389474893138</v>
      </c>
      <c r="R44" s="71">
        <f t="shared" si="54"/>
        <v>42.858347489313928</v>
      </c>
      <c r="S44" s="71">
        <f t="shared" si="55"/>
        <v>2564.194374623461</v>
      </c>
      <c r="T44" s="71">
        <f t="shared" si="56"/>
        <v>0.64457286585275142</v>
      </c>
      <c r="U44" s="75">
        <f t="shared" si="2"/>
        <v>24.655904801416366</v>
      </c>
      <c r="V44" s="75">
        <f t="shared" si="57"/>
        <v>2564.194374623461</v>
      </c>
      <c r="W44" s="75">
        <f t="shared" si="58"/>
        <v>42.213774623461177</v>
      </c>
    </row>
    <row r="45" spans="1:23" s="63" customFormat="1">
      <c r="A45" s="376"/>
      <c r="B45" s="140" t="str">
        <f>'Tariff Changes'!$A$46</f>
        <v>Item 105, pg 27</v>
      </c>
      <c r="C45" s="146" t="s">
        <v>141</v>
      </c>
      <c r="D45" s="60"/>
      <c r="E45" s="73"/>
      <c r="F45" s="147">
        <f>60.6662*12</f>
        <v>727.99440000000004</v>
      </c>
      <c r="G45" s="143">
        <f>References!$B$29</f>
        <v>324</v>
      </c>
      <c r="H45" s="72">
        <f t="shared" si="48"/>
        <v>235870.18560000003</v>
      </c>
      <c r="I45" s="50">
        <f t="shared" si="49"/>
        <v>141440.79805618009</v>
      </c>
      <c r="J45" s="71">
        <f>(References!$C$49*I45)</f>
        <v>440.58808594499999</v>
      </c>
      <c r="K45" s="71">
        <f>J45/References!$G$52</f>
        <v>450.54513339298495</v>
      </c>
      <c r="L45" s="71">
        <f t="shared" si="50"/>
        <v>0.61888543839483512</v>
      </c>
      <c r="M45" s="71">
        <f>'Tariff Changes'!C53</f>
        <v>37.61</v>
      </c>
      <c r="N45" s="71">
        <f t="shared" si="51"/>
        <v>38.228885438394833</v>
      </c>
      <c r="O45" s="71">
        <f>'Tariff Changes'!E53</f>
        <v>38.269364264176083</v>
      </c>
      <c r="P45" s="71">
        <f t="shared" si="52"/>
        <v>27379.869384000001</v>
      </c>
      <c r="Q45" s="71">
        <f t="shared" si="53"/>
        <v>27859.88287588031</v>
      </c>
      <c r="R45" s="71">
        <f t="shared" si="54"/>
        <v>480.01349188030872</v>
      </c>
      <c r="S45" s="71">
        <f t="shared" si="55"/>
        <v>27830.414517392986</v>
      </c>
      <c r="T45" s="71">
        <f t="shared" si="56"/>
        <v>29.468358487323712</v>
      </c>
      <c r="U45" s="75">
        <f t="shared" si="2"/>
        <v>38.228885438394833</v>
      </c>
      <c r="V45" s="75">
        <f t="shared" si="57"/>
        <v>27830.414517392986</v>
      </c>
      <c r="W45" s="75">
        <f t="shared" si="58"/>
        <v>450.54513339298501</v>
      </c>
    </row>
    <row r="46" spans="1:23" s="63" customFormat="1">
      <c r="A46" s="376"/>
      <c r="B46" s="140" t="str">
        <f>'Tariff Changes'!$A$46</f>
        <v>Item 105, pg 27</v>
      </c>
      <c r="C46" s="146" t="s">
        <v>142</v>
      </c>
      <c r="D46" s="60"/>
      <c r="E46" s="73"/>
      <c r="F46" s="147">
        <f>8.6666*12</f>
        <v>103.9992</v>
      </c>
      <c r="G46" s="143">
        <f>References!$B$29</f>
        <v>324</v>
      </c>
      <c r="H46" s="72">
        <f t="shared" si="48"/>
        <v>33695.7408</v>
      </c>
      <c r="I46" s="50">
        <f t="shared" si="49"/>
        <v>20205.828293740011</v>
      </c>
      <c r="J46" s="71">
        <f>(References!$C$49*I46)</f>
        <v>62.941155134999988</v>
      </c>
      <c r="K46" s="71">
        <f>J46/References!$G$52</f>
        <v>64.363590484712134</v>
      </c>
      <c r="L46" s="71">
        <f t="shared" si="50"/>
        <v>0.61888543839483512</v>
      </c>
      <c r="M46" s="71">
        <f>'Tariff Changes'!C54</f>
        <v>37.61</v>
      </c>
      <c r="N46" s="71">
        <f t="shared" si="51"/>
        <v>38.228885438394833</v>
      </c>
      <c r="O46" s="71">
        <f>'Tariff Changes'!E54</f>
        <v>38.269364264176083</v>
      </c>
      <c r="P46" s="71">
        <f t="shared" si="52"/>
        <v>3911.4099120000001</v>
      </c>
      <c r="Q46" s="71">
        <f t="shared" si="53"/>
        <v>3979.9832679829015</v>
      </c>
      <c r="R46" s="71">
        <f t="shared" si="54"/>
        <v>68.573355982901376</v>
      </c>
      <c r="S46" s="71">
        <f t="shared" si="55"/>
        <v>3975.773502484712</v>
      </c>
      <c r="T46" s="71">
        <f t="shared" si="56"/>
        <v>4.2097654981894266</v>
      </c>
      <c r="U46" s="75">
        <f t="shared" si="2"/>
        <v>38.228885438394833</v>
      </c>
      <c r="V46" s="75">
        <f t="shared" si="57"/>
        <v>3975.773502484712</v>
      </c>
      <c r="W46" s="75">
        <f t="shared" si="58"/>
        <v>64.363590484711949</v>
      </c>
    </row>
    <row r="47" spans="1:23" s="63" customFormat="1">
      <c r="A47" s="376"/>
      <c r="B47" s="140" t="str">
        <f>'Tariff Changes'!$A$46</f>
        <v>Item 105, pg 27</v>
      </c>
      <c r="C47" s="146" t="s">
        <v>144</v>
      </c>
      <c r="D47" s="60"/>
      <c r="E47" s="73"/>
      <c r="F47" s="147">
        <f>25.9998*12</f>
        <v>311.99760000000003</v>
      </c>
      <c r="G47" s="143">
        <f>References!$B$30</f>
        <v>473</v>
      </c>
      <c r="H47" s="72">
        <f t="shared" si="48"/>
        <v>147574.86480000001</v>
      </c>
      <c r="I47" s="50">
        <f t="shared" si="49"/>
        <v>88494.044286472461</v>
      </c>
      <c r="J47" s="71">
        <f>(References!$C$49*I47)</f>
        <v>275.65894795236107</v>
      </c>
      <c r="K47" s="71">
        <f>J47/References!$G$52</f>
        <v>281.88868795619294</v>
      </c>
      <c r="L47" s="71">
        <f t="shared" si="50"/>
        <v>0.90349633444678068</v>
      </c>
      <c r="M47" s="71">
        <f>'Tariff Changes'!C55</f>
        <v>55.45</v>
      </c>
      <c r="N47" s="71">
        <f t="shared" si="51"/>
        <v>56.353496334446781</v>
      </c>
      <c r="O47" s="71">
        <f>'Tariff Changes'!E55</f>
        <v>56.439046396264132</v>
      </c>
      <c r="P47" s="71">
        <f t="shared" si="52"/>
        <v>17300.266920000002</v>
      </c>
      <c r="Q47" s="71">
        <f t="shared" si="53"/>
        <v>17608.847021923058</v>
      </c>
      <c r="R47" s="71">
        <f t="shared" si="54"/>
        <v>308.58010192305665</v>
      </c>
      <c r="S47" s="71">
        <f t="shared" si="55"/>
        <v>17582.155607956196</v>
      </c>
      <c r="T47" s="71">
        <f t="shared" si="56"/>
        <v>26.691413966862456</v>
      </c>
      <c r="U47" s="75">
        <f t="shared" si="2"/>
        <v>56.353496334446781</v>
      </c>
      <c r="V47" s="75">
        <f t="shared" si="57"/>
        <v>17582.155607956196</v>
      </c>
      <c r="W47" s="75">
        <f t="shared" si="58"/>
        <v>281.88868795619419</v>
      </c>
    </row>
    <row r="48" spans="1:23" s="63" customFormat="1" ht="15.75" customHeight="1">
      <c r="A48" s="376"/>
      <c r="B48" s="140" t="str">
        <f>'Tariff Changes'!$A$46</f>
        <v>Item 105, pg 27</v>
      </c>
      <c r="C48" s="146" t="s">
        <v>145</v>
      </c>
      <c r="D48" s="105"/>
      <c r="E48" s="73"/>
      <c r="F48" s="147">
        <f>60.6662*12</f>
        <v>727.99440000000004</v>
      </c>
      <c r="G48" s="143">
        <f>References!$B$30</f>
        <v>473</v>
      </c>
      <c r="H48" s="72">
        <f t="shared" si="48"/>
        <v>344341.35120000003</v>
      </c>
      <c r="I48" s="50">
        <f t="shared" si="49"/>
        <v>206486.10333510241</v>
      </c>
      <c r="J48" s="71">
        <f>(References!$C$49*I48)</f>
        <v>643.20421188884256</v>
      </c>
      <c r="K48" s="71">
        <f>J48/References!$G$52</f>
        <v>657.7402718977836</v>
      </c>
      <c r="L48" s="71">
        <f t="shared" si="50"/>
        <v>0.9034963344467809</v>
      </c>
      <c r="M48" s="71">
        <f>'Tariff Changes'!C56</f>
        <v>55.45</v>
      </c>
      <c r="N48" s="71">
        <f t="shared" si="51"/>
        <v>56.353496334446781</v>
      </c>
      <c r="O48" s="71">
        <f>'Tariff Changes'!E56</f>
        <v>56.439046396264132</v>
      </c>
      <c r="P48" s="71">
        <f t="shared" si="52"/>
        <v>40367.289480000007</v>
      </c>
      <c r="Q48" s="71">
        <f t="shared" si="53"/>
        <v>41087.30971782047</v>
      </c>
      <c r="R48" s="71">
        <f t="shared" si="54"/>
        <v>720.02023782046308</v>
      </c>
      <c r="S48" s="71">
        <f t="shared" si="55"/>
        <v>41025.02975189779</v>
      </c>
      <c r="T48" s="71">
        <f t="shared" si="56"/>
        <v>62.279965922680276</v>
      </c>
      <c r="U48" s="75">
        <f t="shared" si="2"/>
        <v>56.353496334446781</v>
      </c>
      <c r="V48" s="75">
        <f t="shared" si="57"/>
        <v>41025.02975189779</v>
      </c>
      <c r="W48" s="75">
        <f t="shared" si="58"/>
        <v>657.7402718977828</v>
      </c>
    </row>
    <row r="49" spans="1:25" s="63" customFormat="1">
      <c r="A49" s="376"/>
      <c r="B49" s="140" t="str">
        <f>'Tariff Changes'!$A$46</f>
        <v>Item 105, pg 27</v>
      </c>
      <c r="C49" s="146" t="s">
        <v>148</v>
      </c>
      <c r="D49" s="105"/>
      <c r="E49" s="73"/>
      <c r="F49" s="147">
        <f>69.3328*12</f>
        <v>831.99360000000001</v>
      </c>
      <c r="G49" s="143">
        <f>References!$B$31</f>
        <v>613</v>
      </c>
      <c r="H49" s="72">
        <f t="shared" si="48"/>
        <v>510012.07679999998</v>
      </c>
      <c r="I49" s="50">
        <f t="shared" si="49"/>
        <v>305831.42577932414</v>
      </c>
      <c r="J49" s="71">
        <f>(References!$C$49*I49)</f>
        <v>952.66489130259254</v>
      </c>
      <c r="K49" s="71">
        <f>J49/References!$G$52</f>
        <v>974.19459178095155</v>
      </c>
      <c r="L49" s="71">
        <f t="shared" si="50"/>
        <v>1.1709159683210923</v>
      </c>
      <c r="M49" s="71">
        <f>'Tariff Changes'!C57</f>
        <v>71.400000000000006</v>
      </c>
      <c r="N49" s="71">
        <f t="shared" si="51"/>
        <v>72.570915968321103</v>
      </c>
      <c r="O49" s="71">
        <f>'Tariff Changes'!E57</f>
        <v>72.718728528352173</v>
      </c>
      <c r="P49" s="71">
        <f t="shared" si="52"/>
        <v>59404.343040000007</v>
      </c>
      <c r="Q49" s="71">
        <f t="shared" si="53"/>
        <v>60501.516735726429</v>
      </c>
      <c r="R49" s="71">
        <f t="shared" si="54"/>
        <v>1097.173695726422</v>
      </c>
      <c r="S49" s="71">
        <f t="shared" si="55"/>
        <v>60378.537631780964</v>
      </c>
      <c r="T49" s="71">
        <f t="shared" si="56"/>
        <v>122.97910394546489</v>
      </c>
      <c r="U49" s="75">
        <f t="shared" si="2"/>
        <v>72.570915968321103</v>
      </c>
      <c r="V49" s="75">
        <f t="shared" si="57"/>
        <v>60378.537631780964</v>
      </c>
      <c r="W49" s="75">
        <f t="shared" si="58"/>
        <v>974.19459178095713</v>
      </c>
    </row>
    <row r="50" spans="1:25" s="63" customFormat="1">
      <c r="A50" s="376"/>
      <c r="B50" s="140" t="str">
        <f>'Tariff Changes'!$A$46</f>
        <v>Item 105, pg 27</v>
      </c>
      <c r="C50" s="146" t="s">
        <v>149</v>
      </c>
      <c r="D50" s="105"/>
      <c r="E50" s="73"/>
      <c r="F50" s="147">
        <f>77.9994*12</f>
        <v>935.99279999999999</v>
      </c>
      <c r="G50" s="143">
        <f>References!$B$31</f>
        <v>613</v>
      </c>
      <c r="H50" s="72">
        <f t="shared" si="48"/>
        <v>573763.58640000003</v>
      </c>
      <c r="I50" s="50">
        <f t="shared" si="49"/>
        <v>344060.35400173964</v>
      </c>
      <c r="J50" s="71">
        <f>(References!$C$49*I50)</f>
        <v>1071.7480027154165</v>
      </c>
      <c r="K50" s="71">
        <f>J50/References!$G$52</f>
        <v>1095.9689157535704</v>
      </c>
      <c r="L50" s="71">
        <f t="shared" si="50"/>
        <v>1.1709159683210921</v>
      </c>
      <c r="M50" s="71">
        <f>'Tariff Changes'!C58</f>
        <v>71.400000000000006</v>
      </c>
      <c r="N50" s="71">
        <f t="shared" si="51"/>
        <v>72.570915968321103</v>
      </c>
      <c r="O50" s="71">
        <f>'Tariff Changes'!E58</f>
        <v>72.718728528352173</v>
      </c>
      <c r="P50" s="71">
        <f t="shared" si="52"/>
        <v>66829.885920000001</v>
      </c>
      <c r="Q50" s="71">
        <f t="shared" si="53"/>
        <v>68064.206327692227</v>
      </c>
      <c r="R50" s="71">
        <f t="shared" si="54"/>
        <v>1234.3204076922266</v>
      </c>
      <c r="S50" s="71">
        <f t="shared" si="55"/>
        <v>67925.854835753576</v>
      </c>
      <c r="T50" s="71">
        <f t="shared" si="56"/>
        <v>138.35149193865072</v>
      </c>
      <c r="U50" s="75">
        <f t="shared" si="2"/>
        <v>72.570915968321103</v>
      </c>
      <c r="V50" s="75">
        <f t="shared" si="57"/>
        <v>67925.854835753576</v>
      </c>
      <c r="W50" s="75">
        <f t="shared" si="58"/>
        <v>1095.9689157535759</v>
      </c>
    </row>
    <row r="51" spans="1:25" s="63" customFormat="1">
      <c r="A51" s="376"/>
      <c r="B51" s="140" t="str">
        <f>'Tariff Changes'!$A$46</f>
        <v>Item 105, pg 27</v>
      </c>
      <c r="C51" s="146" t="s">
        <v>150</v>
      </c>
      <c r="D51" s="105"/>
      <c r="E51" s="73"/>
      <c r="F51" s="147">
        <f>25.9998*12</f>
        <v>311.99760000000003</v>
      </c>
      <c r="G51" s="143">
        <f>References!$B$31</f>
        <v>613</v>
      </c>
      <c r="H51" s="72">
        <f t="shared" si="48"/>
        <v>191254.52880000003</v>
      </c>
      <c r="I51" s="50">
        <f t="shared" si="49"/>
        <v>114686.78466724657</v>
      </c>
      <c r="J51" s="71">
        <f>(References!$C$49*I51)</f>
        <v>357.24933423847222</v>
      </c>
      <c r="K51" s="71">
        <f>J51/References!$G$52</f>
        <v>365.32297191785688</v>
      </c>
      <c r="L51" s="71">
        <f t="shared" si="50"/>
        <v>1.1709159683210923</v>
      </c>
      <c r="M51" s="71">
        <f>'Tariff Changes'!C59</f>
        <v>71.400000000000006</v>
      </c>
      <c r="N51" s="71">
        <f t="shared" si="51"/>
        <v>72.570915968321103</v>
      </c>
      <c r="O51" s="71">
        <f>'Tariff Changes'!E59</f>
        <v>72.72</v>
      </c>
      <c r="P51" s="71">
        <f t="shared" si="52"/>
        <v>22276.628640000003</v>
      </c>
      <c r="Q51" s="71">
        <f t="shared" si="53"/>
        <v>22688.465472000004</v>
      </c>
      <c r="R51" s="71">
        <f t="shared" si="54"/>
        <v>411.83683200000087</v>
      </c>
      <c r="S51" s="71">
        <f t="shared" si="55"/>
        <v>22641.951611917862</v>
      </c>
      <c r="T51" s="71">
        <f t="shared" si="56"/>
        <v>46.513860082141036</v>
      </c>
      <c r="U51" s="75">
        <f t="shared" si="2"/>
        <v>72.570915968321103</v>
      </c>
      <c r="V51" s="75">
        <f t="shared" si="57"/>
        <v>22641.951611917862</v>
      </c>
      <c r="W51" s="75">
        <f t="shared" si="58"/>
        <v>365.32297191785983</v>
      </c>
    </row>
    <row r="52" spans="1:25" s="63" customFormat="1">
      <c r="A52" s="376"/>
      <c r="B52" s="140" t="str">
        <f>'Tariff Changes'!$A$46</f>
        <v>Item 105, pg 27</v>
      </c>
      <c r="C52" s="146" t="s">
        <v>128</v>
      </c>
      <c r="D52" s="60"/>
      <c r="E52" s="73"/>
      <c r="F52" s="147">
        <f>51.9996*12</f>
        <v>623.99520000000007</v>
      </c>
      <c r="G52" s="143">
        <f>References!$B$32</f>
        <v>840</v>
      </c>
      <c r="H52" s="72">
        <f t="shared" ref="H52:H56" si="59">G52*F52</f>
        <v>524155.96800000005</v>
      </c>
      <c r="I52" s="50">
        <f t="shared" si="49"/>
        <v>314312.8845692891</v>
      </c>
      <c r="J52" s="71">
        <f>(References!$C$49*I52)</f>
        <v>979.08463543333323</v>
      </c>
      <c r="K52" s="71">
        <f>J52/References!$G$52</f>
        <v>1001.2114075399664</v>
      </c>
      <c r="L52" s="71">
        <f t="shared" ref="L52:L56" si="60">K52/F52</f>
        <v>1.6045178032458685</v>
      </c>
      <c r="M52" s="71">
        <f>'Tariff Changes'!C60</f>
        <v>106.76</v>
      </c>
      <c r="N52" s="71">
        <f t="shared" ref="N52:N56" si="61">L52+M52</f>
        <v>108.36451780324587</v>
      </c>
      <c r="O52" s="71">
        <f>'Tariff Changes'!E60</f>
        <v>108.73809279252826</v>
      </c>
      <c r="P52" s="71">
        <f t="shared" ref="P52:P56" si="62">M52*F52</f>
        <v>66617.727552000011</v>
      </c>
      <c r="Q52" s="71">
        <f t="shared" ref="Q52:Q56" si="63">O52*F52</f>
        <v>67852.047959692238</v>
      </c>
      <c r="R52" s="71">
        <f t="shared" ref="R52:R56" si="64">Q52-P52</f>
        <v>1234.3204076922266</v>
      </c>
      <c r="S52" s="71">
        <f t="shared" ref="S52:S56" si="65">N52*F52</f>
        <v>67618.938959539984</v>
      </c>
      <c r="T52" s="71">
        <f t="shared" ref="T52:T56" si="66">Q52-S52</f>
        <v>233.10900015225343</v>
      </c>
      <c r="U52" s="75">
        <f t="shared" ref="U52:U56" si="67">N52</f>
        <v>108.36451780324587</v>
      </c>
      <c r="V52" s="75">
        <f t="shared" ref="V52:V56" si="68">U52*F52</f>
        <v>67618.938959539984</v>
      </c>
      <c r="W52" s="75">
        <f t="shared" ref="W52:W56" si="69">V52-P52</f>
        <v>1001.2114075399732</v>
      </c>
    </row>
    <row r="53" spans="1:25" s="63" customFormat="1">
      <c r="A53" s="376"/>
      <c r="B53" s="140" t="str">
        <f>'Tariff Changes'!$A$46</f>
        <v>Item 105, pg 27</v>
      </c>
      <c r="C53" s="146" t="s">
        <v>129</v>
      </c>
      <c r="D53" s="60"/>
      <c r="E53" s="73"/>
      <c r="F53" s="147">
        <f>17.3332*12</f>
        <v>207.9984</v>
      </c>
      <c r="G53" s="143">
        <f>References!$B$32</f>
        <v>840</v>
      </c>
      <c r="H53" s="72">
        <f t="shared" si="59"/>
        <v>174718.65600000002</v>
      </c>
      <c r="I53" s="50">
        <f t="shared" si="49"/>
        <v>104770.96152309637</v>
      </c>
      <c r="J53" s="71">
        <f>(References!$C$49*I53)</f>
        <v>326.36154514444445</v>
      </c>
      <c r="K53" s="71">
        <f>J53/References!$G$52</f>
        <v>333.73713584665552</v>
      </c>
      <c r="L53" s="71">
        <f t="shared" si="60"/>
        <v>1.6045178032458687</v>
      </c>
      <c r="M53" s="71">
        <f>'Tariff Changes'!C61</f>
        <v>106.76</v>
      </c>
      <c r="N53" s="71">
        <f t="shared" si="61"/>
        <v>108.36451780324587</v>
      </c>
      <c r="O53" s="71">
        <f>'Tariff Changes'!E61</f>
        <v>108.73809279252826</v>
      </c>
      <c r="P53" s="71">
        <f t="shared" si="62"/>
        <v>22205.909184</v>
      </c>
      <c r="Q53" s="71">
        <f t="shared" si="63"/>
        <v>22617.34931989741</v>
      </c>
      <c r="R53" s="71">
        <f t="shared" si="64"/>
        <v>411.44013589741007</v>
      </c>
      <c r="S53" s="71">
        <f t="shared" si="65"/>
        <v>22539.646319846655</v>
      </c>
      <c r="T53" s="71">
        <f t="shared" si="66"/>
        <v>77.703000050754781</v>
      </c>
      <c r="U53" s="75">
        <f t="shared" si="67"/>
        <v>108.36451780324587</v>
      </c>
      <c r="V53" s="75">
        <f t="shared" si="68"/>
        <v>22539.646319846655</v>
      </c>
      <c r="W53" s="75">
        <f t="shared" si="69"/>
        <v>333.73713584665529</v>
      </c>
    </row>
    <row r="54" spans="1:25" s="63" customFormat="1">
      <c r="A54" s="376"/>
      <c r="B54" s="140" t="str">
        <f>'Tariff Changes'!$A$46</f>
        <v>Item 105, pg 27</v>
      </c>
      <c r="C54" s="146" t="s">
        <v>130</v>
      </c>
      <c r="D54" s="60"/>
      <c r="E54" s="73"/>
      <c r="F54" s="147">
        <f>1*12</f>
        <v>12</v>
      </c>
      <c r="G54" s="143">
        <f>References!$B$33</f>
        <v>980</v>
      </c>
      <c r="H54" s="72">
        <f t="shared" si="59"/>
        <v>11760</v>
      </c>
      <c r="I54" s="50">
        <f t="shared" si="49"/>
        <v>7051.9458867152298</v>
      </c>
      <c r="J54" s="71">
        <f>(References!$C$49*I54)</f>
        <v>21.96681143711789</v>
      </c>
      <c r="K54" s="71">
        <f>J54/References!$G$52</f>
        <v>22.463249245442164</v>
      </c>
      <c r="L54" s="71">
        <f t="shared" si="60"/>
        <v>1.8719374371201802</v>
      </c>
      <c r="M54" s="71">
        <f>'Tariff Changes'!C62</f>
        <v>137.19999999999999</v>
      </c>
      <c r="N54" s="71">
        <f>L54+M54+12.76</f>
        <v>151.83193743712016</v>
      </c>
      <c r="O54" s="71">
        <f>'Tariff Changes'!E62</f>
        <v>139.83745705670432</v>
      </c>
      <c r="P54" s="71">
        <f t="shared" si="62"/>
        <v>1646.3999999999999</v>
      </c>
      <c r="Q54" s="71">
        <f t="shared" si="63"/>
        <v>1678.0494846804518</v>
      </c>
      <c r="R54" s="71">
        <f t="shared" si="64"/>
        <v>31.649484680451906</v>
      </c>
      <c r="S54" s="71">
        <f t="shared" si="65"/>
        <v>1821.983249245442</v>
      </c>
      <c r="T54" s="71">
        <f t="shared" si="66"/>
        <v>-143.93376456499027</v>
      </c>
      <c r="U54" s="75">
        <f t="shared" si="67"/>
        <v>151.83193743712016</v>
      </c>
      <c r="V54" s="75">
        <f t="shared" si="68"/>
        <v>1821.983249245442</v>
      </c>
      <c r="W54" s="75">
        <f t="shared" si="69"/>
        <v>175.58324924544218</v>
      </c>
    </row>
    <row r="55" spans="1:25" s="63" customFormat="1">
      <c r="A55" s="376"/>
      <c r="B55" s="140" t="str">
        <f>'Tariff Changes'!$A$46</f>
        <v>Item 105, pg 27</v>
      </c>
      <c r="C55" s="146" t="s">
        <v>131</v>
      </c>
      <c r="D55" s="60"/>
      <c r="E55" s="73"/>
      <c r="F55" s="147">
        <f>8.6666*12</f>
        <v>103.9992</v>
      </c>
      <c r="G55" s="143">
        <f>References!$B$33</f>
        <v>980</v>
      </c>
      <c r="H55" s="72">
        <f t="shared" si="59"/>
        <v>101919.216</v>
      </c>
      <c r="I55" s="50">
        <f t="shared" si="49"/>
        <v>61116.394221806207</v>
      </c>
      <c r="J55" s="71">
        <f>(References!$C$49*I55)</f>
        <v>190.37756800092589</v>
      </c>
      <c r="K55" s="71">
        <f>J55/References!$G$52</f>
        <v>194.67999591054902</v>
      </c>
      <c r="L55" s="71">
        <f t="shared" si="60"/>
        <v>1.87193743712018</v>
      </c>
      <c r="M55" s="71">
        <f>'Tariff Changes'!C63</f>
        <v>139.30000000000001</v>
      </c>
      <c r="N55" s="71">
        <f t="shared" si="61"/>
        <v>141.17193743712019</v>
      </c>
      <c r="O55" s="71">
        <f>'Tariff Changes'!E63</f>
        <v>141.93745705670435</v>
      </c>
      <c r="P55" s="71">
        <f t="shared" si="62"/>
        <v>14487.088560000002</v>
      </c>
      <c r="Q55" s="71">
        <f t="shared" si="63"/>
        <v>14761.381983931607</v>
      </c>
      <c r="R55" s="71">
        <f t="shared" si="64"/>
        <v>274.2934239316055</v>
      </c>
      <c r="S55" s="71">
        <f t="shared" si="65"/>
        <v>14681.76855591055</v>
      </c>
      <c r="T55" s="71">
        <f t="shared" si="66"/>
        <v>79.613428021057189</v>
      </c>
      <c r="U55" s="75">
        <f t="shared" si="67"/>
        <v>141.17193743712019</v>
      </c>
      <c r="V55" s="75">
        <f t="shared" si="68"/>
        <v>14681.76855591055</v>
      </c>
      <c r="W55" s="75">
        <f t="shared" si="69"/>
        <v>194.67999591054831</v>
      </c>
    </row>
    <row r="56" spans="1:25" s="63" customFormat="1">
      <c r="A56" s="376"/>
      <c r="B56" s="140" t="str">
        <f>'Tariff Changes'!$A$46</f>
        <v>Item 105, pg 27</v>
      </c>
      <c r="C56" s="146" t="s">
        <v>132</v>
      </c>
      <c r="D56" s="60"/>
      <c r="E56" s="73"/>
      <c r="F56" s="147">
        <f>43.333*12</f>
        <v>519.99599999999998</v>
      </c>
      <c r="G56" s="143">
        <f>References!$B$33</f>
        <v>980</v>
      </c>
      <c r="H56" s="72">
        <f t="shared" si="59"/>
        <v>509596.07999999996</v>
      </c>
      <c r="I56" s="50">
        <f t="shared" si="49"/>
        <v>305581.971109031</v>
      </c>
      <c r="J56" s="71">
        <f>(References!$C$49*I56)</f>
        <v>951.88784000462931</v>
      </c>
      <c r="K56" s="71">
        <f>J56/References!$G$52</f>
        <v>973.39997955274498</v>
      </c>
      <c r="L56" s="71">
        <f t="shared" si="60"/>
        <v>1.8719374371201798</v>
      </c>
      <c r="M56" s="71">
        <f>'Tariff Changes'!C64</f>
        <v>139.30000000000001</v>
      </c>
      <c r="N56" s="71">
        <f t="shared" si="61"/>
        <v>141.17193743712019</v>
      </c>
      <c r="O56" s="71">
        <f>'Tariff Changes'!E64</f>
        <v>141.93745705670435</v>
      </c>
      <c r="P56" s="71">
        <f t="shared" si="62"/>
        <v>72435.442800000004</v>
      </c>
      <c r="Q56" s="71">
        <f t="shared" si="63"/>
        <v>73806.909919658036</v>
      </c>
      <c r="R56" s="71">
        <f t="shared" si="64"/>
        <v>1371.4671196580312</v>
      </c>
      <c r="S56" s="71">
        <f t="shared" si="65"/>
        <v>73408.842779552753</v>
      </c>
      <c r="T56" s="71">
        <f t="shared" si="66"/>
        <v>398.06714010528231</v>
      </c>
      <c r="U56" s="75">
        <f t="shared" si="67"/>
        <v>141.17193743712019</v>
      </c>
      <c r="V56" s="75">
        <f t="shared" si="68"/>
        <v>73408.842779552753</v>
      </c>
      <c r="W56" s="75">
        <f t="shared" si="69"/>
        <v>973.39997955274885</v>
      </c>
    </row>
    <row r="57" spans="1:25" s="63" customFormat="1">
      <c r="A57" s="66"/>
      <c r="B57" s="51"/>
      <c r="C57" s="146"/>
      <c r="D57" s="105"/>
      <c r="E57" s="73"/>
      <c r="F57" s="147"/>
      <c r="G57" s="143"/>
      <c r="H57" s="72"/>
      <c r="I57" s="50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5"/>
      <c r="V57" s="75"/>
      <c r="W57" s="75"/>
    </row>
    <row r="58" spans="1:25" s="63" customFormat="1">
      <c r="A58" s="54"/>
      <c r="B58" s="52"/>
      <c r="C58" s="55" t="s">
        <v>17</v>
      </c>
      <c r="D58" s="56">
        <f>SUM(D40:D56)</f>
        <v>0</v>
      </c>
      <c r="E58" s="56"/>
      <c r="F58" s="56">
        <f>SUM(F40:F56)</f>
        <v>16755.871200000001</v>
      </c>
      <c r="G58" s="133"/>
      <c r="H58" s="56">
        <f>SUM(H40:H56)</f>
        <v>3871534.3092</v>
      </c>
      <c r="I58" s="56">
        <f>SUM(I40:I56)</f>
        <v>2321585.9223673325</v>
      </c>
      <c r="J58" s="77"/>
      <c r="K58" s="77"/>
      <c r="L58" s="77"/>
      <c r="M58" s="77"/>
      <c r="N58" s="77"/>
      <c r="O58" s="77"/>
      <c r="P58" s="56">
        <f>SUM(P40:P56)</f>
        <v>476451.62762400013</v>
      </c>
      <c r="Q58" s="152">
        <f>SUM(Q40:Q56)</f>
        <v>485003.02183203085</v>
      </c>
      <c r="R58" s="152">
        <f>SUM(R40:R56)</f>
        <v>8551.3942080307734</v>
      </c>
      <c r="S58" s="152">
        <f>SUM(S40:S56)</f>
        <v>483999.92110612936</v>
      </c>
      <c r="T58" s="152">
        <f>SUM(T40:T56)</f>
        <v>1003.1007259014718</v>
      </c>
      <c r="U58" s="152"/>
      <c r="V58" s="152">
        <f>SUM(V40:V56)</f>
        <v>483999.92110612936</v>
      </c>
      <c r="W58" s="152">
        <f>SUM(W40:W56)</f>
        <v>7548.2934821293011</v>
      </c>
    </row>
    <row r="59" spans="1:25">
      <c r="C59" s="67" t="s">
        <v>3</v>
      </c>
      <c r="D59" s="68">
        <f>D13+D39+D58</f>
        <v>10385.666666666673</v>
      </c>
      <c r="E59" s="68"/>
      <c r="F59" s="68">
        <f>F13+F39+F58</f>
        <v>565081.64520000038</v>
      </c>
      <c r="G59" s="134"/>
      <c r="H59" s="68">
        <f>H13+H39+H58</f>
        <v>31197925.159133349</v>
      </c>
      <c r="I59" s="68">
        <f>I13+I39+I58</f>
        <v>18708000</v>
      </c>
      <c r="J59" s="71"/>
      <c r="K59" s="79"/>
      <c r="L59" s="79"/>
      <c r="M59" s="79"/>
      <c r="N59" s="79"/>
      <c r="O59" s="79"/>
      <c r="P59" s="68">
        <f>P13+P39+P58</f>
        <v>3227786.0368000013</v>
      </c>
      <c r="Q59" s="68">
        <f>Q13+Q39+Q58</f>
        <v>3287168.7183385273</v>
      </c>
      <c r="R59" s="68">
        <f>R13+R39+R58</f>
        <v>59382.681538525736</v>
      </c>
      <c r="S59" s="68">
        <f>S13+S39+S58</f>
        <v>3287531.5691120992</v>
      </c>
      <c r="T59" s="68">
        <f>T13+T39+T58</f>
        <v>-362.85077357157684</v>
      </c>
      <c r="U59" s="68"/>
      <c r="V59" s="68">
        <f>V13+V39+V58</f>
        <v>3287531.5691120992</v>
      </c>
      <c r="W59" s="68">
        <f>W13+W39+W58</f>
        <v>59745.532312097319</v>
      </c>
    </row>
    <row r="60" spans="1:25">
      <c r="J60" s="59"/>
      <c r="S60" s="64"/>
      <c r="W60" s="33">
        <f>W59/P59</f>
        <v>1.8509756108657224E-2</v>
      </c>
    </row>
    <row r="61" spans="1:25">
      <c r="J61" s="59"/>
      <c r="S61" s="64"/>
    </row>
    <row r="62" spans="1:25">
      <c r="A62" s="322"/>
      <c r="B62" s="323"/>
      <c r="C62" s="324" t="s">
        <v>288</v>
      </c>
      <c r="D62" s="325"/>
      <c r="E62" s="326"/>
      <c r="F62" s="326"/>
      <c r="G62" s="327"/>
      <c r="H62" s="326"/>
      <c r="I62" s="328"/>
      <c r="J62" s="329"/>
      <c r="K62" s="326"/>
      <c r="L62" s="326"/>
      <c r="M62" s="326"/>
      <c r="N62" s="326"/>
      <c r="O62" s="330"/>
      <c r="P62" s="63"/>
      <c r="Q62" s="63"/>
      <c r="R62" s="63"/>
      <c r="S62" s="99"/>
      <c r="T62" s="63"/>
      <c r="U62" s="63"/>
      <c r="V62" s="63"/>
      <c r="W62" s="63"/>
      <c r="X62" s="63"/>
      <c r="Y62" s="63"/>
    </row>
    <row r="63" spans="1:25" s="63" customFormat="1" ht="14.45" customHeight="1">
      <c r="A63" s="331"/>
      <c r="B63" s="321" t="str">
        <f>'Tariff Changes'!A7</f>
        <v>Item 100, pg 21 Appendix A</v>
      </c>
      <c r="C63" s="319" t="str">
        <f>'Tariff Changes'!A13</f>
        <v>5 Can wk</v>
      </c>
      <c r="D63" s="332">
        <v>1</v>
      </c>
      <c r="E63" s="73">
        <f>References!$B$7</f>
        <v>4.333333333333333</v>
      </c>
      <c r="F63" s="333">
        <f>D63*E63*12</f>
        <v>52</v>
      </c>
      <c r="G63" s="334">
        <f>References!B18</f>
        <v>117</v>
      </c>
      <c r="H63" s="72">
        <f>G63*F63</f>
        <v>6084</v>
      </c>
      <c r="I63" s="50">
        <f t="shared" ref="I63:I68" si="70">$D$134*H63</f>
        <v>3648.3026169026748</v>
      </c>
      <c r="J63" s="71">
        <f>(References!$C$49*I63)</f>
        <v>11.364462651651806</v>
      </c>
      <c r="K63" s="71">
        <f>J63/References!$G$52</f>
        <v>11.621293232080792</v>
      </c>
      <c r="L63" s="71">
        <f>K63/F63*E63</f>
        <v>0.96844110267339922</v>
      </c>
      <c r="M63" s="335">
        <f>'Tariff Changes'!C13</f>
        <v>54.56</v>
      </c>
      <c r="N63" s="71">
        <f>L63+M63</f>
        <v>55.528441102673405</v>
      </c>
      <c r="O63" s="335">
        <f>'Tariff Changes'!E13</f>
        <v>55.593724009336754</v>
      </c>
      <c r="P63" s="71"/>
      <c r="Q63" s="71"/>
      <c r="R63" s="71"/>
      <c r="S63" s="71"/>
      <c r="T63" s="71"/>
      <c r="U63" s="71"/>
      <c r="V63" s="71"/>
      <c r="W63" s="71"/>
    </row>
    <row r="64" spans="1:25" s="63" customFormat="1" ht="14.45" customHeight="1">
      <c r="A64" s="331"/>
      <c r="B64" s="321" t="str">
        <f>'Tariff Changes'!$A$7</f>
        <v>Item 100, pg 21 Appendix A</v>
      </c>
      <c r="C64" s="319" t="str">
        <f>'Tariff Changes'!A18</f>
        <v>32 Gal Bear Proof Toter</v>
      </c>
      <c r="D64" s="332">
        <v>1</v>
      </c>
      <c r="E64" s="73">
        <f>References!$B$7</f>
        <v>4.333333333333333</v>
      </c>
      <c r="F64" s="333">
        <f>D64*E64*12</f>
        <v>52</v>
      </c>
      <c r="G64" s="334">
        <f>References!B14</f>
        <v>34</v>
      </c>
      <c r="H64" s="72">
        <f>G64*F64</f>
        <v>1768</v>
      </c>
      <c r="I64" s="50">
        <f t="shared" si="70"/>
        <v>1060.1905040571876</v>
      </c>
      <c r="J64" s="71">
        <f>(References!$C$49*I64)</f>
        <v>3.3024934201381315</v>
      </c>
      <c r="K64" s="71">
        <f>J64/References!$G$52</f>
        <v>3.3771279477841616</v>
      </c>
      <c r="L64" s="71">
        <f>K64/F64*E64</f>
        <v>0.28142732898201345</v>
      </c>
      <c r="M64" s="335">
        <f>'Tariff Changes'!C18</f>
        <v>12.93</v>
      </c>
      <c r="N64" s="71">
        <f>L64+M64</f>
        <v>13.211427328982014</v>
      </c>
      <c r="O64" s="336">
        <f>'Tariff Changes'!E18</f>
        <v>13.13674480186735</v>
      </c>
      <c r="P64" s="71"/>
      <c r="Q64" s="71"/>
      <c r="R64" s="71"/>
      <c r="S64" s="71"/>
      <c r="T64" s="71"/>
      <c r="U64" s="71"/>
      <c r="V64" s="71"/>
      <c r="W64" s="71"/>
    </row>
    <row r="65" spans="1:23" s="63" customFormat="1">
      <c r="A65" s="331"/>
      <c r="B65" s="321" t="str">
        <f>'Tariff Changes'!$A$7</f>
        <v>Item 100, pg 21 Appendix A</v>
      </c>
      <c r="C65" s="319" t="str">
        <f>'Tariff Changes'!A19</f>
        <v>64 Gal Bear Proof Toter</v>
      </c>
      <c r="D65" s="332">
        <v>1</v>
      </c>
      <c r="E65" s="73">
        <f>References!$B$7</f>
        <v>4.333333333333333</v>
      </c>
      <c r="F65" s="333">
        <f>D65*E65*12</f>
        <v>52</v>
      </c>
      <c r="G65" s="334">
        <f>References!B21</f>
        <v>47</v>
      </c>
      <c r="H65" s="72">
        <f t="shared" ref="H65:H103" si="71">G65*F65</f>
        <v>2444</v>
      </c>
      <c r="I65" s="50">
        <f t="shared" si="70"/>
        <v>1465.557461490818</v>
      </c>
      <c r="J65" s="71">
        <f>(References!$C$49*I65)</f>
        <v>4.5652114925438871</v>
      </c>
      <c r="K65" s="71">
        <f>J65/References!$G$52</f>
        <v>4.6683827513486937</v>
      </c>
      <c r="L65" s="71">
        <f t="shared" ref="L65:L103" si="72">K65/F65*E65</f>
        <v>0.38903189594572446</v>
      </c>
      <c r="M65" s="335">
        <f>'Tariff Changes'!C19</f>
        <v>22</v>
      </c>
      <c r="N65" s="71">
        <f>N4</f>
        <v>22.422140993473022</v>
      </c>
      <c r="O65" s="336">
        <f>'Tariff Changes'!E19</f>
        <v>22.4134896037347</v>
      </c>
      <c r="P65" s="71"/>
      <c r="Q65" s="71"/>
      <c r="R65" s="71"/>
      <c r="S65" s="71"/>
      <c r="T65" s="71"/>
      <c r="U65" s="71"/>
      <c r="V65" s="71"/>
      <c r="W65" s="71"/>
    </row>
    <row r="66" spans="1:23" s="63" customFormat="1">
      <c r="A66" s="331"/>
      <c r="B66" s="321" t="str">
        <f>'Tariff Changes'!$A$7</f>
        <v>Item 100, pg 21 Appendix A</v>
      </c>
      <c r="C66" s="319" t="str">
        <f>'Tariff Changes'!A20</f>
        <v>96 Gal Bear Proof Toter</v>
      </c>
      <c r="D66" s="332">
        <v>1</v>
      </c>
      <c r="E66" s="73">
        <f>References!$B$7</f>
        <v>4.333333333333333</v>
      </c>
      <c r="F66" s="333">
        <f t="shared" ref="F66:F103" si="73">D66*E66*12</f>
        <v>52</v>
      </c>
      <c r="G66" s="334">
        <f>References!B22</f>
        <v>68</v>
      </c>
      <c r="H66" s="72">
        <f t="shared" si="71"/>
        <v>3536</v>
      </c>
      <c r="I66" s="50">
        <f t="shared" si="70"/>
        <v>2120.3810081143752</v>
      </c>
      <c r="J66" s="71">
        <f>(References!$C$49*I66)</f>
        <v>6.604986840276263</v>
      </c>
      <c r="K66" s="71">
        <f>J66/References!$G$52</f>
        <v>6.7542558955683232</v>
      </c>
      <c r="L66" s="71">
        <f t="shared" si="72"/>
        <v>0.56285465796402689</v>
      </c>
      <c r="M66" s="335">
        <f>'Tariff Changes'!C20</f>
        <v>32.18</v>
      </c>
      <c r="N66" s="71">
        <f>N5</f>
        <v>32.817350127400445</v>
      </c>
      <c r="O66" s="336">
        <f>'Tariff Changes'!E20</f>
        <v>32.800234405602048</v>
      </c>
      <c r="P66" s="71"/>
      <c r="Q66" s="71"/>
      <c r="R66" s="71"/>
      <c r="S66" s="71"/>
      <c r="T66" s="71"/>
      <c r="U66" s="71"/>
      <c r="V66" s="71"/>
      <c r="W66" s="71"/>
    </row>
    <row r="67" spans="1:23" s="63" customFormat="1">
      <c r="A67" s="331"/>
      <c r="B67" s="321" t="str">
        <f>'Tariff Changes'!$A$22</f>
        <v>Item 100, pg 22</v>
      </c>
      <c r="C67" s="319" t="str">
        <f>'Tariff Changes'!A23</f>
        <v>32 Gal extra</v>
      </c>
      <c r="D67" s="332">
        <v>1</v>
      </c>
      <c r="E67" s="73">
        <v>1</v>
      </c>
      <c r="F67" s="333">
        <f>D67*E67*12</f>
        <v>12</v>
      </c>
      <c r="G67" s="334">
        <f>References!B24</f>
        <v>34</v>
      </c>
      <c r="H67" s="72">
        <f>G67*F67</f>
        <v>408</v>
      </c>
      <c r="I67" s="50">
        <f t="shared" si="70"/>
        <v>244.65934709012021</v>
      </c>
      <c r="J67" s="71">
        <f>(References!$C$49*I67)</f>
        <v>0.76211386618572263</v>
      </c>
      <c r="K67" s="71">
        <f>J67/References!$G$52</f>
        <v>0.77933721871942185</v>
      </c>
      <c r="L67" s="71">
        <f>K67/F67*E67</f>
        <v>6.4944768226618488E-2</v>
      </c>
      <c r="M67" s="335">
        <f>'Tariff Changes'!C23</f>
        <v>3.99</v>
      </c>
      <c r="N67" s="71">
        <f>L67+M67</f>
        <v>4.0549447682266191</v>
      </c>
      <c r="O67" s="336">
        <f>'Tariff Changes'!E23</f>
        <v>4.0377470674058547</v>
      </c>
      <c r="P67" s="71"/>
      <c r="Q67" s="71"/>
      <c r="R67" s="71"/>
      <c r="S67" s="71"/>
      <c r="T67" s="71"/>
      <c r="U67" s="71"/>
      <c r="V67" s="71"/>
      <c r="W67" s="71"/>
    </row>
    <row r="68" spans="1:23" s="63" customFormat="1">
      <c r="A68" s="331"/>
      <c r="B68" s="321" t="s">
        <v>274</v>
      </c>
      <c r="C68" s="319" t="s">
        <v>270</v>
      </c>
      <c r="D68" s="332">
        <v>1</v>
      </c>
      <c r="E68" s="73">
        <v>1</v>
      </c>
      <c r="F68" s="333">
        <f>D68*E68*12</f>
        <v>12</v>
      </c>
      <c r="G68" s="334">
        <f>References!B24</f>
        <v>34</v>
      </c>
      <c r="H68" s="72">
        <f>G68*F68</f>
        <v>408</v>
      </c>
      <c r="I68" s="50">
        <f t="shared" si="70"/>
        <v>244.65934709012021</v>
      </c>
      <c r="J68" s="71">
        <f>(References!$C$49*I68)</f>
        <v>0.76211386618572263</v>
      </c>
      <c r="K68" s="71">
        <f>J68/References!$G$52</f>
        <v>0.77933721871942185</v>
      </c>
      <c r="L68" s="71">
        <f>K68/F68*E68</f>
        <v>6.4944768226618488E-2</v>
      </c>
      <c r="M68" s="335">
        <f>'Tariff Changes'!C24</f>
        <v>3.99</v>
      </c>
      <c r="N68" s="71">
        <f>L68+M68</f>
        <v>4.0549447682266191</v>
      </c>
      <c r="O68" s="336">
        <f>'Tariff Changes'!E24</f>
        <v>4.0377470674058547</v>
      </c>
      <c r="P68" s="71"/>
      <c r="Q68" s="71"/>
      <c r="R68" s="71"/>
      <c r="S68" s="71"/>
      <c r="T68" s="71"/>
      <c r="U68" s="71"/>
      <c r="V68" s="71"/>
      <c r="W68" s="71"/>
    </row>
    <row r="69" spans="1:23" s="63" customFormat="1" ht="45">
      <c r="A69" s="331"/>
      <c r="B69" s="363" t="s">
        <v>302</v>
      </c>
      <c r="C69" s="319"/>
      <c r="D69" s="332"/>
      <c r="E69" s="73"/>
      <c r="F69" s="333"/>
      <c r="G69" s="334"/>
      <c r="H69" s="72"/>
      <c r="I69" s="50"/>
      <c r="J69" s="71"/>
      <c r="K69" s="71"/>
      <c r="L69" s="71"/>
      <c r="M69" s="335"/>
      <c r="N69" s="71"/>
      <c r="O69" s="336"/>
      <c r="P69" s="71"/>
      <c r="Q69" s="71"/>
      <c r="R69" s="71"/>
      <c r="S69" s="71"/>
      <c r="T69" s="71"/>
      <c r="U69" s="71"/>
      <c r="V69" s="71"/>
      <c r="W69" s="71"/>
    </row>
    <row r="70" spans="1:23" s="63" customFormat="1">
      <c r="A70" s="331"/>
      <c r="B70" s="321" t="s">
        <v>273</v>
      </c>
      <c r="C70" s="319" t="s">
        <v>119</v>
      </c>
      <c r="D70" s="332">
        <v>1</v>
      </c>
      <c r="E70" s="73">
        <v>4.333333333333333</v>
      </c>
      <c r="F70" s="333">
        <v>52</v>
      </c>
      <c r="G70" s="334">
        <f>References!B13</f>
        <v>20</v>
      </c>
      <c r="H70" s="72">
        <f t="shared" ref="H70:H82" si="74">G70*F70</f>
        <v>1040</v>
      </c>
      <c r="I70" s="50">
        <f t="shared" ref="I70:I83" si="75">$D$134*H70</f>
        <v>623.64147297481622</v>
      </c>
      <c r="J70" s="71">
        <f>(References!$C$49*I70)</f>
        <v>1.942643188316548</v>
      </c>
      <c r="K70" s="71">
        <f>J70/References!$G$52</f>
        <v>1.9865458516377421</v>
      </c>
      <c r="L70" s="71">
        <f t="shared" ref="L70:L82" si="76">K70/F70*E70</f>
        <v>0.1655454876364785</v>
      </c>
      <c r="M70" s="335">
        <f>'Tariff Changes'!C8</f>
        <v>8.0500000000000007</v>
      </c>
      <c r="N70" s="71">
        <f t="shared" ref="N70:N80" si="77">L70+M70</f>
        <v>8.2155454876364793</v>
      </c>
      <c r="O70" s="336">
        <f>'Tariff Changes'!E8</f>
        <v>8.1727670323469468</v>
      </c>
      <c r="P70" s="71"/>
      <c r="Q70" s="71"/>
      <c r="R70" s="71"/>
      <c r="S70" s="71"/>
      <c r="T70" s="71"/>
      <c r="U70" s="71"/>
      <c r="V70" s="71"/>
      <c r="W70" s="71"/>
    </row>
    <row r="71" spans="1:23" s="63" customFormat="1">
      <c r="A71" s="331"/>
      <c r="B71" s="321" t="s">
        <v>273</v>
      </c>
      <c r="C71" s="319" t="s">
        <v>120</v>
      </c>
      <c r="D71" s="332">
        <v>1</v>
      </c>
      <c r="E71" s="73">
        <v>4.333333333333333</v>
      </c>
      <c r="F71" s="333">
        <v>52</v>
      </c>
      <c r="G71" s="334">
        <f>References!B14</f>
        <v>34</v>
      </c>
      <c r="H71" s="72">
        <f t="shared" si="74"/>
        <v>1768</v>
      </c>
      <c r="I71" s="50">
        <f t="shared" si="75"/>
        <v>1060.1905040571876</v>
      </c>
      <c r="J71" s="71">
        <f>(References!$C$49*I71)</f>
        <v>3.3024934201381315</v>
      </c>
      <c r="K71" s="71">
        <f>J71/References!$G$52</f>
        <v>3.3771279477841616</v>
      </c>
      <c r="L71" s="71">
        <f t="shared" si="76"/>
        <v>0.28142732898201345</v>
      </c>
      <c r="M71" s="335">
        <f>'Tariff Changes'!C9</f>
        <v>12.93</v>
      </c>
      <c r="N71" s="71">
        <f t="shared" si="77"/>
        <v>13.211427328982014</v>
      </c>
      <c r="O71" s="336">
        <f>'Tariff Changes'!E9</f>
        <v>13.13674480186735</v>
      </c>
      <c r="P71" s="71"/>
      <c r="Q71" s="71"/>
      <c r="R71" s="71"/>
      <c r="S71" s="71"/>
      <c r="T71" s="71"/>
      <c r="U71" s="71"/>
      <c r="V71" s="71"/>
      <c r="W71" s="71"/>
    </row>
    <row r="72" spans="1:23" s="63" customFormat="1">
      <c r="A72" s="331"/>
      <c r="B72" s="321" t="s">
        <v>273</v>
      </c>
      <c r="C72" s="319" t="s">
        <v>121</v>
      </c>
      <c r="D72" s="332">
        <v>1</v>
      </c>
      <c r="E72" s="73">
        <v>4.333333333333333</v>
      </c>
      <c r="F72" s="333">
        <v>52</v>
      </c>
      <c r="G72" s="334">
        <f>References!B15</f>
        <v>51</v>
      </c>
      <c r="H72" s="72">
        <f t="shared" si="74"/>
        <v>2652</v>
      </c>
      <c r="I72" s="50">
        <f t="shared" si="75"/>
        <v>1590.2857560857813</v>
      </c>
      <c r="J72" s="71">
        <f>(References!$C$49*I72)</f>
        <v>4.9537401302071968</v>
      </c>
      <c r="K72" s="71">
        <f>J72/References!$G$52</f>
        <v>5.0656919216762422</v>
      </c>
      <c r="L72" s="71">
        <f t="shared" si="76"/>
        <v>0.42214099347302014</v>
      </c>
      <c r="M72" s="335">
        <f>'Tariff Changes'!C10</f>
        <v>22</v>
      </c>
      <c r="N72" s="71">
        <f t="shared" si="77"/>
        <v>22.422140993473022</v>
      </c>
      <c r="O72" s="336">
        <f>'Tariff Changes'!E10</f>
        <v>22.4134896037347</v>
      </c>
      <c r="P72" s="71"/>
      <c r="Q72" s="71"/>
      <c r="R72" s="71"/>
      <c r="S72" s="71"/>
      <c r="T72" s="71"/>
      <c r="U72" s="71"/>
      <c r="V72" s="71"/>
      <c r="W72" s="71"/>
    </row>
    <row r="73" spans="1:23" s="63" customFormat="1">
      <c r="A73" s="331"/>
      <c r="B73" s="321" t="s">
        <v>273</v>
      </c>
      <c r="C73" s="319" t="s">
        <v>122</v>
      </c>
      <c r="D73" s="332">
        <v>1</v>
      </c>
      <c r="E73" s="73">
        <v>4.333333333333333</v>
      </c>
      <c r="F73" s="333">
        <v>52</v>
      </c>
      <c r="G73" s="334">
        <f>References!B16</f>
        <v>77</v>
      </c>
      <c r="H73" s="72">
        <f t="shared" si="74"/>
        <v>4004</v>
      </c>
      <c r="I73" s="50">
        <f t="shared" si="75"/>
        <v>2401.0196709530424</v>
      </c>
      <c r="J73" s="71">
        <f>(References!$C$49*I73)</f>
        <v>7.4791762750187099</v>
      </c>
      <c r="K73" s="71">
        <f>J73/References!$G$52</f>
        <v>7.6482015288053073</v>
      </c>
      <c r="L73" s="71">
        <f t="shared" si="76"/>
        <v>0.63735012740044217</v>
      </c>
      <c r="M73" s="335">
        <f>'Tariff Changes'!C11</f>
        <v>32.18</v>
      </c>
      <c r="N73" s="71">
        <f t="shared" si="77"/>
        <v>32.817350127400445</v>
      </c>
      <c r="O73" s="336">
        <f>'Tariff Changes'!E11</f>
        <v>32.800234405602048</v>
      </c>
      <c r="P73" s="71"/>
      <c r="Q73" s="71"/>
      <c r="R73" s="71"/>
      <c r="S73" s="71"/>
      <c r="T73" s="71"/>
      <c r="U73" s="71"/>
      <c r="V73" s="71"/>
      <c r="W73" s="71"/>
    </row>
    <row r="74" spans="1:23" s="63" customFormat="1">
      <c r="A74" s="331"/>
      <c r="B74" s="321" t="s">
        <v>273</v>
      </c>
      <c r="C74" s="319" t="s">
        <v>123</v>
      </c>
      <c r="D74" s="332">
        <v>1</v>
      </c>
      <c r="E74" s="73">
        <v>4.333333333333333</v>
      </c>
      <c r="F74" s="333">
        <v>52</v>
      </c>
      <c r="G74" s="334">
        <f>References!B17</f>
        <v>97</v>
      </c>
      <c r="H74" s="72">
        <f t="shared" si="74"/>
        <v>5044</v>
      </c>
      <c r="I74" s="50">
        <f t="shared" si="75"/>
        <v>3024.6611439278586</v>
      </c>
      <c r="J74" s="71">
        <f>(References!$C$49*I74)</f>
        <v>9.4218194633352574</v>
      </c>
      <c r="K74" s="71">
        <f>J74/References!$G$52</f>
        <v>9.6347473804430486</v>
      </c>
      <c r="L74" s="71">
        <f t="shared" si="76"/>
        <v>0.80289561503692064</v>
      </c>
      <c r="M74" s="335">
        <f>'Tariff Changes'!C12</f>
        <v>43.23</v>
      </c>
      <c r="N74" s="71">
        <f t="shared" si="77"/>
        <v>44.032895615036921</v>
      </c>
      <c r="O74" s="336">
        <f>'Tariff Changes'!E12</f>
        <v>44.056979207469396</v>
      </c>
      <c r="P74" s="71"/>
      <c r="Q74" s="71"/>
      <c r="R74" s="71"/>
      <c r="S74" s="71"/>
      <c r="T74" s="71"/>
      <c r="U74" s="71"/>
      <c r="V74" s="71"/>
      <c r="W74" s="71"/>
    </row>
    <row r="75" spans="1:23" s="63" customFormat="1">
      <c r="A75" s="331"/>
      <c r="B75" s="321" t="s">
        <v>273</v>
      </c>
      <c r="C75" s="319" t="s">
        <v>210</v>
      </c>
      <c r="D75" s="332">
        <v>1</v>
      </c>
      <c r="E75" s="73">
        <v>4.333333333333333</v>
      </c>
      <c r="F75" s="333">
        <v>52</v>
      </c>
      <c r="G75" s="334">
        <f>References!B18</f>
        <v>117</v>
      </c>
      <c r="H75" s="72">
        <f t="shared" si="74"/>
        <v>6084</v>
      </c>
      <c r="I75" s="50">
        <f t="shared" si="75"/>
        <v>3648.3026169026748</v>
      </c>
      <c r="J75" s="71">
        <f>(References!$C$49*I75)</f>
        <v>11.364462651651806</v>
      </c>
      <c r="K75" s="71">
        <f>J75/References!$G$52</f>
        <v>11.621293232080792</v>
      </c>
      <c r="L75" s="71">
        <f t="shared" si="76"/>
        <v>0.96844110267339922</v>
      </c>
      <c r="M75" s="335">
        <f>'Tariff Changes'!C13</f>
        <v>54.56</v>
      </c>
      <c r="N75" s="71">
        <f t="shared" si="77"/>
        <v>55.528441102673405</v>
      </c>
      <c r="O75" s="336">
        <f>'Tariff Changes'!E13</f>
        <v>55.593724009336754</v>
      </c>
      <c r="P75" s="71"/>
      <c r="Q75" s="71"/>
      <c r="R75" s="71"/>
      <c r="S75" s="71"/>
      <c r="T75" s="71"/>
      <c r="U75" s="71"/>
      <c r="V75" s="71"/>
      <c r="W75" s="71"/>
    </row>
    <row r="76" spans="1:23" s="63" customFormat="1">
      <c r="A76" s="331"/>
      <c r="B76" s="321" t="s">
        <v>273</v>
      </c>
      <c r="C76" s="319" t="s">
        <v>113</v>
      </c>
      <c r="D76" s="332">
        <v>1</v>
      </c>
      <c r="E76" s="73">
        <v>4.333333333333333</v>
      </c>
      <c r="F76" s="333">
        <v>52</v>
      </c>
      <c r="G76" s="334">
        <f>G71</f>
        <v>34</v>
      </c>
      <c r="H76" s="72">
        <f t="shared" si="74"/>
        <v>1768</v>
      </c>
      <c r="I76" s="50">
        <f t="shared" si="75"/>
        <v>1060.1905040571876</v>
      </c>
      <c r="J76" s="71">
        <f>(References!$C$49*I76)</f>
        <v>3.3024934201381315</v>
      </c>
      <c r="K76" s="71">
        <f>J76/References!$G$52</f>
        <v>3.3771279477841616</v>
      </c>
      <c r="L76" s="71">
        <f t="shared" si="76"/>
        <v>0.28142732898201345</v>
      </c>
      <c r="M76" s="335">
        <f>'Tariff Changes'!C14</f>
        <v>4.66</v>
      </c>
      <c r="N76" s="71">
        <f>N7</f>
        <v>4.724944768226619</v>
      </c>
      <c r="O76" s="336">
        <f>'Tariff Changes'!E14</f>
        <v>4.7077470674058546</v>
      </c>
      <c r="P76" s="71"/>
      <c r="Q76" s="71"/>
      <c r="R76" s="71"/>
      <c r="S76" s="71"/>
      <c r="T76" s="71"/>
      <c r="U76" s="71"/>
      <c r="V76" s="71"/>
      <c r="W76" s="71"/>
    </row>
    <row r="77" spans="1:23" s="63" customFormat="1">
      <c r="A77" s="331"/>
      <c r="B77" s="321" t="s">
        <v>273</v>
      </c>
      <c r="C77" s="319" t="s">
        <v>124</v>
      </c>
      <c r="D77" s="332">
        <v>1</v>
      </c>
      <c r="E77" s="73">
        <v>4.333333333333333</v>
      </c>
      <c r="F77" s="333">
        <v>52</v>
      </c>
      <c r="G77" s="334">
        <f>G8</f>
        <v>34</v>
      </c>
      <c r="H77" s="72">
        <f t="shared" si="74"/>
        <v>1768</v>
      </c>
      <c r="I77" s="50">
        <f t="shared" si="75"/>
        <v>1060.1905040571876</v>
      </c>
      <c r="J77" s="71">
        <f>(References!$C$49*I77)</f>
        <v>3.3024934201381315</v>
      </c>
      <c r="K77" s="71">
        <f>J77/References!$G$52</f>
        <v>3.3771279477841616</v>
      </c>
      <c r="L77" s="71">
        <f t="shared" si="76"/>
        <v>0.28142732898201345</v>
      </c>
      <c r="M77" s="335">
        <f>'Tariff Changes'!C15</f>
        <v>12.93</v>
      </c>
      <c r="N77" s="71">
        <f t="shared" si="77"/>
        <v>13.211427328982014</v>
      </c>
      <c r="O77" s="336">
        <f>'Tariff Changes'!E15</f>
        <v>13.13674480186735</v>
      </c>
      <c r="P77" s="71"/>
      <c r="Q77" s="71"/>
      <c r="R77" s="71"/>
      <c r="S77" s="71"/>
      <c r="T77" s="71"/>
      <c r="U77" s="71"/>
      <c r="V77" s="71"/>
      <c r="W77" s="71"/>
    </row>
    <row r="78" spans="1:23" s="63" customFormat="1">
      <c r="A78" s="331"/>
      <c r="B78" s="321" t="s">
        <v>273</v>
      </c>
      <c r="C78" s="319" t="s">
        <v>125</v>
      </c>
      <c r="D78" s="332">
        <v>1</v>
      </c>
      <c r="E78" s="73">
        <v>4.333333333333333</v>
      </c>
      <c r="F78" s="333">
        <v>52</v>
      </c>
      <c r="G78" s="334">
        <f>G9</f>
        <v>47</v>
      </c>
      <c r="H78" s="72">
        <f t="shared" si="74"/>
        <v>2444</v>
      </c>
      <c r="I78" s="50">
        <f t="shared" si="75"/>
        <v>1465.557461490818</v>
      </c>
      <c r="J78" s="71">
        <f>(References!$C$49*I78)</f>
        <v>4.5652114925438871</v>
      </c>
      <c r="K78" s="71">
        <f>J78/References!$G$52</f>
        <v>4.6683827513486937</v>
      </c>
      <c r="L78" s="71">
        <f t="shared" si="76"/>
        <v>0.38903189594572446</v>
      </c>
      <c r="M78" s="335">
        <f>'Tariff Changes'!C16</f>
        <v>21.92</v>
      </c>
      <c r="N78" s="71">
        <f t="shared" si="77"/>
        <v>22.309031895945726</v>
      </c>
      <c r="O78" s="336">
        <f>'Tariff Changes'!E16</f>
        <v>22.333489603734701</v>
      </c>
      <c r="P78" s="71"/>
      <c r="Q78" s="71"/>
      <c r="R78" s="71"/>
      <c r="S78" s="71"/>
      <c r="T78" s="71"/>
      <c r="U78" s="71"/>
      <c r="V78" s="71"/>
      <c r="W78" s="71"/>
    </row>
    <row r="79" spans="1:23" s="63" customFormat="1">
      <c r="A79" s="331"/>
      <c r="B79" s="321" t="s">
        <v>273</v>
      </c>
      <c r="C79" s="319" t="s">
        <v>301</v>
      </c>
      <c r="D79" s="332">
        <v>1</v>
      </c>
      <c r="E79" s="73">
        <v>4.333333333333333</v>
      </c>
      <c r="F79" s="333">
        <v>52</v>
      </c>
      <c r="G79" s="334">
        <f>G10</f>
        <v>68</v>
      </c>
      <c r="H79" s="72">
        <f t="shared" si="74"/>
        <v>3536</v>
      </c>
      <c r="I79" s="50">
        <f t="shared" si="75"/>
        <v>2120.3810081143752</v>
      </c>
      <c r="J79" s="71">
        <f>(References!$C$49*I79)</f>
        <v>6.604986840276263</v>
      </c>
      <c r="K79" s="71">
        <f>J79/References!$G$52</f>
        <v>6.7542558955683232</v>
      </c>
      <c r="L79" s="71">
        <f t="shared" si="76"/>
        <v>0.56285465796402689</v>
      </c>
      <c r="M79" s="335">
        <f>'Tariff Changes'!C17</f>
        <v>32.01</v>
      </c>
      <c r="N79" s="71">
        <f t="shared" si="77"/>
        <v>32.572854657964022</v>
      </c>
      <c r="O79" s="336">
        <f>'Tariff Changes'!E17</f>
        <v>32.630234405602046</v>
      </c>
      <c r="P79" s="71"/>
      <c r="Q79" s="71"/>
      <c r="R79" s="71"/>
      <c r="S79" s="71"/>
      <c r="T79" s="71"/>
      <c r="U79" s="71"/>
      <c r="V79" s="71"/>
      <c r="W79" s="71"/>
    </row>
    <row r="80" spans="1:23" s="63" customFormat="1">
      <c r="A80" s="331"/>
      <c r="B80" s="321" t="s">
        <v>273</v>
      </c>
      <c r="C80" s="319" t="s">
        <v>264</v>
      </c>
      <c r="D80" s="332">
        <v>1</v>
      </c>
      <c r="E80" s="73">
        <v>4.333333333333333</v>
      </c>
      <c r="F80" s="333">
        <v>52</v>
      </c>
      <c r="G80" s="334">
        <f>G64</f>
        <v>34</v>
      </c>
      <c r="H80" s="72">
        <f t="shared" si="74"/>
        <v>1768</v>
      </c>
      <c r="I80" s="50">
        <f t="shared" si="75"/>
        <v>1060.1905040571876</v>
      </c>
      <c r="J80" s="71">
        <f>(References!$C$49*I80)</f>
        <v>3.3024934201381315</v>
      </c>
      <c r="K80" s="71">
        <f>J80/References!$G$52</f>
        <v>3.3771279477841616</v>
      </c>
      <c r="L80" s="71">
        <f t="shared" si="76"/>
        <v>0.28142732898201345</v>
      </c>
      <c r="M80" s="335">
        <f>'Tariff Changes'!C18</f>
        <v>12.93</v>
      </c>
      <c r="N80" s="71">
        <f t="shared" si="77"/>
        <v>13.211427328982014</v>
      </c>
      <c r="O80" s="336">
        <f>'Tariff Changes'!E18</f>
        <v>13.13674480186735</v>
      </c>
      <c r="P80" s="71"/>
      <c r="Q80" s="71"/>
      <c r="R80" s="71"/>
      <c r="S80" s="71"/>
      <c r="T80" s="71"/>
      <c r="U80" s="71"/>
      <c r="V80" s="71"/>
      <c r="W80" s="71"/>
    </row>
    <row r="81" spans="1:23" s="63" customFormat="1">
      <c r="A81" s="331"/>
      <c r="B81" s="321" t="s">
        <v>273</v>
      </c>
      <c r="C81" s="319" t="s">
        <v>213</v>
      </c>
      <c r="D81" s="332">
        <v>1</v>
      </c>
      <c r="E81" s="73">
        <v>4.333333333333333</v>
      </c>
      <c r="F81" s="333">
        <v>52</v>
      </c>
      <c r="G81" s="334">
        <f>G65</f>
        <v>47</v>
      </c>
      <c r="H81" s="72">
        <f t="shared" si="74"/>
        <v>2444</v>
      </c>
      <c r="I81" s="50">
        <f t="shared" si="75"/>
        <v>1465.557461490818</v>
      </c>
      <c r="J81" s="71">
        <f>(References!$C$49*I81)</f>
        <v>4.5652114925438871</v>
      </c>
      <c r="K81" s="71">
        <f>J81/References!$G$52</f>
        <v>4.6683827513486937</v>
      </c>
      <c r="L81" s="71">
        <f t="shared" si="76"/>
        <v>0.38903189594572446</v>
      </c>
      <c r="M81" s="335">
        <f>'Tariff Changes'!C38</f>
        <v>22</v>
      </c>
      <c r="N81" s="71">
        <f>N72</f>
        <v>22.422140993473022</v>
      </c>
      <c r="O81" s="336">
        <f>'Tariff Changes'!E19</f>
        <v>22.4134896037347</v>
      </c>
      <c r="P81" s="71"/>
      <c r="Q81" s="71"/>
      <c r="R81" s="71"/>
      <c r="S81" s="71"/>
      <c r="T81" s="71"/>
      <c r="U81" s="71"/>
      <c r="V81" s="71"/>
      <c r="W81" s="71"/>
    </row>
    <row r="82" spans="1:23" s="63" customFormat="1">
      <c r="A82" s="331"/>
      <c r="B82" s="321" t="s">
        <v>273</v>
      </c>
      <c r="C82" s="319" t="s">
        <v>214</v>
      </c>
      <c r="D82" s="332">
        <v>1</v>
      </c>
      <c r="E82" s="73">
        <v>4.333333333333333</v>
      </c>
      <c r="F82" s="333">
        <v>52</v>
      </c>
      <c r="G82" s="334">
        <f>G66</f>
        <v>68</v>
      </c>
      <c r="H82" s="72">
        <f t="shared" si="74"/>
        <v>3536</v>
      </c>
      <c r="I82" s="50">
        <f t="shared" si="75"/>
        <v>2120.3810081143752</v>
      </c>
      <c r="J82" s="71">
        <f>(References!$C$49*I82)</f>
        <v>6.604986840276263</v>
      </c>
      <c r="K82" s="71">
        <f>J82/References!$G$52</f>
        <v>6.7542558955683232</v>
      </c>
      <c r="L82" s="71">
        <f t="shared" si="76"/>
        <v>0.56285465796402689</v>
      </c>
      <c r="M82" s="335">
        <f>'Tariff Changes'!C39</f>
        <v>32.18</v>
      </c>
      <c r="N82" s="71">
        <f>N73</f>
        <v>32.817350127400445</v>
      </c>
      <c r="O82" s="336">
        <f>'Tariff Changes'!E20</f>
        <v>32.800234405602048</v>
      </c>
      <c r="P82" s="71"/>
      <c r="Q82" s="71"/>
      <c r="R82" s="71"/>
      <c r="S82" s="71"/>
      <c r="T82" s="71"/>
      <c r="U82" s="71"/>
      <c r="V82" s="71"/>
      <c r="W82" s="71"/>
    </row>
    <row r="83" spans="1:23" s="63" customFormat="1">
      <c r="A83" s="331"/>
      <c r="B83" s="321" t="str">
        <f>'Tariff Changes'!A46</f>
        <v>Item 105, pg 27</v>
      </c>
      <c r="C83" s="319" t="str">
        <f>'Tariff Changes'!A48</f>
        <v>64 Gal Toter 1xweek</v>
      </c>
      <c r="D83" s="332">
        <v>1</v>
      </c>
      <c r="E83" s="73">
        <f>References!$B$7</f>
        <v>4.333333333333333</v>
      </c>
      <c r="F83" s="333">
        <f t="shared" si="73"/>
        <v>52</v>
      </c>
      <c r="G83" s="334">
        <f>References!B21</f>
        <v>47</v>
      </c>
      <c r="H83" s="72">
        <f t="shared" si="71"/>
        <v>2444</v>
      </c>
      <c r="I83" s="50">
        <f t="shared" si="75"/>
        <v>1465.557461490818</v>
      </c>
      <c r="J83" s="71">
        <f>(References!$C$49*I83)</f>
        <v>4.5652114925438871</v>
      </c>
      <c r="K83" s="71">
        <f>J83/References!$G$52</f>
        <v>4.6683827513486937</v>
      </c>
      <c r="L83" s="71">
        <f t="shared" si="72"/>
        <v>0.38903189594572446</v>
      </c>
      <c r="M83" s="335">
        <f>'Tariff Changes'!C48</f>
        <v>8.27</v>
      </c>
      <c r="N83" s="71">
        <f t="shared" ref="N83:N103" si="78">L83+M83</f>
        <v>8.6590318959457235</v>
      </c>
      <c r="O83" s="336">
        <f>'Tariff Changes'!E48</f>
        <v>8.3741795537398218</v>
      </c>
      <c r="P83" s="71"/>
      <c r="Q83" s="71"/>
      <c r="R83" s="71"/>
      <c r="S83" s="71"/>
      <c r="T83" s="71"/>
      <c r="U83" s="71"/>
      <c r="V83" s="71"/>
      <c r="W83" s="71"/>
    </row>
    <row r="84" spans="1:23" s="63" customFormat="1">
      <c r="A84" s="331"/>
      <c r="B84" s="321" t="s">
        <v>157</v>
      </c>
      <c r="C84" s="319" t="s">
        <v>307</v>
      </c>
      <c r="D84" s="371"/>
      <c r="E84" s="73"/>
      <c r="F84" s="333"/>
      <c r="G84" s="334"/>
      <c r="H84" s="72"/>
      <c r="I84" s="50"/>
      <c r="J84" s="71"/>
      <c r="K84" s="71"/>
      <c r="L84" s="71"/>
      <c r="M84" s="335">
        <v>7.27</v>
      </c>
      <c r="N84" s="71"/>
      <c r="O84" s="336">
        <v>7.30296282554293</v>
      </c>
      <c r="P84" s="71"/>
      <c r="Q84" s="71"/>
      <c r="R84" s="71"/>
      <c r="S84" s="71"/>
      <c r="T84" s="71"/>
      <c r="U84" s="71"/>
      <c r="V84" s="71"/>
      <c r="W84" s="71"/>
    </row>
    <row r="85" spans="1:23" s="63" customFormat="1">
      <c r="A85" s="331"/>
      <c r="B85" s="321" t="s">
        <v>157</v>
      </c>
      <c r="C85" s="319" t="s">
        <v>308</v>
      </c>
      <c r="D85" s="371"/>
      <c r="E85" s="73"/>
      <c r="F85" s="333"/>
      <c r="G85" s="334"/>
      <c r="H85" s="72"/>
      <c r="I85" s="50"/>
      <c r="J85" s="71"/>
      <c r="K85" s="71"/>
      <c r="L85" s="71"/>
      <c r="M85" s="335">
        <v>9.74</v>
      </c>
      <c r="N85" s="71"/>
      <c r="O85" s="336">
        <v>9.7920812643578294</v>
      </c>
      <c r="P85" s="71"/>
      <c r="Q85" s="71"/>
      <c r="R85" s="71"/>
      <c r="S85" s="71"/>
      <c r="T85" s="71"/>
      <c r="U85" s="71"/>
      <c r="V85" s="71"/>
      <c r="W85" s="71"/>
    </row>
    <row r="86" spans="1:23" s="63" customFormat="1">
      <c r="A86" s="331"/>
      <c r="B86" s="321" t="s">
        <v>157</v>
      </c>
      <c r="C86" s="319" t="s">
        <v>309</v>
      </c>
      <c r="D86" s="371"/>
      <c r="E86" s="73"/>
      <c r="F86" s="333"/>
      <c r="G86" s="334"/>
      <c r="H86" s="72"/>
      <c r="I86" s="50"/>
      <c r="J86" s="71"/>
      <c r="K86" s="71"/>
      <c r="L86" s="71"/>
      <c r="M86" s="335">
        <v>10.87</v>
      </c>
      <c r="N86" s="71"/>
      <c r="O86" s="336">
        <v>10.974162528715659</v>
      </c>
      <c r="P86" s="71"/>
      <c r="Q86" s="71"/>
      <c r="R86" s="71"/>
      <c r="S86" s="71"/>
      <c r="T86" s="71"/>
      <c r="U86" s="71"/>
      <c r="V86" s="71"/>
      <c r="W86" s="71"/>
    </row>
    <row r="87" spans="1:23" s="63" customFormat="1">
      <c r="A87" s="331"/>
      <c r="B87" s="321" t="s">
        <v>157</v>
      </c>
      <c r="C87" s="319" t="s">
        <v>285</v>
      </c>
      <c r="D87" s="371"/>
      <c r="E87" s="73"/>
      <c r="F87" s="333"/>
      <c r="G87" s="334"/>
      <c r="H87" s="72"/>
      <c r="I87" s="50"/>
      <c r="J87" s="71"/>
      <c r="K87" s="71"/>
      <c r="L87" s="71"/>
      <c r="M87" s="335">
        <v>23.24</v>
      </c>
      <c r="N87" s="71"/>
      <c r="O87" s="336">
        <v>23.569628255429304</v>
      </c>
      <c r="P87" s="71"/>
      <c r="Q87" s="71"/>
      <c r="R87" s="71"/>
      <c r="S87" s="71"/>
      <c r="T87" s="71"/>
      <c r="U87" s="71"/>
      <c r="V87" s="71"/>
      <c r="W87" s="71"/>
    </row>
    <row r="88" spans="1:23" s="63" customFormat="1">
      <c r="A88" s="331"/>
      <c r="B88" s="321" t="s">
        <v>157</v>
      </c>
      <c r="C88" s="319" t="s">
        <v>323</v>
      </c>
      <c r="D88" s="371"/>
      <c r="E88" s="73"/>
      <c r="F88" s="333"/>
      <c r="G88" s="334"/>
      <c r="H88" s="72"/>
      <c r="I88" s="50"/>
      <c r="J88" s="71"/>
      <c r="K88" s="71"/>
      <c r="L88" s="71"/>
      <c r="M88" s="335">
        <v>23.27</v>
      </c>
      <c r="N88" s="71"/>
      <c r="O88" s="336">
        <v>26.43</v>
      </c>
      <c r="P88" s="71"/>
      <c r="Q88" s="71"/>
      <c r="R88" s="71"/>
      <c r="S88" s="71"/>
      <c r="T88" s="71"/>
      <c r="U88" s="71"/>
      <c r="V88" s="71"/>
      <c r="W88" s="71"/>
    </row>
    <row r="89" spans="1:23" s="63" customFormat="1">
      <c r="A89" s="331"/>
      <c r="B89" s="321" t="s">
        <v>157</v>
      </c>
      <c r="C89" s="319" t="s">
        <v>324</v>
      </c>
      <c r="D89" s="371"/>
      <c r="E89" s="73"/>
      <c r="F89" s="333"/>
      <c r="G89" s="334"/>
      <c r="H89" s="72"/>
      <c r="I89" s="50"/>
      <c r="J89" s="71"/>
      <c r="K89" s="71"/>
      <c r="L89" s="71"/>
      <c r="M89" s="335">
        <v>40.39</v>
      </c>
      <c r="N89" s="71"/>
      <c r="O89" s="336">
        <v>41.049256510858612</v>
      </c>
      <c r="P89" s="71"/>
      <c r="Q89" s="71"/>
      <c r="R89" s="71"/>
      <c r="S89" s="71"/>
      <c r="T89" s="71"/>
      <c r="U89" s="71"/>
      <c r="V89" s="71"/>
      <c r="W89" s="71"/>
    </row>
    <row r="90" spans="1:23" s="63" customFormat="1">
      <c r="A90" s="331"/>
      <c r="B90" s="321" t="s">
        <v>157</v>
      </c>
      <c r="C90" s="319" t="s">
        <v>325</v>
      </c>
      <c r="D90" s="371"/>
      <c r="E90" s="73"/>
      <c r="F90" s="333"/>
      <c r="G90" s="334"/>
      <c r="H90" s="72"/>
      <c r="I90" s="50"/>
      <c r="J90" s="71"/>
      <c r="K90" s="71"/>
      <c r="L90" s="71"/>
      <c r="M90" s="335">
        <v>56.93</v>
      </c>
      <c r="N90" s="71"/>
      <c r="O90" s="336">
        <v>57.91888476628791</v>
      </c>
      <c r="P90" s="71"/>
      <c r="Q90" s="71"/>
      <c r="R90" s="71"/>
      <c r="S90" s="71"/>
      <c r="T90" s="71"/>
      <c r="U90" s="71"/>
      <c r="V90" s="71"/>
      <c r="W90" s="71"/>
    </row>
    <row r="91" spans="1:23" s="63" customFormat="1">
      <c r="A91" s="331"/>
      <c r="B91" s="321" t="s">
        <v>157</v>
      </c>
      <c r="C91" s="319" t="s">
        <v>147</v>
      </c>
      <c r="D91" s="371"/>
      <c r="E91" s="73"/>
      <c r="F91" s="333"/>
      <c r="G91" s="334"/>
      <c r="H91" s="72"/>
      <c r="I91" s="50"/>
      <c r="J91" s="71"/>
      <c r="K91" s="71"/>
      <c r="L91" s="71"/>
      <c r="M91" s="335">
        <v>74.680000000000007</v>
      </c>
      <c r="N91" s="71"/>
      <c r="O91" s="336">
        <v>75.99851302171723</v>
      </c>
      <c r="P91" s="71"/>
      <c r="Q91" s="71"/>
      <c r="R91" s="71"/>
      <c r="S91" s="71"/>
      <c r="T91" s="71"/>
      <c r="U91" s="71"/>
      <c r="V91" s="71"/>
      <c r="W91" s="71"/>
    </row>
    <row r="92" spans="1:23" s="63" customFormat="1">
      <c r="A92" s="331"/>
      <c r="B92" s="321" t="s">
        <v>157</v>
      </c>
      <c r="C92" s="319" t="s">
        <v>326</v>
      </c>
      <c r="D92" s="371"/>
      <c r="E92" s="73"/>
      <c r="F92" s="333"/>
      <c r="G92" s="334"/>
      <c r="H92" s="72"/>
      <c r="I92" s="50"/>
      <c r="J92" s="71"/>
      <c r="K92" s="71"/>
      <c r="L92" s="71"/>
      <c r="M92" s="335">
        <v>111.41</v>
      </c>
      <c r="N92" s="71"/>
      <c r="O92" s="336">
        <v>113.38776953257582</v>
      </c>
      <c r="P92" s="71"/>
      <c r="Q92" s="71"/>
      <c r="R92" s="71"/>
      <c r="S92" s="71"/>
      <c r="T92" s="71"/>
      <c r="U92" s="71"/>
      <c r="V92" s="71"/>
      <c r="W92" s="71"/>
    </row>
    <row r="93" spans="1:23" s="63" customFormat="1">
      <c r="A93" s="331"/>
      <c r="B93" s="321" t="s">
        <v>157</v>
      </c>
      <c r="C93" s="319" t="s">
        <v>327</v>
      </c>
      <c r="D93" s="371"/>
      <c r="E93" s="73"/>
      <c r="F93" s="333"/>
      <c r="G93" s="334"/>
      <c r="H93" s="72"/>
      <c r="I93" s="50"/>
      <c r="J93" s="71"/>
      <c r="K93" s="71"/>
      <c r="L93" s="71"/>
      <c r="M93" s="335">
        <v>29.84</v>
      </c>
      <c r="N93" s="71"/>
      <c r="O93" s="336">
        <v>30.17</v>
      </c>
      <c r="P93" s="71"/>
      <c r="Q93" s="71"/>
      <c r="R93" s="71"/>
      <c r="S93" s="71"/>
      <c r="T93" s="71"/>
      <c r="U93" s="71"/>
      <c r="V93" s="71"/>
      <c r="W93" s="71"/>
    </row>
    <row r="94" spans="1:23" s="63" customFormat="1">
      <c r="A94" s="331"/>
      <c r="B94" s="321" t="s">
        <v>157</v>
      </c>
      <c r="C94" s="319" t="s">
        <v>328</v>
      </c>
      <c r="D94" s="371"/>
      <c r="E94" s="73"/>
      <c r="F94" s="333"/>
      <c r="G94" s="334"/>
      <c r="H94" s="72"/>
      <c r="I94" s="50"/>
      <c r="J94" s="71"/>
      <c r="K94" s="71"/>
      <c r="L94" s="71"/>
      <c r="M94" s="335">
        <v>31.97</v>
      </c>
      <c r="N94" s="71"/>
      <c r="O94" s="336">
        <v>32.380000000000003</v>
      </c>
      <c r="P94" s="71"/>
      <c r="Q94" s="71"/>
      <c r="R94" s="71"/>
      <c r="S94" s="71"/>
      <c r="T94" s="71"/>
      <c r="U94" s="71"/>
      <c r="V94" s="71"/>
      <c r="W94" s="71"/>
    </row>
    <row r="95" spans="1:23" s="63" customFormat="1">
      <c r="A95" s="331"/>
      <c r="B95" s="321" t="s">
        <v>157</v>
      </c>
      <c r="C95" s="319" t="s">
        <v>312</v>
      </c>
      <c r="D95" s="371"/>
      <c r="E95" s="73"/>
      <c r="F95" s="333"/>
      <c r="G95" s="334"/>
      <c r="H95" s="72"/>
      <c r="I95" s="50"/>
      <c r="J95" s="71"/>
      <c r="K95" s="71"/>
      <c r="L95" s="71"/>
      <c r="M95" s="335">
        <v>40.75</v>
      </c>
      <c r="N95" s="71"/>
      <c r="O95" s="336">
        <v>41.41</v>
      </c>
      <c r="P95" s="71"/>
      <c r="Q95" s="71"/>
      <c r="R95" s="71"/>
      <c r="S95" s="71"/>
      <c r="T95" s="71"/>
      <c r="U95" s="71"/>
      <c r="V95" s="71"/>
      <c r="W95" s="71"/>
    </row>
    <row r="96" spans="1:23" s="63" customFormat="1">
      <c r="A96" s="331"/>
      <c r="B96" s="321" t="s">
        <v>157</v>
      </c>
      <c r="C96" s="319" t="s">
        <v>313</v>
      </c>
      <c r="D96" s="371"/>
      <c r="E96" s="73"/>
      <c r="F96" s="333"/>
      <c r="G96" s="334"/>
      <c r="H96" s="72"/>
      <c r="I96" s="50"/>
      <c r="J96" s="71"/>
      <c r="K96" s="71"/>
      <c r="L96" s="71"/>
      <c r="M96" s="335">
        <v>56.88</v>
      </c>
      <c r="N96" s="71"/>
      <c r="O96" s="336">
        <v>57.87</v>
      </c>
      <c r="P96" s="71"/>
      <c r="Q96" s="71"/>
      <c r="R96" s="71"/>
      <c r="S96" s="71"/>
      <c r="T96" s="71"/>
      <c r="U96" s="71"/>
      <c r="V96" s="71"/>
      <c r="W96" s="71"/>
    </row>
    <row r="97" spans="1:25" s="63" customFormat="1">
      <c r="A97" s="331"/>
      <c r="B97" s="321" t="s">
        <v>157</v>
      </c>
      <c r="C97" s="319" t="s">
        <v>314</v>
      </c>
      <c r="D97" s="371"/>
      <c r="E97" s="73"/>
      <c r="F97" s="333"/>
      <c r="G97" s="334"/>
      <c r="H97" s="72"/>
      <c r="I97" s="50"/>
      <c r="J97" s="71"/>
      <c r="K97" s="71"/>
      <c r="L97" s="71"/>
      <c r="M97" s="335">
        <v>74.62</v>
      </c>
      <c r="N97" s="71"/>
      <c r="O97" s="336">
        <v>75.94</v>
      </c>
      <c r="P97" s="71"/>
      <c r="Q97" s="71"/>
      <c r="R97" s="71"/>
      <c r="S97" s="71"/>
      <c r="T97" s="71"/>
      <c r="U97" s="71"/>
      <c r="V97" s="71"/>
      <c r="W97" s="71"/>
    </row>
    <row r="98" spans="1:25" s="63" customFormat="1">
      <c r="A98" s="331"/>
      <c r="B98" s="321" t="s">
        <v>157</v>
      </c>
      <c r="C98" s="319" t="s">
        <v>315</v>
      </c>
      <c r="D98" s="371"/>
      <c r="E98" s="73"/>
      <c r="F98" s="333"/>
      <c r="G98" s="334"/>
      <c r="H98" s="72"/>
      <c r="I98" s="50"/>
      <c r="J98" s="71"/>
      <c r="K98" s="71"/>
      <c r="L98" s="71"/>
      <c r="M98" s="335">
        <v>111.31</v>
      </c>
      <c r="N98" s="71"/>
      <c r="O98" s="336">
        <v>113.29</v>
      </c>
      <c r="P98" s="71"/>
      <c r="Q98" s="71"/>
      <c r="R98" s="71"/>
      <c r="S98" s="71"/>
      <c r="T98" s="71"/>
      <c r="U98" s="71"/>
      <c r="V98" s="71"/>
      <c r="W98" s="71"/>
    </row>
    <row r="99" spans="1:25" s="63" customFormat="1">
      <c r="A99" s="331"/>
      <c r="B99" s="321" t="s">
        <v>157</v>
      </c>
      <c r="C99" s="319" t="s">
        <v>316</v>
      </c>
      <c r="D99" s="371"/>
      <c r="E99" s="73"/>
      <c r="F99" s="333"/>
      <c r="G99" s="334"/>
      <c r="H99" s="72"/>
      <c r="I99" s="50"/>
      <c r="J99" s="71"/>
      <c r="K99" s="71"/>
      <c r="L99" s="71"/>
      <c r="M99" s="335">
        <v>137.19999999999999</v>
      </c>
      <c r="N99" s="71"/>
      <c r="O99" s="336">
        <v>151.83000000000001</v>
      </c>
      <c r="P99" s="71"/>
      <c r="Q99" s="71"/>
      <c r="R99" s="71"/>
      <c r="S99" s="71"/>
      <c r="T99" s="71"/>
      <c r="U99" s="71"/>
      <c r="V99" s="71"/>
      <c r="W99" s="71"/>
    </row>
    <row r="100" spans="1:25" s="63" customFormat="1">
      <c r="A100" s="331"/>
      <c r="B100" s="321" t="s">
        <v>157</v>
      </c>
      <c r="C100" s="319" t="s">
        <v>32</v>
      </c>
      <c r="D100" s="332"/>
      <c r="E100" s="370"/>
      <c r="F100" s="333"/>
      <c r="G100" s="334"/>
      <c r="H100" s="72"/>
      <c r="I100" s="50"/>
      <c r="J100" s="71"/>
      <c r="K100" s="71"/>
      <c r="L100" s="71"/>
      <c r="M100" s="335">
        <v>4.5999999999999996</v>
      </c>
      <c r="N100" s="71"/>
      <c r="O100" s="336">
        <v>4.93</v>
      </c>
      <c r="P100" s="71"/>
      <c r="Q100" s="71"/>
      <c r="R100" s="71"/>
      <c r="S100" s="71"/>
      <c r="T100" s="71"/>
      <c r="U100" s="71"/>
      <c r="V100" s="71"/>
      <c r="W100" s="71"/>
    </row>
    <row r="101" spans="1:25" s="63" customFormat="1">
      <c r="A101" s="331"/>
      <c r="B101" s="321" t="str">
        <f>'Tariff Changes'!$A$66</f>
        <v>Item 106, pg 30 Compacted</v>
      </c>
      <c r="C101" s="319" t="str">
        <f>'Tariff Changes'!A67</f>
        <v>3 yd Pickup</v>
      </c>
      <c r="D101" s="332">
        <v>1</v>
      </c>
      <c r="E101" s="73">
        <v>1</v>
      </c>
      <c r="F101" s="333">
        <f t="shared" si="73"/>
        <v>12</v>
      </c>
      <c r="G101" s="334">
        <f>References!B37</f>
        <v>1301</v>
      </c>
      <c r="H101" s="72">
        <f t="shared" si="71"/>
        <v>15612</v>
      </c>
      <c r="I101" s="50">
        <f>$D$134*H101</f>
        <v>9361.8179577719529</v>
      </c>
      <c r="J101" s="71">
        <f>(References!$C$49*I101)</f>
        <v>29.162062938459567</v>
      </c>
      <c r="K101" s="71">
        <f>J101/References!$G$52</f>
        <v>29.821109457469646</v>
      </c>
      <c r="L101" s="71">
        <f t="shared" si="72"/>
        <v>2.4850924547891373</v>
      </c>
      <c r="M101" s="335">
        <f>'Tariff Changes'!C67</f>
        <v>190.35</v>
      </c>
      <c r="N101" s="71">
        <f t="shared" si="78"/>
        <v>192.83509245478913</v>
      </c>
      <c r="O101" s="336">
        <f>'Tariff Changes'!E67</f>
        <v>193.81166238692444</v>
      </c>
      <c r="P101" s="71"/>
      <c r="Q101" s="71"/>
      <c r="R101" s="71"/>
      <c r="S101" s="71"/>
      <c r="T101" s="71"/>
      <c r="U101" s="71"/>
      <c r="V101" s="71"/>
      <c r="W101" s="71"/>
    </row>
    <row r="102" spans="1:25" s="63" customFormat="1">
      <c r="A102" s="331"/>
      <c r="B102" s="321" t="str">
        <f>'Tariff Changes'!$A$66</f>
        <v>Item 106, pg 30 Compacted</v>
      </c>
      <c r="C102" s="319" t="str">
        <f>'Tariff Changes'!A68</f>
        <v>4 yd Pickup</v>
      </c>
      <c r="D102" s="332">
        <v>1</v>
      </c>
      <c r="E102" s="73">
        <v>1</v>
      </c>
      <c r="F102" s="333">
        <f t="shared" si="73"/>
        <v>12</v>
      </c>
      <c r="G102" s="334">
        <f>References!B38</f>
        <v>1686</v>
      </c>
      <c r="H102" s="72">
        <f t="shared" si="71"/>
        <v>20232</v>
      </c>
      <c r="I102" s="50">
        <f>$D$134*H102</f>
        <v>12132.225270410079</v>
      </c>
      <c r="J102" s="71">
        <f>(References!$C$49*I102)</f>
        <v>37.791881717327307</v>
      </c>
      <c r="K102" s="71">
        <f>J102/References!$G$52</f>
        <v>38.64595737532192</v>
      </c>
      <c r="L102" s="71">
        <f t="shared" si="72"/>
        <v>3.2204964479434932</v>
      </c>
      <c r="M102" s="335">
        <f>'Tariff Changes'!C68</f>
        <v>318.27</v>
      </c>
      <c r="N102" s="71">
        <f t="shared" si="78"/>
        <v>321.49049644794349</v>
      </c>
      <c r="O102" s="336">
        <f>'Tariff Changes'!E68</f>
        <v>322.88554984923258</v>
      </c>
      <c r="P102" s="71"/>
      <c r="Q102" s="71"/>
      <c r="R102" s="71"/>
      <c r="S102" s="71"/>
      <c r="T102" s="71"/>
      <c r="U102" s="71"/>
      <c r="V102" s="71"/>
      <c r="W102" s="71"/>
    </row>
    <row r="103" spans="1:25" s="63" customFormat="1">
      <c r="A103" s="331"/>
      <c r="B103" s="321" t="str">
        <f>'Tariff Changes'!$A$66</f>
        <v>Item 106, pg 30 Compacted</v>
      </c>
      <c r="C103" s="319" t="str">
        <f>'Tariff Changes'!A69</f>
        <v>6 yd Pickup</v>
      </c>
      <c r="D103" s="332">
        <v>1</v>
      </c>
      <c r="E103" s="73">
        <v>1</v>
      </c>
      <c r="F103" s="333">
        <f t="shared" si="73"/>
        <v>12</v>
      </c>
      <c r="G103" s="334">
        <f>References!B40</f>
        <v>2310</v>
      </c>
      <c r="H103" s="72">
        <f t="shared" si="71"/>
        <v>27720</v>
      </c>
      <c r="I103" s="50">
        <f>$D$134*H103</f>
        <v>16622.443875828754</v>
      </c>
      <c r="J103" s="71">
        <f>(References!$C$49*I103)</f>
        <v>51.778912673206449</v>
      </c>
      <c r="K103" s="71">
        <f>J103/References!$G$52</f>
        <v>52.94908750711366</v>
      </c>
      <c r="L103" s="71">
        <f t="shared" si="72"/>
        <v>4.412423958926138</v>
      </c>
      <c r="M103" s="335">
        <f>'Tariff Changes'!C69</f>
        <v>416.01</v>
      </c>
      <c r="N103" s="71">
        <f t="shared" si="78"/>
        <v>420.42242395892612</v>
      </c>
      <c r="O103" s="336">
        <f>'Tariff Changes'!E69</f>
        <v>422.93332477384888</v>
      </c>
      <c r="P103" s="71"/>
      <c r="Q103" s="71"/>
      <c r="R103" s="71"/>
      <c r="S103" s="71"/>
      <c r="T103" s="71"/>
      <c r="U103" s="71"/>
      <c r="V103" s="71"/>
      <c r="W103" s="71"/>
    </row>
    <row r="104" spans="1:25">
      <c r="A104" s="331"/>
      <c r="B104" s="321" t="str">
        <f>'Tariff Changes'!$A$66</f>
        <v>Item 106, pg 30 Compacted</v>
      </c>
      <c r="C104" s="61" t="str">
        <f>'Tariff Changes'!A71</f>
        <v>3 yd Special Pickup</v>
      </c>
      <c r="D104" s="332">
        <v>1</v>
      </c>
      <c r="E104" s="73">
        <v>1</v>
      </c>
      <c r="F104" s="333">
        <f t="shared" ref="F104:F125" si="79">D104*E104*12</f>
        <v>12</v>
      </c>
      <c r="G104" s="334">
        <f>References!B37</f>
        <v>1301</v>
      </c>
      <c r="H104" s="72">
        <f t="shared" ref="H104:H125" si="80">G104*F104</f>
        <v>15612</v>
      </c>
      <c r="I104" s="50">
        <f t="shared" ref="I104:I125" si="81">$D$134*H104</f>
        <v>9361.8179577719529</v>
      </c>
      <c r="J104" s="71">
        <f>(References!$C$49*I104)</f>
        <v>29.162062938459567</v>
      </c>
      <c r="K104" s="71">
        <f>J104/References!$G$52</f>
        <v>29.821109457469646</v>
      </c>
      <c r="L104" s="71">
        <f t="shared" ref="L104:L125" si="82">K104/F104*E104</f>
        <v>2.4850924547891373</v>
      </c>
      <c r="M104" s="335">
        <f>'Tariff Changes'!C71</f>
        <v>200.35</v>
      </c>
      <c r="N104" s="71">
        <f t="shared" ref="N104:N125" si="83">L104+M104</f>
        <v>202.83509245478913</v>
      </c>
      <c r="O104" s="336">
        <f>'Tariff Changes'!E71</f>
        <v>203.81</v>
      </c>
      <c r="P104" s="71"/>
      <c r="Q104" s="71"/>
      <c r="R104" s="71"/>
      <c r="S104" s="71"/>
      <c r="T104" s="71"/>
      <c r="U104" s="71"/>
      <c r="V104" s="71"/>
      <c r="W104" s="71"/>
      <c r="X104" s="63"/>
      <c r="Y104" s="63"/>
    </row>
    <row r="105" spans="1:25">
      <c r="A105" s="331"/>
      <c r="B105" s="321" t="str">
        <f>'Tariff Changes'!$A$66</f>
        <v>Item 106, pg 30 Compacted</v>
      </c>
      <c r="C105" s="61" t="str">
        <f>'Tariff Changes'!A72</f>
        <v>4 yd Special Pickup</v>
      </c>
      <c r="D105" s="332">
        <v>1</v>
      </c>
      <c r="E105" s="73">
        <v>1</v>
      </c>
      <c r="F105" s="333">
        <f t="shared" si="79"/>
        <v>12</v>
      </c>
      <c r="G105" s="334">
        <f>References!B38</f>
        <v>1686</v>
      </c>
      <c r="H105" s="72">
        <f t="shared" si="80"/>
        <v>20232</v>
      </c>
      <c r="I105" s="50">
        <f t="shared" si="81"/>
        <v>12132.225270410079</v>
      </c>
      <c r="J105" s="71">
        <f>(References!$C$49*I105)</f>
        <v>37.791881717327307</v>
      </c>
      <c r="K105" s="71">
        <f>J105/References!$G$52</f>
        <v>38.64595737532192</v>
      </c>
      <c r="L105" s="71">
        <f t="shared" si="82"/>
        <v>3.2204964479434932</v>
      </c>
      <c r="M105" s="335">
        <f>'Tariff Changes'!C72</f>
        <v>328.27</v>
      </c>
      <c r="N105" s="71">
        <f t="shared" si="83"/>
        <v>331.49049644794349</v>
      </c>
      <c r="O105" s="336">
        <f>'Tariff Changes'!E72</f>
        <v>332.89</v>
      </c>
      <c r="P105" s="71"/>
      <c r="Q105" s="71"/>
      <c r="R105" s="71"/>
      <c r="S105" s="71"/>
      <c r="T105" s="71"/>
      <c r="U105" s="71"/>
      <c r="V105" s="71"/>
      <c r="W105" s="71"/>
      <c r="X105" s="63"/>
      <c r="Y105" s="63"/>
    </row>
    <row r="106" spans="1:25">
      <c r="A106" s="331"/>
      <c r="B106" s="321" t="str">
        <f>'Tariff Changes'!$A$66</f>
        <v>Item 106, pg 30 Compacted</v>
      </c>
      <c r="C106" s="61" t="str">
        <f>'Tariff Changes'!A73</f>
        <v>6 yd Special Pickup</v>
      </c>
      <c r="D106" s="332">
        <v>1</v>
      </c>
      <c r="E106" s="73">
        <v>1</v>
      </c>
      <c r="F106" s="333">
        <f t="shared" si="79"/>
        <v>12</v>
      </c>
      <c r="G106" s="334">
        <f>References!B40</f>
        <v>2310</v>
      </c>
      <c r="H106" s="72">
        <f t="shared" si="80"/>
        <v>27720</v>
      </c>
      <c r="I106" s="50">
        <f t="shared" si="81"/>
        <v>16622.443875828754</v>
      </c>
      <c r="J106" s="71">
        <f>(References!$C$49*I106)</f>
        <v>51.778912673206449</v>
      </c>
      <c r="K106" s="71">
        <f>J106/References!$G$52</f>
        <v>52.94908750711366</v>
      </c>
      <c r="L106" s="71">
        <f t="shared" si="82"/>
        <v>4.412423958926138</v>
      </c>
      <c r="M106" s="335">
        <f>'Tariff Changes'!C73</f>
        <v>426.01</v>
      </c>
      <c r="N106" s="71">
        <f t="shared" si="83"/>
        <v>430.42242395892612</v>
      </c>
      <c r="O106" s="336">
        <f>'Tariff Changes'!E73</f>
        <v>432.93</v>
      </c>
      <c r="P106" s="71"/>
      <c r="Q106" s="71"/>
      <c r="R106" s="71"/>
      <c r="S106" s="71"/>
      <c r="T106" s="71"/>
      <c r="U106" s="71"/>
      <c r="V106" s="71"/>
      <c r="W106" s="71"/>
      <c r="X106" s="63"/>
      <c r="Y106" s="63"/>
    </row>
    <row r="107" spans="1:25">
      <c r="A107" s="331"/>
      <c r="B107" s="46" t="str">
        <f>'Tariff Changes'!$A$78</f>
        <v>Item 240, pg 40</v>
      </c>
      <c r="C107" s="61" t="str">
        <f>'Tariff Changes'!A104</f>
        <v>32 Gal Toter On Call</v>
      </c>
      <c r="D107" s="332">
        <v>1</v>
      </c>
      <c r="E107" s="73">
        <v>1</v>
      </c>
      <c r="F107" s="333">
        <f t="shared" si="79"/>
        <v>12</v>
      </c>
      <c r="G107" s="334">
        <f>References!B26</f>
        <v>29</v>
      </c>
      <c r="H107" s="72">
        <f t="shared" si="80"/>
        <v>348</v>
      </c>
      <c r="I107" s="50">
        <f t="shared" si="81"/>
        <v>208.68003134157311</v>
      </c>
      <c r="J107" s="71">
        <f>(References!$C$49*I107)</f>
        <v>0.65003829762899878</v>
      </c>
      <c r="K107" s="71">
        <f>J107/References!$G$52</f>
        <v>0.66472880420185987</v>
      </c>
      <c r="L107" s="71">
        <f t="shared" si="82"/>
        <v>5.5394067016821653E-2</v>
      </c>
      <c r="M107" s="335">
        <f>'Tariff Changes'!C104</f>
        <v>7.4</v>
      </c>
      <c r="N107" s="71">
        <f t="shared" si="83"/>
        <v>7.4553940670168224</v>
      </c>
      <c r="O107" s="336">
        <f>'Tariff Changes'!E104</f>
        <v>7.4527491411340874</v>
      </c>
      <c r="P107" s="71"/>
      <c r="Q107" s="71"/>
      <c r="R107" s="71"/>
      <c r="S107" s="71"/>
      <c r="T107" s="71"/>
      <c r="U107" s="71"/>
      <c r="V107" s="71"/>
      <c r="W107" s="71"/>
      <c r="X107" s="63"/>
      <c r="Y107" s="63"/>
    </row>
    <row r="108" spans="1:25">
      <c r="A108" s="331"/>
      <c r="B108" s="46" t="str">
        <f>'Tariff Changes'!$A$78</f>
        <v>Item 240, pg 40</v>
      </c>
      <c r="C108" s="61" t="str">
        <f>'Tariff Changes'!A105</f>
        <v>64 Gal Toter On Call</v>
      </c>
      <c r="D108" s="332">
        <v>1</v>
      </c>
      <c r="E108" s="73">
        <v>1</v>
      </c>
      <c r="F108" s="333">
        <f t="shared" si="79"/>
        <v>12</v>
      </c>
      <c r="G108" s="334">
        <f>References!B21</f>
        <v>47</v>
      </c>
      <c r="H108" s="72">
        <f t="shared" si="80"/>
        <v>564</v>
      </c>
      <c r="I108" s="50">
        <f t="shared" si="81"/>
        <v>338.20556803634264</v>
      </c>
      <c r="J108" s="71">
        <f>(References!$C$49*I108)</f>
        <v>1.0535103444332048</v>
      </c>
      <c r="K108" s="71">
        <f>J108/References!$G$52</f>
        <v>1.0773190964650832</v>
      </c>
      <c r="L108" s="71">
        <f t="shared" si="82"/>
        <v>8.9776591372090264E-2</v>
      </c>
      <c r="M108" s="335">
        <f>'Tariff Changes'!C105</f>
        <v>9.9499999999999993</v>
      </c>
      <c r="N108" s="71">
        <f t="shared" si="83"/>
        <v>10.039776591372089</v>
      </c>
      <c r="O108" s="336">
        <f>'Tariff Changes'!E105</f>
        <v>10.055498282268173</v>
      </c>
      <c r="P108" s="71"/>
      <c r="Q108" s="71"/>
      <c r="R108" s="71"/>
      <c r="S108" s="71"/>
      <c r="T108" s="71"/>
      <c r="U108" s="71"/>
      <c r="V108" s="71"/>
      <c r="W108" s="71"/>
      <c r="X108" s="63"/>
      <c r="Y108" s="63"/>
    </row>
    <row r="109" spans="1:25">
      <c r="A109" s="331"/>
      <c r="B109" s="46" t="str">
        <f>'Tariff Changes'!$A$78</f>
        <v>Item 240, pg 40</v>
      </c>
      <c r="C109" s="61" t="str">
        <f>'Tariff Changes'!A106</f>
        <v>96 Gal Toter On Call</v>
      </c>
      <c r="D109" s="332">
        <v>1</v>
      </c>
      <c r="E109" s="73">
        <v>1</v>
      </c>
      <c r="F109" s="333">
        <f t="shared" si="79"/>
        <v>12</v>
      </c>
      <c r="G109" s="334">
        <f>References!B22</f>
        <v>68</v>
      </c>
      <c r="H109" s="72">
        <f t="shared" si="80"/>
        <v>816</v>
      </c>
      <c r="I109" s="50">
        <f t="shared" si="81"/>
        <v>489.31869418024041</v>
      </c>
      <c r="J109" s="71">
        <f>(References!$C$49*I109)</f>
        <v>1.5242277323714453</v>
      </c>
      <c r="K109" s="71">
        <f>J109/References!$G$52</f>
        <v>1.5586744374388437</v>
      </c>
      <c r="L109" s="71">
        <f t="shared" si="82"/>
        <v>0.12988953645323698</v>
      </c>
      <c r="M109" s="335">
        <v>11.17</v>
      </c>
      <c r="N109" s="71">
        <f t="shared" si="83"/>
        <v>11.299889536453238</v>
      </c>
      <c r="O109" s="336">
        <f>'Tariff Changes'!E106</f>
        <v>11.32495060208138</v>
      </c>
      <c r="P109" s="71"/>
      <c r="Q109" s="71"/>
      <c r="R109" s="71"/>
      <c r="S109" s="71"/>
      <c r="T109" s="71"/>
      <c r="U109" s="71"/>
      <c r="V109" s="71"/>
      <c r="W109" s="71"/>
      <c r="X109" s="63"/>
      <c r="Y109" s="63"/>
    </row>
    <row r="110" spans="1:25">
      <c r="A110" s="331"/>
      <c r="B110" s="46" t="str">
        <f>'Tariff Changes'!$A$78</f>
        <v>Item 240, pg 40</v>
      </c>
      <c r="C110" s="61" t="str">
        <f>'Tariff Changes'!A107</f>
        <v>1 yd  On Call</v>
      </c>
      <c r="D110" s="332">
        <v>1</v>
      </c>
      <c r="E110" s="73">
        <v>1</v>
      </c>
      <c r="F110" s="333">
        <f t="shared" si="79"/>
        <v>12</v>
      </c>
      <c r="G110" s="334">
        <f>References!B27</f>
        <v>175</v>
      </c>
      <c r="H110" s="72">
        <f t="shared" si="80"/>
        <v>2100</v>
      </c>
      <c r="I110" s="50">
        <f t="shared" si="81"/>
        <v>1259.276051199148</v>
      </c>
      <c r="J110" s="71">
        <f>(References!$C$49*I110)</f>
        <v>3.9226448994853369</v>
      </c>
      <c r="K110" s="71">
        <f>J110/References!$G$52</f>
        <v>4.0112945081146716</v>
      </c>
      <c r="L110" s="71">
        <f t="shared" si="82"/>
        <v>0.33427454234288928</v>
      </c>
      <c r="M110" s="335">
        <f>'Tariff Changes'!C107</f>
        <v>21.48</v>
      </c>
      <c r="N110" s="71">
        <f t="shared" si="83"/>
        <v>21.81427454234289</v>
      </c>
      <c r="O110" s="336">
        <f>'Tariff Changes'!E107</f>
        <v>21.81</v>
      </c>
      <c r="P110" s="71"/>
      <c r="Q110" s="71"/>
      <c r="R110" s="71"/>
      <c r="S110" s="71"/>
      <c r="T110" s="71"/>
      <c r="U110" s="71"/>
      <c r="V110" s="71"/>
      <c r="W110" s="71"/>
      <c r="X110" s="63"/>
      <c r="Y110" s="63"/>
    </row>
    <row r="111" spans="1:25">
      <c r="A111" s="331"/>
      <c r="B111" s="46" t="s">
        <v>156</v>
      </c>
      <c r="C111" s="319" t="s">
        <v>327</v>
      </c>
      <c r="D111" s="332"/>
      <c r="E111" s="73"/>
      <c r="F111" s="333"/>
      <c r="G111" s="334"/>
      <c r="H111" s="72"/>
      <c r="I111" s="50"/>
      <c r="J111" s="71"/>
      <c r="K111" s="71"/>
      <c r="L111" s="71"/>
      <c r="M111" s="335">
        <v>27.45</v>
      </c>
      <c r="N111" s="71"/>
      <c r="O111" s="336">
        <v>27.779628255429305</v>
      </c>
      <c r="P111" s="71"/>
      <c r="Q111" s="71"/>
      <c r="R111" s="71"/>
      <c r="S111" s="71"/>
      <c r="T111" s="71"/>
      <c r="U111" s="71"/>
      <c r="V111" s="71"/>
      <c r="W111" s="71"/>
      <c r="X111" s="63"/>
      <c r="Y111" s="63"/>
    </row>
    <row r="112" spans="1:25">
      <c r="A112" s="331"/>
      <c r="B112" s="46" t="s">
        <v>156</v>
      </c>
      <c r="C112" s="319" t="s">
        <v>328</v>
      </c>
      <c r="D112" s="332"/>
      <c r="E112" s="73"/>
      <c r="F112" s="333"/>
      <c r="G112" s="334"/>
      <c r="H112" s="72"/>
      <c r="I112" s="50"/>
      <c r="J112" s="71"/>
      <c r="K112" s="71"/>
      <c r="L112" s="71"/>
      <c r="M112" s="335">
        <v>28.98</v>
      </c>
      <c r="N112" s="71"/>
      <c r="O112" s="336">
        <v>29.392035319286631</v>
      </c>
      <c r="P112" s="71"/>
      <c r="Q112" s="71"/>
      <c r="R112" s="71"/>
      <c r="S112" s="71"/>
      <c r="T112" s="71"/>
      <c r="U112" s="71"/>
      <c r="V112" s="71"/>
      <c r="W112" s="71"/>
      <c r="X112" s="63"/>
      <c r="Y112" s="63"/>
    </row>
    <row r="113" spans="1:25">
      <c r="A113" s="331"/>
      <c r="B113" s="46" t="s">
        <v>156</v>
      </c>
      <c r="C113" s="319" t="s">
        <v>312</v>
      </c>
      <c r="D113" s="332"/>
      <c r="E113" s="73"/>
      <c r="F113" s="333"/>
      <c r="G113" s="334"/>
      <c r="H113" s="72"/>
      <c r="I113" s="50"/>
      <c r="J113" s="71"/>
      <c r="K113" s="71"/>
      <c r="L113" s="71"/>
      <c r="M113" s="335">
        <v>35.979999999999997</v>
      </c>
      <c r="N113" s="71"/>
      <c r="O113" s="336">
        <v>36.639256510858608</v>
      </c>
      <c r="P113" s="71"/>
      <c r="Q113" s="71"/>
      <c r="R113" s="71"/>
      <c r="S113" s="71"/>
      <c r="T113" s="71"/>
      <c r="U113" s="71"/>
      <c r="V113" s="71"/>
      <c r="W113" s="71"/>
      <c r="X113" s="63"/>
      <c r="Y113" s="63"/>
    </row>
    <row r="114" spans="1:25">
      <c r="A114" s="331"/>
      <c r="B114" s="46" t="s">
        <v>156</v>
      </c>
      <c r="C114" s="319" t="s">
        <v>313</v>
      </c>
      <c r="D114" s="332"/>
      <c r="E114" s="73"/>
      <c r="F114" s="333"/>
      <c r="G114" s="334"/>
      <c r="H114" s="72"/>
      <c r="I114" s="50"/>
      <c r="J114" s="71"/>
      <c r="K114" s="71"/>
      <c r="L114" s="71"/>
      <c r="M114" s="335">
        <v>49.34</v>
      </c>
      <c r="N114" s="71"/>
      <c r="O114" s="336">
        <v>50.328884766287914</v>
      </c>
      <c r="P114" s="71"/>
      <c r="Q114" s="71"/>
      <c r="R114" s="71"/>
      <c r="S114" s="71"/>
      <c r="T114" s="71"/>
      <c r="U114" s="71"/>
      <c r="V114" s="71"/>
      <c r="W114" s="71"/>
      <c r="X114" s="63"/>
      <c r="Y114" s="63"/>
    </row>
    <row r="115" spans="1:25">
      <c r="A115" s="331"/>
      <c r="B115" s="46" t="s">
        <v>156</v>
      </c>
      <c r="C115" s="319" t="s">
        <v>314</v>
      </c>
      <c r="D115" s="332"/>
      <c r="E115" s="73"/>
      <c r="F115" s="333"/>
      <c r="G115" s="334"/>
      <c r="H115" s="72"/>
      <c r="I115" s="50"/>
      <c r="J115" s="71"/>
      <c r="K115" s="71"/>
      <c r="L115" s="71"/>
      <c r="M115" s="335">
        <v>64.569999999999993</v>
      </c>
      <c r="N115" s="71"/>
      <c r="O115" s="336">
        <v>65.888513021717216</v>
      </c>
      <c r="P115" s="71"/>
      <c r="Q115" s="71"/>
      <c r="R115" s="71"/>
      <c r="S115" s="71"/>
      <c r="T115" s="71"/>
      <c r="U115" s="71"/>
      <c r="V115" s="71"/>
      <c r="W115" s="71"/>
      <c r="X115" s="63"/>
      <c r="Y115" s="63"/>
    </row>
    <row r="116" spans="1:25">
      <c r="A116" s="331"/>
      <c r="B116" s="46" t="s">
        <v>156</v>
      </c>
      <c r="C116" s="319" t="s">
        <v>315</v>
      </c>
      <c r="D116" s="332"/>
      <c r="E116" s="73"/>
      <c r="F116" s="333"/>
      <c r="G116" s="334"/>
      <c r="H116" s="72"/>
      <c r="I116" s="50"/>
      <c r="J116" s="71"/>
      <c r="K116" s="71"/>
      <c r="L116" s="71"/>
      <c r="M116" s="335">
        <v>96.24</v>
      </c>
      <c r="N116" s="71"/>
      <c r="O116" s="336">
        <v>98.217769532575815</v>
      </c>
      <c r="P116" s="71"/>
      <c r="Q116" s="71"/>
      <c r="R116" s="71"/>
      <c r="S116" s="71"/>
      <c r="T116" s="71"/>
      <c r="U116" s="71"/>
      <c r="V116" s="71"/>
      <c r="W116" s="71"/>
      <c r="X116" s="63"/>
      <c r="Y116" s="63"/>
    </row>
    <row r="117" spans="1:25">
      <c r="A117" s="331"/>
      <c r="B117" s="46" t="s">
        <v>156</v>
      </c>
      <c r="C117" s="319" t="s">
        <v>316</v>
      </c>
      <c r="D117" s="332"/>
      <c r="E117" s="73"/>
      <c r="F117" s="333"/>
      <c r="G117" s="334"/>
      <c r="H117" s="72"/>
      <c r="I117" s="50"/>
      <c r="J117" s="71"/>
      <c r="K117" s="71"/>
      <c r="L117" s="71"/>
      <c r="M117" s="335">
        <v>116.97</v>
      </c>
      <c r="N117" s="71"/>
      <c r="O117" s="336">
        <v>119.60702604343443</v>
      </c>
      <c r="P117" s="71"/>
      <c r="Q117" s="71"/>
      <c r="R117" s="71"/>
      <c r="S117" s="71"/>
      <c r="T117" s="71"/>
      <c r="U117" s="71"/>
      <c r="V117" s="71"/>
      <c r="W117" s="71"/>
      <c r="X117" s="63"/>
      <c r="Y117" s="63"/>
    </row>
    <row r="118" spans="1:25">
      <c r="A118" s="331"/>
      <c r="B118" s="46" t="str">
        <f>'Tariff Changes'!$A$109</f>
        <v>Item 245, pg 41, Cust-owned</v>
      </c>
      <c r="C118" s="61" t="str">
        <f>'Tariff Changes'!A110</f>
        <v>32 Gal Can</v>
      </c>
      <c r="D118" s="332">
        <v>1</v>
      </c>
      <c r="E118" s="73">
        <v>1</v>
      </c>
      <c r="F118" s="333">
        <f t="shared" si="79"/>
        <v>12</v>
      </c>
      <c r="G118" s="334">
        <f>References!B26</f>
        <v>29</v>
      </c>
      <c r="H118" s="72">
        <f t="shared" si="80"/>
        <v>348</v>
      </c>
      <c r="I118" s="50">
        <f t="shared" si="81"/>
        <v>208.68003134157311</v>
      </c>
      <c r="J118" s="71">
        <f>(References!$C$49*I118)</f>
        <v>0.65003829762899878</v>
      </c>
      <c r="K118" s="71">
        <f>J118/References!$G$52</f>
        <v>0.66472880420185987</v>
      </c>
      <c r="L118" s="71">
        <f t="shared" si="82"/>
        <v>5.5394067016821653E-2</v>
      </c>
      <c r="M118" s="335">
        <f>'Tariff Changes'!C110</f>
        <v>3.5</v>
      </c>
      <c r="N118" s="71">
        <f t="shared" si="83"/>
        <v>3.5553940670168216</v>
      </c>
      <c r="O118" s="336">
        <f>'Tariff Changes'!E110</f>
        <v>3.7067448018673499</v>
      </c>
      <c r="P118" s="71"/>
      <c r="Q118" s="71"/>
      <c r="R118" s="71"/>
      <c r="S118" s="71"/>
      <c r="T118" s="71"/>
      <c r="U118" s="71"/>
      <c r="V118" s="71"/>
      <c r="W118" s="71"/>
      <c r="X118" s="63"/>
      <c r="Y118" s="63"/>
    </row>
    <row r="119" spans="1:25">
      <c r="A119" s="331"/>
      <c r="B119" s="46" t="str">
        <f>'Tariff Changes'!$A$109</f>
        <v>Item 245, pg 41, Cust-owned</v>
      </c>
      <c r="C119" s="61" t="str">
        <f>'Tariff Changes'!A111</f>
        <v>32 Gal Can Special Pick Up</v>
      </c>
      <c r="D119" s="332">
        <v>1</v>
      </c>
      <c r="E119" s="73">
        <v>1</v>
      </c>
      <c r="F119" s="333">
        <f t="shared" si="79"/>
        <v>12</v>
      </c>
      <c r="G119" s="334">
        <f>References!B26</f>
        <v>29</v>
      </c>
      <c r="H119" s="72">
        <f t="shared" si="80"/>
        <v>348</v>
      </c>
      <c r="I119" s="50">
        <f t="shared" si="81"/>
        <v>208.68003134157311</v>
      </c>
      <c r="J119" s="71">
        <f>(References!$C$49*I119)</f>
        <v>0.65003829762899878</v>
      </c>
      <c r="K119" s="71">
        <f>J119/References!$G$52</f>
        <v>0.66472880420185987</v>
      </c>
      <c r="L119" s="71">
        <f t="shared" si="82"/>
        <v>5.5394067016821653E-2</v>
      </c>
      <c r="M119" s="335">
        <f>'Tariff Changes'!C111</f>
        <v>7.4</v>
      </c>
      <c r="N119" s="71">
        <f t="shared" si="83"/>
        <v>7.4553940670168224</v>
      </c>
      <c r="O119" s="336">
        <f>'Tariff Changes'!E111</f>
        <v>7.61</v>
      </c>
      <c r="P119" s="71"/>
      <c r="Q119" s="71"/>
      <c r="R119" s="71"/>
      <c r="S119" s="71"/>
      <c r="T119" s="71"/>
      <c r="U119" s="71"/>
      <c r="V119" s="71"/>
      <c r="W119" s="71"/>
      <c r="X119" s="63"/>
      <c r="Y119" s="63"/>
    </row>
    <row r="120" spans="1:25">
      <c r="A120" s="331"/>
      <c r="B120" s="46" t="str">
        <f>'Tariff Changes'!$A$114</f>
        <v xml:space="preserve">Item 255, pg 42, Compacted </v>
      </c>
      <c r="C120" s="61" t="str">
        <f>'Tariff Changes'!A115</f>
        <v>3 yd Pickup</v>
      </c>
      <c r="D120" s="332">
        <v>1</v>
      </c>
      <c r="E120" s="73">
        <v>1</v>
      </c>
      <c r="F120" s="333">
        <f t="shared" si="79"/>
        <v>12</v>
      </c>
      <c r="G120" s="334">
        <f>References!B37</f>
        <v>1301</v>
      </c>
      <c r="H120" s="72">
        <f t="shared" si="80"/>
        <v>15612</v>
      </c>
      <c r="I120" s="50">
        <f t="shared" si="81"/>
        <v>9361.8179577719529</v>
      </c>
      <c r="J120" s="71">
        <f>(References!$C$49*I120)</f>
        <v>29.162062938459567</v>
      </c>
      <c r="K120" s="71">
        <f>J120/References!$G$52</f>
        <v>29.821109457469646</v>
      </c>
      <c r="L120" s="71">
        <f t="shared" si="82"/>
        <v>2.4850924547891373</v>
      </c>
      <c r="M120" s="335">
        <f>'Tariff Changes'!C115</f>
        <v>163.89</v>
      </c>
      <c r="N120" s="71">
        <f t="shared" si="83"/>
        <v>166.37509245478913</v>
      </c>
      <c r="O120" s="336">
        <f>'Tariff Changes'!E115</f>
        <v>167.35</v>
      </c>
      <c r="P120" s="71"/>
      <c r="Q120" s="71"/>
      <c r="R120" s="71"/>
      <c r="S120" s="71"/>
      <c r="T120" s="71"/>
      <c r="U120" s="71"/>
      <c r="V120" s="71"/>
      <c r="W120" s="71"/>
      <c r="X120" s="63"/>
      <c r="Y120" s="63"/>
    </row>
    <row r="121" spans="1:25">
      <c r="A121" s="337"/>
      <c r="B121" s="46" t="str">
        <f>'Tariff Changes'!$A$114</f>
        <v xml:space="preserve">Item 255, pg 42, Compacted </v>
      </c>
      <c r="C121" s="61" t="str">
        <f>'Tariff Changes'!A116</f>
        <v>4 yd Pickup</v>
      </c>
      <c r="D121" s="332">
        <v>1</v>
      </c>
      <c r="E121" s="73">
        <v>1</v>
      </c>
      <c r="F121" s="333">
        <f t="shared" si="79"/>
        <v>12</v>
      </c>
      <c r="G121" s="334">
        <f>References!B38</f>
        <v>1686</v>
      </c>
      <c r="H121" s="72">
        <f t="shared" si="80"/>
        <v>20232</v>
      </c>
      <c r="I121" s="50">
        <f t="shared" si="81"/>
        <v>12132.225270410079</v>
      </c>
      <c r="J121" s="71">
        <f>(References!$C$49*I121)</f>
        <v>37.791881717327307</v>
      </c>
      <c r="K121" s="71">
        <f>J121/References!$G$52</f>
        <v>38.64595737532192</v>
      </c>
      <c r="L121" s="71">
        <f t="shared" si="82"/>
        <v>3.2204964479434932</v>
      </c>
      <c r="M121" s="335">
        <f>'Tariff Changes'!C116</f>
        <v>283</v>
      </c>
      <c r="N121" s="71">
        <f t="shared" si="83"/>
        <v>286.2204964479435</v>
      </c>
      <c r="O121" s="336">
        <f>'Tariff Changes'!E116</f>
        <v>287.62</v>
      </c>
      <c r="P121" s="71"/>
      <c r="Q121" s="71"/>
      <c r="R121" s="71"/>
      <c r="S121" s="71"/>
      <c r="T121" s="71"/>
      <c r="U121" s="71"/>
      <c r="V121" s="71"/>
      <c r="W121" s="71"/>
      <c r="X121" s="63"/>
      <c r="Y121" s="63"/>
    </row>
    <row r="122" spans="1:25">
      <c r="A122" s="337"/>
      <c r="B122" s="46" t="str">
        <f>'Tariff Changes'!$A$114</f>
        <v xml:space="preserve">Item 255, pg 42, Compacted </v>
      </c>
      <c r="C122" s="61" t="str">
        <f>'Tariff Changes'!A117</f>
        <v>6 yd Pickup</v>
      </c>
      <c r="D122" s="332">
        <v>1</v>
      </c>
      <c r="E122" s="73">
        <v>1</v>
      </c>
      <c r="F122" s="333">
        <f t="shared" si="79"/>
        <v>12</v>
      </c>
      <c r="G122" s="334">
        <f>References!B40</f>
        <v>2310</v>
      </c>
      <c r="H122" s="72">
        <f t="shared" si="80"/>
        <v>27720</v>
      </c>
      <c r="I122" s="50">
        <f t="shared" si="81"/>
        <v>16622.443875828754</v>
      </c>
      <c r="J122" s="71">
        <f>(References!$C$49*I122)</f>
        <v>51.778912673206449</v>
      </c>
      <c r="K122" s="71">
        <f>J122/References!$G$52</f>
        <v>52.94908750711366</v>
      </c>
      <c r="L122" s="71">
        <f t="shared" si="82"/>
        <v>4.412423958926138</v>
      </c>
      <c r="M122" s="335">
        <f>'Tariff Changes'!C117</f>
        <v>363.11</v>
      </c>
      <c r="N122" s="71">
        <f t="shared" si="83"/>
        <v>367.52242395892614</v>
      </c>
      <c r="O122" s="336">
        <f>'Tariff Changes'!E117</f>
        <v>370.03000000000003</v>
      </c>
      <c r="P122" s="71"/>
      <c r="Q122" s="71"/>
      <c r="R122" s="71"/>
      <c r="S122" s="71"/>
      <c r="T122" s="71"/>
      <c r="U122" s="71"/>
      <c r="V122" s="71"/>
      <c r="W122" s="71"/>
      <c r="X122" s="63"/>
      <c r="Y122" s="63"/>
    </row>
    <row r="123" spans="1:25">
      <c r="A123" s="337"/>
      <c r="B123" s="46" t="str">
        <f>'Tariff Changes'!$A$114</f>
        <v xml:space="preserve">Item 255, pg 42, Compacted </v>
      </c>
      <c r="C123" s="84" t="str">
        <f>'Tariff Changes'!A119</f>
        <v>3 yd Special Pickup</v>
      </c>
      <c r="D123" s="332">
        <v>1</v>
      </c>
      <c r="E123" s="73">
        <v>1</v>
      </c>
      <c r="F123" s="333">
        <f t="shared" si="79"/>
        <v>12</v>
      </c>
      <c r="G123" s="334">
        <f>References!B37</f>
        <v>1301</v>
      </c>
      <c r="H123" s="72">
        <f t="shared" si="80"/>
        <v>15612</v>
      </c>
      <c r="I123" s="50">
        <f t="shared" si="81"/>
        <v>9361.8179577719529</v>
      </c>
      <c r="J123" s="71">
        <f>(References!$C$49*I123)</f>
        <v>29.162062938459567</v>
      </c>
      <c r="K123" s="71">
        <f>J123/References!$G$52</f>
        <v>29.821109457469646</v>
      </c>
      <c r="L123" s="71">
        <f t="shared" si="82"/>
        <v>2.4850924547891373</v>
      </c>
      <c r="M123" s="335">
        <f>'Tariff Changes'!C119</f>
        <v>166.67</v>
      </c>
      <c r="N123" s="71">
        <f t="shared" si="83"/>
        <v>169.15509245478913</v>
      </c>
      <c r="O123" s="336">
        <f>'Tariff Changes'!E119</f>
        <v>170.13</v>
      </c>
      <c r="P123" s="71"/>
      <c r="Q123" s="71"/>
      <c r="R123" s="71"/>
      <c r="S123" s="71"/>
      <c r="T123" s="71"/>
      <c r="U123" s="71"/>
      <c r="V123" s="71"/>
      <c r="W123" s="71"/>
      <c r="X123" s="63"/>
      <c r="Y123" s="63"/>
    </row>
    <row r="124" spans="1:25">
      <c r="A124" s="337"/>
      <c r="B124" s="46" t="str">
        <f>'Tariff Changes'!$A$114</f>
        <v xml:space="preserve">Item 255, pg 42, Compacted </v>
      </c>
      <c r="C124" s="84" t="str">
        <f>'Tariff Changes'!A120</f>
        <v>4 yd Special Pickup</v>
      </c>
      <c r="D124" s="332">
        <v>1</v>
      </c>
      <c r="E124" s="73">
        <v>1</v>
      </c>
      <c r="F124" s="333">
        <f t="shared" si="79"/>
        <v>12</v>
      </c>
      <c r="G124" s="334">
        <f>References!B38</f>
        <v>1686</v>
      </c>
      <c r="H124" s="72">
        <f t="shared" si="80"/>
        <v>20232</v>
      </c>
      <c r="I124" s="50">
        <f t="shared" si="81"/>
        <v>12132.225270410079</v>
      </c>
      <c r="J124" s="71">
        <f>(References!$C$49*I124)</f>
        <v>37.791881717327307</v>
      </c>
      <c r="K124" s="71">
        <f>J124/References!$G$52</f>
        <v>38.64595737532192</v>
      </c>
      <c r="L124" s="71">
        <f t="shared" si="82"/>
        <v>3.2204964479434932</v>
      </c>
      <c r="M124" s="335">
        <f>'Tariff Changes'!C120</f>
        <v>285.49</v>
      </c>
      <c r="N124" s="71">
        <f t="shared" si="83"/>
        <v>288.71049644794351</v>
      </c>
      <c r="O124" s="336">
        <f>'Tariff Changes'!E120</f>
        <v>290.11</v>
      </c>
      <c r="P124" s="71"/>
      <c r="Q124" s="71"/>
      <c r="R124" s="71"/>
      <c r="S124" s="71"/>
      <c r="T124" s="71"/>
      <c r="U124" s="71"/>
      <c r="V124" s="71"/>
      <c r="W124" s="71"/>
      <c r="X124" s="63"/>
      <c r="Y124" s="63"/>
    </row>
    <row r="125" spans="1:25">
      <c r="A125" s="338"/>
      <c r="B125" s="339" t="str">
        <f>'Tariff Changes'!$A$114</f>
        <v xml:space="preserve">Item 255, pg 42, Compacted </v>
      </c>
      <c r="C125" s="340" t="str">
        <f>'Tariff Changes'!A121</f>
        <v>6 yd Special Pickup</v>
      </c>
      <c r="D125" s="341">
        <v>1</v>
      </c>
      <c r="E125" s="342">
        <v>1</v>
      </c>
      <c r="F125" s="343">
        <f t="shared" si="79"/>
        <v>12</v>
      </c>
      <c r="G125" s="344">
        <f>References!B40</f>
        <v>2310</v>
      </c>
      <c r="H125" s="345">
        <f t="shared" si="80"/>
        <v>27720</v>
      </c>
      <c r="I125" s="346">
        <f t="shared" si="81"/>
        <v>16622.443875828754</v>
      </c>
      <c r="J125" s="347">
        <f>(References!$C$49*I125)</f>
        <v>51.778912673206449</v>
      </c>
      <c r="K125" s="347">
        <f>J125/References!$G$52</f>
        <v>52.94908750711366</v>
      </c>
      <c r="L125" s="347">
        <f t="shared" si="82"/>
        <v>4.412423958926138</v>
      </c>
      <c r="M125" s="348">
        <f>'Tariff Changes'!C121</f>
        <v>365.4</v>
      </c>
      <c r="N125" s="347">
        <f t="shared" si="83"/>
        <v>369.8124239589261</v>
      </c>
      <c r="O125" s="349">
        <f>'Tariff Changes'!E121</f>
        <v>372.32</v>
      </c>
      <c r="P125" s="71"/>
      <c r="Q125" s="71"/>
      <c r="R125" s="71"/>
      <c r="S125" s="71"/>
      <c r="T125" s="71"/>
      <c r="U125" s="71"/>
      <c r="V125" s="71"/>
      <c r="W125" s="71"/>
      <c r="X125" s="63"/>
      <c r="Y125" s="63"/>
    </row>
    <row r="126" spans="1:25">
      <c r="A126" s="66"/>
      <c r="C126" s="84"/>
      <c r="D126" s="42"/>
      <c r="E126" s="34"/>
      <c r="F126" s="60"/>
      <c r="G126" s="136"/>
      <c r="H126" s="60"/>
      <c r="J126" s="71"/>
      <c r="K126" s="88"/>
      <c r="L126" s="88"/>
      <c r="M126" s="88"/>
      <c r="N126" s="88"/>
      <c r="O126" s="71"/>
      <c r="P126" s="63"/>
      <c r="Q126" s="63"/>
      <c r="R126" s="63"/>
      <c r="S126" s="99"/>
      <c r="T126" s="63"/>
      <c r="U126" s="63"/>
      <c r="V126" s="63"/>
      <c r="W126" s="151"/>
    </row>
    <row r="127" spans="1:25">
      <c r="A127" s="66"/>
      <c r="C127" s="84"/>
      <c r="D127" s="42"/>
      <c r="E127" s="34"/>
      <c r="F127" s="60"/>
      <c r="G127" s="136"/>
      <c r="H127" s="60"/>
      <c r="J127" s="71"/>
      <c r="K127" s="88"/>
      <c r="L127" s="88"/>
      <c r="M127" s="88"/>
      <c r="N127" s="88"/>
      <c r="O127" s="71"/>
      <c r="P127" s="63"/>
      <c r="Q127" s="63"/>
      <c r="R127" s="63"/>
      <c r="S127" s="99"/>
      <c r="T127" s="63"/>
      <c r="U127" s="63"/>
      <c r="V127" s="63"/>
      <c r="W127" s="151"/>
    </row>
    <row r="128" spans="1:25">
      <c r="A128" s="66"/>
      <c r="C128" s="69"/>
      <c r="S128" s="64"/>
    </row>
    <row r="129" spans="1:17">
      <c r="A129" s="66"/>
      <c r="C129" s="374" t="s">
        <v>96</v>
      </c>
      <c r="D129" s="374"/>
      <c r="E129" s="83"/>
      <c r="F129" s="83"/>
      <c r="H129" s="87" t="s">
        <v>101</v>
      </c>
    </row>
    <row r="130" spans="1:17">
      <c r="A130" s="66"/>
      <c r="D130" s="58" t="s">
        <v>17</v>
      </c>
      <c r="E130" s="41"/>
      <c r="F130" s="41"/>
      <c r="H130" s="85" t="s">
        <v>102</v>
      </c>
      <c r="J130" s="45"/>
      <c r="P130" s="62"/>
      <c r="Q130" s="45"/>
    </row>
    <row r="131" spans="1:17">
      <c r="A131" s="66"/>
      <c r="C131" s="61" t="s">
        <v>33</v>
      </c>
      <c r="D131" s="70">
        <v>9354</v>
      </c>
      <c r="E131" s="60"/>
      <c r="F131" s="60"/>
      <c r="G131" s="137"/>
      <c r="H131" s="86" t="s">
        <v>103</v>
      </c>
      <c r="J131" s="45"/>
      <c r="P131" s="62"/>
      <c r="Q131" s="88"/>
    </row>
    <row r="132" spans="1:17">
      <c r="A132" s="66"/>
      <c r="C132" s="61" t="s">
        <v>34</v>
      </c>
      <c r="D132" s="39">
        <f>D131*2000</f>
        <v>18708000</v>
      </c>
      <c r="E132" s="39"/>
      <c r="F132" s="39"/>
      <c r="H132" s="101" t="s">
        <v>105</v>
      </c>
      <c r="J132" s="45"/>
      <c r="Q132" s="88"/>
    </row>
    <row r="133" spans="1:17">
      <c r="A133" s="66"/>
      <c r="C133" s="61" t="s">
        <v>5</v>
      </c>
      <c r="D133" s="39">
        <f>F59</f>
        <v>565081.64520000038</v>
      </c>
      <c r="E133" s="60"/>
      <c r="F133" s="60"/>
      <c r="H133" s="102" t="s">
        <v>106</v>
      </c>
      <c r="J133" s="45"/>
      <c r="P133" s="62"/>
      <c r="Q133" s="88"/>
    </row>
    <row r="134" spans="1:17">
      <c r="C134" s="46" t="s">
        <v>12</v>
      </c>
      <c r="D134" s="38">
        <f>D132/$H$59</f>
        <v>0.59965526247578482</v>
      </c>
      <c r="E134" s="38"/>
      <c r="F134" s="38"/>
      <c r="H134" s="33"/>
      <c r="J134" s="45"/>
      <c r="M134" s="44"/>
      <c r="N134" s="44"/>
      <c r="O134" s="44"/>
      <c r="P134" s="43"/>
      <c r="Q134" s="43"/>
    </row>
    <row r="135" spans="1:17">
      <c r="G135" s="137"/>
      <c r="H135" s="35"/>
      <c r="J135" s="45"/>
      <c r="M135" s="47"/>
      <c r="N135" s="32"/>
      <c r="O135" s="32"/>
      <c r="P135" s="64"/>
      <c r="Q135" s="33"/>
    </row>
    <row r="136" spans="1:17">
      <c r="D136" s="37"/>
      <c r="E136" s="36"/>
      <c r="G136" s="137"/>
      <c r="H136" s="35"/>
      <c r="J136" s="45"/>
      <c r="M136" s="47"/>
      <c r="N136" s="32"/>
      <c r="O136" s="32"/>
      <c r="P136" s="64"/>
      <c r="Q136" s="33"/>
    </row>
    <row r="137" spans="1:17">
      <c r="D137" s="37"/>
      <c r="E137" s="36"/>
      <c r="G137" s="137"/>
      <c r="H137" s="35"/>
      <c r="J137" s="45"/>
      <c r="M137" s="47"/>
      <c r="N137" s="32"/>
      <c r="O137" s="32"/>
      <c r="P137" s="64"/>
      <c r="Q137" s="33"/>
    </row>
    <row r="138" spans="1:17">
      <c r="D138" s="61"/>
      <c r="I138" s="61"/>
    </row>
    <row r="139" spans="1:17">
      <c r="D139" s="61"/>
      <c r="E139" s="45"/>
      <c r="I139" s="61"/>
    </row>
    <row r="140" spans="1:17">
      <c r="D140" s="61"/>
      <c r="I140" s="61"/>
    </row>
    <row r="141" spans="1:17">
      <c r="D141" s="61"/>
      <c r="I141" s="61"/>
    </row>
    <row r="142" spans="1:17">
      <c r="D142" s="61"/>
    </row>
  </sheetData>
  <mergeCells count="4">
    <mergeCell ref="C129:D129"/>
    <mergeCell ref="A2:A12"/>
    <mergeCell ref="A14:A38"/>
    <mergeCell ref="A40:A56"/>
  </mergeCells>
  <pageMargins left="0.2" right="0.22" top="0.63" bottom="0.34" header="0.19" footer="0.17"/>
  <pageSetup scale="26" fitToHeight="0" orientation="landscape" r:id="rId1"/>
  <headerFooter>
    <oddHeader>&amp;F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topLeftCell="A82" zoomScaleNormal="100" workbookViewId="0">
      <selection activeCell="C107" sqref="C107"/>
    </sheetView>
  </sheetViews>
  <sheetFormatPr defaultRowHeight="15"/>
  <cols>
    <col min="1" max="1" width="68.5703125" bestFit="1" customWidth="1"/>
    <col min="2" max="2" width="16.28515625" bestFit="1" customWidth="1"/>
    <col min="3" max="3" width="8.85546875" style="107" bestFit="1" customWidth="1"/>
    <col min="4" max="4" width="19.28515625" style="107" bestFit="1" customWidth="1"/>
    <col min="5" max="5" width="10.7109375" style="107" bestFit="1" customWidth="1"/>
    <col min="6" max="6" width="18.85546875" style="107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28515625" bestFit="1" customWidth="1"/>
    <col min="261" max="261" width="10.710937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28515625" bestFit="1" customWidth="1"/>
    <col min="517" max="517" width="10.710937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28515625" bestFit="1" customWidth="1"/>
    <col min="773" max="773" width="10.710937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28515625" bestFit="1" customWidth="1"/>
    <col min="1029" max="1029" width="10.710937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28515625" bestFit="1" customWidth="1"/>
    <col min="1285" max="1285" width="10.710937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28515625" bestFit="1" customWidth="1"/>
    <col min="1541" max="1541" width="10.710937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28515625" bestFit="1" customWidth="1"/>
    <col min="1797" max="1797" width="10.710937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28515625" bestFit="1" customWidth="1"/>
    <col min="2053" max="2053" width="10.710937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28515625" bestFit="1" customWidth="1"/>
    <col min="2309" max="2309" width="10.710937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28515625" bestFit="1" customWidth="1"/>
    <col min="2565" max="2565" width="10.710937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28515625" bestFit="1" customWidth="1"/>
    <col min="2821" max="2821" width="10.710937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28515625" bestFit="1" customWidth="1"/>
    <col min="3077" max="3077" width="10.710937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28515625" bestFit="1" customWidth="1"/>
    <col min="3333" max="3333" width="10.710937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28515625" bestFit="1" customWidth="1"/>
    <col min="3589" max="3589" width="10.710937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28515625" bestFit="1" customWidth="1"/>
    <col min="3845" max="3845" width="10.710937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28515625" bestFit="1" customWidth="1"/>
    <col min="4101" max="4101" width="10.710937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28515625" bestFit="1" customWidth="1"/>
    <col min="4357" max="4357" width="10.710937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28515625" bestFit="1" customWidth="1"/>
    <col min="4613" max="4613" width="10.710937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28515625" bestFit="1" customWidth="1"/>
    <col min="4869" max="4869" width="10.710937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28515625" bestFit="1" customWidth="1"/>
    <col min="5125" max="5125" width="10.710937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28515625" bestFit="1" customWidth="1"/>
    <col min="5381" max="5381" width="10.710937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28515625" bestFit="1" customWidth="1"/>
    <col min="5637" max="5637" width="10.710937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28515625" bestFit="1" customWidth="1"/>
    <col min="5893" max="5893" width="10.710937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28515625" bestFit="1" customWidth="1"/>
    <col min="6149" max="6149" width="10.710937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28515625" bestFit="1" customWidth="1"/>
    <col min="6405" max="6405" width="10.710937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28515625" bestFit="1" customWidth="1"/>
    <col min="6661" max="6661" width="10.710937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28515625" bestFit="1" customWidth="1"/>
    <col min="6917" max="6917" width="10.710937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28515625" bestFit="1" customWidth="1"/>
    <col min="7173" max="7173" width="10.710937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28515625" bestFit="1" customWidth="1"/>
    <col min="7429" max="7429" width="10.710937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28515625" bestFit="1" customWidth="1"/>
    <col min="7685" max="7685" width="10.710937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28515625" bestFit="1" customWidth="1"/>
    <col min="7941" max="7941" width="10.710937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28515625" bestFit="1" customWidth="1"/>
    <col min="8197" max="8197" width="10.710937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28515625" bestFit="1" customWidth="1"/>
    <col min="8453" max="8453" width="10.710937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28515625" bestFit="1" customWidth="1"/>
    <col min="8709" max="8709" width="10.710937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28515625" bestFit="1" customWidth="1"/>
    <col min="8965" max="8965" width="10.710937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28515625" bestFit="1" customWidth="1"/>
    <col min="9221" max="9221" width="10.710937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28515625" bestFit="1" customWidth="1"/>
    <col min="9477" max="9477" width="10.710937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28515625" bestFit="1" customWidth="1"/>
    <col min="9733" max="9733" width="10.710937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28515625" bestFit="1" customWidth="1"/>
    <col min="9989" max="9989" width="10.710937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28515625" bestFit="1" customWidth="1"/>
    <col min="10245" max="10245" width="10.710937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28515625" bestFit="1" customWidth="1"/>
    <col min="10501" max="10501" width="10.710937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28515625" bestFit="1" customWidth="1"/>
    <col min="10757" max="10757" width="10.710937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28515625" bestFit="1" customWidth="1"/>
    <col min="11013" max="11013" width="10.710937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28515625" bestFit="1" customWidth="1"/>
    <col min="11269" max="11269" width="10.710937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28515625" bestFit="1" customWidth="1"/>
    <col min="11525" max="11525" width="10.710937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28515625" bestFit="1" customWidth="1"/>
    <col min="11781" max="11781" width="10.710937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28515625" bestFit="1" customWidth="1"/>
    <col min="12037" max="12037" width="10.710937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28515625" bestFit="1" customWidth="1"/>
    <col min="12293" max="12293" width="10.710937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28515625" bestFit="1" customWidth="1"/>
    <col min="12549" max="12549" width="10.710937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28515625" bestFit="1" customWidth="1"/>
    <col min="12805" max="12805" width="10.710937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28515625" bestFit="1" customWidth="1"/>
    <col min="13061" max="13061" width="10.710937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28515625" bestFit="1" customWidth="1"/>
    <col min="13317" max="13317" width="10.710937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28515625" bestFit="1" customWidth="1"/>
    <col min="13573" max="13573" width="10.710937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28515625" bestFit="1" customWidth="1"/>
    <col min="13829" max="13829" width="10.710937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28515625" bestFit="1" customWidth="1"/>
    <col min="14085" max="14085" width="10.710937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28515625" bestFit="1" customWidth="1"/>
    <col min="14341" max="14341" width="10.710937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28515625" bestFit="1" customWidth="1"/>
    <col min="14597" max="14597" width="10.710937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28515625" bestFit="1" customWidth="1"/>
    <col min="14853" max="14853" width="10.710937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28515625" bestFit="1" customWidth="1"/>
    <col min="15109" max="15109" width="10.710937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28515625" bestFit="1" customWidth="1"/>
    <col min="15365" max="15365" width="10.710937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28515625" bestFit="1" customWidth="1"/>
    <col min="15621" max="15621" width="10.710937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28515625" bestFit="1" customWidth="1"/>
    <col min="15877" max="15877" width="10.710937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28515625" bestFit="1" customWidth="1"/>
    <col min="16133" max="16133" width="10.710937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6">
      <c r="A1" s="106" t="s">
        <v>154</v>
      </c>
    </row>
    <row r="2" spans="1:16">
      <c r="A2" s="108" t="s">
        <v>292</v>
      </c>
      <c r="B2" s="109"/>
      <c r="C2" s="110"/>
      <c r="D2" s="111"/>
      <c r="E2" s="111"/>
      <c r="F2" s="111"/>
      <c r="G2" s="112"/>
      <c r="H2" s="112"/>
      <c r="I2" s="112"/>
      <c r="J2" s="112"/>
      <c r="K2" s="112"/>
      <c r="L2" s="112"/>
    </row>
    <row r="3" spans="1:16">
      <c r="A3" s="312" t="s">
        <v>265</v>
      </c>
      <c r="B3" s="112"/>
      <c r="C3" s="113"/>
      <c r="D3" s="114"/>
      <c r="E3" s="114" t="s">
        <v>110</v>
      </c>
      <c r="F3" s="111"/>
      <c r="G3" s="112"/>
      <c r="H3" s="112"/>
      <c r="I3" s="112"/>
      <c r="J3" s="115"/>
      <c r="K3" s="112"/>
      <c r="L3" s="112"/>
    </row>
    <row r="4" spans="1:16">
      <c r="A4" s="112"/>
      <c r="B4" s="112"/>
      <c r="C4" s="113" t="s">
        <v>107</v>
      </c>
      <c r="D4" s="114" t="s">
        <v>111</v>
      </c>
      <c r="E4" s="114" t="s">
        <v>108</v>
      </c>
      <c r="F4" s="114"/>
      <c r="G4" s="112"/>
      <c r="H4" s="116"/>
      <c r="I4" s="115"/>
      <c r="J4" s="117"/>
      <c r="K4" s="112"/>
      <c r="L4" s="112"/>
    </row>
    <row r="5" spans="1:16">
      <c r="A5" s="112"/>
      <c r="B5" s="112"/>
      <c r="C5" s="113" t="s">
        <v>109</v>
      </c>
      <c r="D5" s="114" t="s">
        <v>10</v>
      </c>
      <c r="E5" s="118">
        <v>43466</v>
      </c>
      <c r="F5" s="119"/>
      <c r="G5" s="112"/>
      <c r="H5" s="120"/>
      <c r="I5" s="115"/>
      <c r="J5" s="115"/>
      <c r="K5" s="112"/>
      <c r="L5" s="112"/>
    </row>
    <row r="6" spans="1:16">
      <c r="A6" s="108"/>
      <c r="B6" s="108"/>
      <c r="C6" s="121"/>
      <c r="D6" s="111"/>
      <c r="E6" s="111"/>
      <c r="F6" s="111"/>
      <c r="G6" s="112"/>
      <c r="H6" s="112"/>
      <c r="I6" s="115"/>
      <c r="J6" s="112"/>
      <c r="K6" s="112"/>
      <c r="L6" s="112"/>
    </row>
    <row r="7" spans="1:16">
      <c r="A7" s="108" t="s">
        <v>272</v>
      </c>
      <c r="B7" s="108"/>
      <c r="C7" s="121"/>
      <c r="D7" s="111"/>
      <c r="E7" s="111"/>
      <c r="F7" s="111"/>
      <c r="G7" s="123"/>
      <c r="H7" s="123"/>
      <c r="I7" s="124"/>
      <c r="J7" s="123"/>
      <c r="K7" s="123"/>
      <c r="L7" s="123"/>
      <c r="M7" s="317"/>
      <c r="N7" s="317"/>
      <c r="O7" s="317"/>
      <c r="P7" s="317"/>
    </row>
    <row r="8" spans="1:16">
      <c r="A8" s="112" t="s">
        <v>119</v>
      </c>
      <c r="B8" s="125"/>
      <c r="C8" s="111">
        <f>'Company Price Out Rates Compare'!I21</f>
        <v>8.0500000000000007</v>
      </c>
      <c r="D8" s="111">
        <v>0.12276703234694548</v>
      </c>
      <c r="E8" s="111">
        <f>C8+D8</f>
        <v>8.1727670323469468</v>
      </c>
      <c r="F8" s="11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>
      <c r="A9" s="112" t="s">
        <v>120</v>
      </c>
      <c r="B9" s="125"/>
      <c r="C9" s="111">
        <f>'Company Price Out Rates Compare'!I22</f>
        <v>12.93</v>
      </c>
      <c r="D9" s="111">
        <v>0.20674480186735006</v>
      </c>
      <c r="E9" s="111">
        <f t="shared" ref="E9:E20" si="0">C9+D9</f>
        <v>13.13674480186735</v>
      </c>
      <c r="F9" s="11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>
      <c r="A10" s="112" t="s">
        <v>121</v>
      </c>
      <c r="B10" s="125"/>
      <c r="C10" s="111">
        <f>'Company Price Out Rates Compare'!I23</f>
        <v>22</v>
      </c>
      <c r="D10" s="111">
        <v>0.41348960373470012</v>
      </c>
      <c r="E10" s="111">
        <f t="shared" si="0"/>
        <v>22.4134896037347</v>
      </c>
      <c r="F10" s="11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>
      <c r="A11" s="112" t="s">
        <v>122</v>
      </c>
      <c r="B11" s="125"/>
      <c r="C11" s="111">
        <f>'Company Price Out Rates Compare'!I24</f>
        <v>32.18</v>
      </c>
      <c r="D11" s="111">
        <v>0.62023440560205012</v>
      </c>
      <c r="E11" s="111">
        <f t="shared" si="0"/>
        <v>32.800234405602048</v>
      </c>
      <c r="F11" s="11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>
      <c r="A12" s="112" t="s">
        <v>123</v>
      </c>
      <c r="B12" s="125"/>
      <c r="C12" s="111">
        <f>'Company Price Out Rates Compare'!I25</f>
        <v>43.23</v>
      </c>
      <c r="D12" s="111">
        <v>0.82697920746940023</v>
      </c>
      <c r="E12" s="111">
        <f t="shared" si="0"/>
        <v>44.056979207469396</v>
      </c>
      <c r="F12" s="11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>
      <c r="A13" s="313" t="s">
        <v>210</v>
      </c>
      <c r="B13" s="314"/>
      <c r="C13" s="315">
        <f>'Company Price Out Rates Compare'!I26</f>
        <v>54.56</v>
      </c>
      <c r="D13" s="315">
        <v>1.0337240093367503</v>
      </c>
      <c r="E13" s="315">
        <f t="shared" si="0"/>
        <v>55.593724009336754</v>
      </c>
      <c r="F13" s="11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>
      <c r="A14" s="112" t="s">
        <v>113</v>
      </c>
      <c r="B14" s="125"/>
      <c r="C14" s="111">
        <f>'Company Price Out Rates Compare'!I28</f>
        <v>4.66</v>
      </c>
      <c r="D14" s="111">
        <v>4.7747067405854507E-2</v>
      </c>
      <c r="E14" s="111">
        <f t="shared" si="0"/>
        <v>4.7077470674058546</v>
      </c>
      <c r="F14" s="11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>
      <c r="A15" s="112" t="s">
        <v>124</v>
      </c>
      <c r="B15" s="125"/>
      <c r="C15" s="111">
        <f>'Company Price Out Rates Compare'!I29</f>
        <v>12.93</v>
      </c>
      <c r="D15" s="111">
        <v>0.20674480186735006</v>
      </c>
      <c r="E15" s="111">
        <f t="shared" si="0"/>
        <v>13.13674480186735</v>
      </c>
      <c r="F15" s="11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>
      <c r="A16" s="112" t="s">
        <v>125</v>
      </c>
      <c r="B16" s="125"/>
      <c r="C16" s="111">
        <f>'Company Price Out Rates Compare'!I30</f>
        <v>21.92</v>
      </c>
      <c r="D16" s="111">
        <v>0.41348960373470012</v>
      </c>
      <c r="E16" s="111">
        <f t="shared" si="0"/>
        <v>22.333489603734701</v>
      </c>
      <c r="F16" s="11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18">
      <c r="A17" s="112" t="s">
        <v>126</v>
      </c>
      <c r="B17" s="125"/>
      <c r="C17" s="111">
        <f>'Company Price Out Rates Compare'!I31</f>
        <v>32.01</v>
      </c>
      <c r="D17" s="111">
        <v>0.62023440560205012</v>
      </c>
      <c r="E17" s="111">
        <f t="shared" si="0"/>
        <v>32.630234405602046</v>
      </c>
      <c r="F17" s="11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18">
      <c r="A18" s="313" t="s">
        <v>264</v>
      </c>
      <c r="B18" s="314"/>
      <c r="C18" s="315">
        <f>C9</f>
        <v>12.93</v>
      </c>
      <c r="D18" s="315">
        <v>0.20674480186735006</v>
      </c>
      <c r="E18" s="315">
        <f t="shared" si="0"/>
        <v>13.13674480186735</v>
      </c>
      <c r="F18" s="111" t="s">
        <v>268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18">
      <c r="A19" s="313" t="s">
        <v>213</v>
      </c>
      <c r="B19" s="314"/>
      <c r="C19" s="315">
        <f t="shared" ref="C19:C20" si="1">C10</f>
        <v>22</v>
      </c>
      <c r="D19" s="315">
        <v>0.41348960373470012</v>
      </c>
      <c r="E19" s="315">
        <f t="shared" si="0"/>
        <v>22.4134896037347</v>
      </c>
      <c r="F19" s="111" t="s">
        <v>266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18">
      <c r="A20" s="313" t="s">
        <v>214</v>
      </c>
      <c r="B20" s="314"/>
      <c r="C20" s="315">
        <f t="shared" si="1"/>
        <v>32.18</v>
      </c>
      <c r="D20" s="315">
        <v>0.62023440560205012</v>
      </c>
      <c r="E20" s="315">
        <f t="shared" si="0"/>
        <v>32.800234405602048</v>
      </c>
      <c r="F20" s="111" t="s">
        <v>267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18">
      <c r="A21" s="112"/>
      <c r="B21" s="125"/>
      <c r="C21" s="111"/>
      <c r="D21" s="111"/>
      <c r="E21" s="111"/>
      <c r="F21" s="111"/>
      <c r="G21" s="125"/>
      <c r="H21" s="125"/>
      <c r="I21" s="125"/>
      <c r="J21" s="125"/>
      <c r="K21" s="125"/>
      <c r="L21" s="125"/>
      <c r="M21" s="125"/>
      <c r="N21" s="125"/>
      <c r="O21" s="125"/>
      <c r="P21" s="125"/>
    </row>
    <row r="22" spans="1:18">
      <c r="A22" s="108" t="s">
        <v>269</v>
      </c>
      <c r="B22" s="112"/>
      <c r="C22" s="121"/>
      <c r="D22" s="111"/>
      <c r="E22" s="111"/>
      <c r="F22" s="111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8">
      <c r="A23" s="313" t="s">
        <v>270</v>
      </c>
      <c r="B23" s="313" t="s">
        <v>112</v>
      </c>
      <c r="C23" s="315">
        <v>3.99</v>
      </c>
      <c r="D23" s="315">
        <v>4.7747067405854507E-2</v>
      </c>
      <c r="E23" s="315">
        <f t="shared" ref="E23:E24" si="2">C23+D23</f>
        <v>4.0377470674058547</v>
      </c>
      <c r="F23" s="111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1:18">
      <c r="A24" s="313" t="s">
        <v>271</v>
      </c>
      <c r="B24" s="313" t="s">
        <v>112</v>
      </c>
      <c r="C24" s="315">
        <v>3.99</v>
      </c>
      <c r="D24" s="315">
        <v>4.7747067405854507E-2</v>
      </c>
      <c r="E24" s="315">
        <f t="shared" si="2"/>
        <v>4.0377470674058547</v>
      </c>
      <c r="F24" s="111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8">
      <c r="A25" s="112"/>
      <c r="B25" s="112"/>
      <c r="C25" s="111"/>
      <c r="D25" s="111"/>
      <c r="E25" s="111"/>
      <c r="F25" s="111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8">
      <c r="A26" s="112"/>
      <c r="B26" s="112"/>
      <c r="C26" s="111"/>
      <c r="D26" s="111"/>
      <c r="E26" s="111"/>
      <c r="F26" s="111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8">
      <c r="A27" s="108" t="s">
        <v>273</v>
      </c>
      <c r="B27" s="108"/>
      <c r="C27" s="121"/>
      <c r="D27" s="111"/>
      <c r="E27" s="111"/>
      <c r="F27" s="111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8">
      <c r="A28" s="112" t="s">
        <v>119</v>
      </c>
      <c r="B28" s="125"/>
      <c r="C28" s="111">
        <f>'Company Price Out Rates Compare'!I47</f>
        <v>8.0500000000000007</v>
      </c>
      <c r="D28" s="111">
        <v>0.12276703234694548</v>
      </c>
      <c r="E28" s="111">
        <f>C28+D28</f>
        <v>8.1727670323469468</v>
      </c>
      <c r="F28" s="11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317"/>
      <c r="R28" s="317"/>
    </row>
    <row r="29" spans="1:18">
      <c r="A29" s="112" t="s">
        <v>120</v>
      </c>
      <c r="B29" s="125"/>
      <c r="C29" s="111">
        <f>'Company Price Out Rates Compare'!I48</f>
        <v>12.93</v>
      </c>
      <c r="D29" s="111">
        <v>0.20674480186735006</v>
      </c>
      <c r="E29" s="111">
        <f t="shared" ref="E29:E39" si="3">C29+D29</f>
        <v>13.13674480186735</v>
      </c>
      <c r="F29" s="11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317"/>
      <c r="R29" s="317"/>
    </row>
    <row r="30" spans="1:18">
      <c r="A30" s="112" t="s">
        <v>121</v>
      </c>
      <c r="B30" s="125"/>
      <c r="C30" s="111">
        <f>'Company Price Out Rates Compare'!I49</f>
        <v>22</v>
      </c>
      <c r="D30" s="111">
        <v>0.41348960373470012</v>
      </c>
      <c r="E30" s="111">
        <f t="shared" si="3"/>
        <v>22.4134896037347</v>
      </c>
      <c r="F30" s="11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317"/>
      <c r="R30" s="317"/>
    </row>
    <row r="31" spans="1:18">
      <c r="A31" s="112" t="s">
        <v>122</v>
      </c>
      <c r="B31" s="125"/>
      <c r="C31" s="111">
        <f>'Company Price Out Rates Compare'!I50</f>
        <v>32.18</v>
      </c>
      <c r="D31" s="111">
        <v>0.62023440560205012</v>
      </c>
      <c r="E31" s="111">
        <f t="shared" si="3"/>
        <v>32.800234405602048</v>
      </c>
      <c r="F31" s="11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317"/>
      <c r="R31" s="317"/>
    </row>
    <row r="32" spans="1:18">
      <c r="A32" s="112" t="s">
        <v>123</v>
      </c>
      <c r="B32" s="125"/>
      <c r="C32" s="111">
        <f>'Company Price Out Rates Compare'!I51</f>
        <v>43.23</v>
      </c>
      <c r="D32" s="111">
        <v>0.82697920746940023</v>
      </c>
      <c r="E32" s="111">
        <f t="shared" si="3"/>
        <v>44.056979207469396</v>
      </c>
      <c r="F32" s="11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317"/>
      <c r="R32" s="317"/>
    </row>
    <row r="33" spans="1:25">
      <c r="A33" s="112" t="s">
        <v>113</v>
      </c>
      <c r="B33" s="125"/>
      <c r="C33" s="111">
        <f>'Company Price Out Rates Compare'!I54</f>
        <v>4.66</v>
      </c>
      <c r="D33" s="111">
        <v>4.7747067405854507E-2</v>
      </c>
      <c r="E33" s="111">
        <f t="shared" si="3"/>
        <v>4.7077470674058546</v>
      </c>
      <c r="F33" s="11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317"/>
      <c r="R33" s="317"/>
    </row>
    <row r="34" spans="1:25">
      <c r="A34" s="112" t="s">
        <v>124</v>
      </c>
      <c r="B34" s="125"/>
      <c r="C34" s="111">
        <f>'Company Price Out Rates Compare'!I55</f>
        <v>12.93</v>
      </c>
      <c r="D34" s="111">
        <v>0.20674480186735006</v>
      </c>
      <c r="E34" s="111">
        <f t="shared" si="3"/>
        <v>13.13674480186735</v>
      </c>
      <c r="F34" s="11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317"/>
      <c r="R34" s="317"/>
    </row>
    <row r="35" spans="1:25">
      <c r="A35" s="112" t="s">
        <v>125</v>
      </c>
      <c r="B35" s="125"/>
      <c r="C35" s="111">
        <f>'Company Price Out Rates Compare'!I56</f>
        <v>21.92</v>
      </c>
      <c r="D35" s="111">
        <v>0.41348960373470012</v>
      </c>
      <c r="E35" s="111">
        <f t="shared" si="3"/>
        <v>22.333489603734701</v>
      </c>
      <c r="F35" s="11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317"/>
      <c r="R35" s="317"/>
    </row>
    <row r="36" spans="1:25">
      <c r="A36" s="112" t="s">
        <v>126</v>
      </c>
      <c r="B36" s="125"/>
      <c r="C36" s="111">
        <f>'Company Price Out Rates Compare'!I57</f>
        <v>32.01</v>
      </c>
      <c r="D36" s="111">
        <v>0.62023440560205012</v>
      </c>
      <c r="E36" s="111">
        <f t="shared" si="3"/>
        <v>32.630234405602046</v>
      </c>
      <c r="F36" s="11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317"/>
      <c r="R36" s="317"/>
    </row>
    <row r="37" spans="1:25">
      <c r="A37" s="313" t="s">
        <v>264</v>
      </c>
      <c r="B37" s="314"/>
      <c r="C37" s="315">
        <f>C29</f>
        <v>12.93</v>
      </c>
      <c r="D37" s="315">
        <v>0.20674480186735006</v>
      </c>
      <c r="E37" s="315">
        <f t="shared" si="3"/>
        <v>13.13674480186735</v>
      </c>
      <c r="F37" s="111" t="s">
        <v>268</v>
      </c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317"/>
      <c r="R37" s="317"/>
    </row>
    <row r="38" spans="1:25">
      <c r="A38" s="313" t="s">
        <v>213</v>
      </c>
      <c r="B38" s="314"/>
      <c r="C38" s="315">
        <f t="shared" ref="C38:C39" si="4">C30</f>
        <v>22</v>
      </c>
      <c r="D38" s="315">
        <v>0.41348960373470012</v>
      </c>
      <c r="E38" s="315">
        <f t="shared" si="3"/>
        <v>22.4134896037347</v>
      </c>
      <c r="F38" s="111" t="s">
        <v>266</v>
      </c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317"/>
      <c r="R38" s="317"/>
    </row>
    <row r="39" spans="1:25">
      <c r="A39" s="313" t="s">
        <v>214</v>
      </c>
      <c r="B39" s="314"/>
      <c r="C39" s="315">
        <f t="shared" si="4"/>
        <v>32.18</v>
      </c>
      <c r="D39" s="315">
        <v>0.62023440560205012</v>
      </c>
      <c r="E39" s="315">
        <f t="shared" si="3"/>
        <v>32.800234405602048</v>
      </c>
      <c r="F39" s="111" t="s">
        <v>267</v>
      </c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317"/>
      <c r="R39" s="317"/>
    </row>
    <row r="40" spans="1:25" s="317" customFormat="1">
      <c r="A40" s="123"/>
      <c r="B40" s="316"/>
      <c r="C40" s="121"/>
      <c r="D40" s="121"/>
      <c r="E40" s="121"/>
      <c r="F40" s="121"/>
      <c r="G40" s="316"/>
      <c r="H40" s="126"/>
      <c r="I40" s="127"/>
      <c r="J40" s="123"/>
      <c r="K40" s="123"/>
      <c r="L40" s="123"/>
    </row>
    <row r="41" spans="1:25">
      <c r="A41" s="108" t="s">
        <v>274</v>
      </c>
      <c r="B41" s="112"/>
      <c r="C41" s="121"/>
      <c r="D41" s="111"/>
      <c r="E41" s="111"/>
      <c r="F41" s="111"/>
      <c r="G41" s="123"/>
      <c r="H41" s="123"/>
      <c r="I41" s="124"/>
      <c r="J41" s="123"/>
      <c r="K41" s="123"/>
      <c r="L41" s="123"/>
      <c r="M41" s="317"/>
      <c r="N41" s="317"/>
      <c r="O41" s="317"/>
      <c r="P41" s="317"/>
      <c r="Q41" s="317"/>
      <c r="R41" s="317"/>
    </row>
    <row r="42" spans="1:25">
      <c r="A42" s="313" t="s">
        <v>270</v>
      </c>
      <c r="B42" s="313" t="s">
        <v>112</v>
      </c>
      <c r="C42" s="315">
        <v>3.99</v>
      </c>
      <c r="D42" s="315">
        <v>4.7747067405854507E-2</v>
      </c>
      <c r="E42" s="315">
        <v>3.95</v>
      </c>
      <c r="F42" s="111"/>
      <c r="G42" s="123"/>
      <c r="H42" s="124"/>
      <c r="I42" s="124"/>
      <c r="J42" s="123"/>
      <c r="K42" s="318"/>
      <c r="L42" s="123"/>
      <c r="M42" s="317"/>
      <c r="N42" s="317"/>
      <c r="O42" s="317"/>
      <c r="P42" s="317"/>
      <c r="Q42" s="317"/>
      <c r="R42" s="317"/>
    </row>
    <row r="43" spans="1:25">
      <c r="A43" s="313" t="s">
        <v>271</v>
      </c>
      <c r="B43" s="313" t="s">
        <v>112</v>
      </c>
      <c r="C43" s="315">
        <v>3.99</v>
      </c>
      <c r="D43" s="315">
        <v>4.7747067405854507E-2</v>
      </c>
      <c r="E43" s="315">
        <v>3.95</v>
      </c>
      <c r="F43" s="111"/>
      <c r="G43" s="112"/>
      <c r="H43" s="122"/>
      <c r="I43" s="122"/>
      <c r="J43" s="112"/>
      <c r="K43" s="128"/>
      <c r="L43" s="112"/>
    </row>
    <row r="44" spans="1:25">
      <c r="A44" s="112"/>
      <c r="B44" s="112"/>
      <c r="C44" s="111"/>
      <c r="D44" s="111"/>
      <c r="E44" s="111"/>
      <c r="F44" s="111"/>
      <c r="G44" s="112"/>
      <c r="H44" s="122"/>
      <c r="I44" s="122"/>
      <c r="J44" s="112"/>
      <c r="K44" s="128"/>
      <c r="L44" s="112"/>
    </row>
    <row r="45" spans="1:25">
      <c r="A45" s="112"/>
      <c r="B45" s="112"/>
      <c r="C45" s="121"/>
      <c r="D45" s="111"/>
      <c r="E45" s="111"/>
      <c r="F45" s="111"/>
      <c r="G45" s="112"/>
      <c r="H45" s="123"/>
      <c r="I45" s="124"/>
      <c r="J45" s="123"/>
      <c r="K45" s="112"/>
      <c r="L45" s="112"/>
    </row>
    <row r="46" spans="1:25">
      <c r="A46" s="108" t="s">
        <v>157</v>
      </c>
      <c r="B46" s="112"/>
      <c r="C46" s="121"/>
      <c r="D46" s="111"/>
      <c r="E46" s="111"/>
      <c r="F46" s="111"/>
      <c r="G46" s="112"/>
      <c r="H46" s="112"/>
      <c r="I46" s="122"/>
      <c r="J46" s="112"/>
      <c r="K46" s="112"/>
      <c r="L46" s="112"/>
    </row>
    <row r="47" spans="1:25">
      <c r="A47" s="112" t="s">
        <v>133</v>
      </c>
      <c r="B47" s="112" t="s">
        <v>112</v>
      </c>
      <c r="C47" s="111">
        <f>'Company Price Out Rates Compare'!I159</f>
        <v>3.93</v>
      </c>
      <c r="D47" s="111">
        <v>5.2089776869910807E-2</v>
      </c>
      <c r="E47" s="111">
        <f>D47+C47</f>
        <v>3.9820897768699108</v>
      </c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317"/>
      <c r="Y47" s="317"/>
    </row>
    <row r="48" spans="1:25">
      <c r="A48" s="313" t="s">
        <v>275</v>
      </c>
      <c r="B48" s="313" t="s">
        <v>112</v>
      </c>
      <c r="C48" s="315">
        <f>'Company Price Out Rates Compare'!I160</f>
        <v>8.27</v>
      </c>
      <c r="D48" s="315">
        <v>0.10417955373982161</v>
      </c>
      <c r="E48" s="315">
        <f t="shared" ref="E48:E64" si="5">D48+C48</f>
        <v>8.3741795537398218</v>
      </c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317"/>
      <c r="Y48" s="317"/>
    </row>
    <row r="49" spans="1:25">
      <c r="A49" s="112" t="s">
        <v>135</v>
      </c>
      <c r="B49" s="112" t="s">
        <v>112</v>
      </c>
      <c r="C49" s="111">
        <f>'Company Price Out Rates Compare'!I161</f>
        <v>9.76</v>
      </c>
      <c r="D49" s="111">
        <v>0.15626933060973236</v>
      </c>
      <c r="E49" s="111">
        <f t="shared" si="5"/>
        <v>9.9162693306097314</v>
      </c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317"/>
      <c r="Y49" s="317"/>
    </row>
    <row r="50" spans="1:25">
      <c r="A50" s="112" t="s">
        <v>136</v>
      </c>
      <c r="B50" s="112" t="s">
        <v>112</v>
      </c>
      <c r="C50" s="111">
        <f>'Company Price Out Rates Compare'!I168</f>
        <v>20.39</v>
      </c>
      <c r="D50" s="111">
        <v>0.41210266511005378</v>
      </c>
      <c r="E50" s="111">
        <f t="shared" si="5"/>
        <v>20.802102665110056</v>
      </c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317"/>
      <c r="Y50" s="317"/>
    </row>
    <row r="51" spans="1:25">
      <c r="A51" s="112" t="s">
        <v>138</v>
      </c>
      <c r="B51" s="112" t="s">
        <v>112</v>
      </c>
      <c r="C51" s="111">
        <f>'Company Price Out Rates Compare'!I172</f>
        <v>24.25</v>
      </c>
      <c r="D51" s="111">
        <v>0.41210266511005378</v>
      </c>
      <c r="E51" s="111">
        <f t="shared" si="5"/>
        <v>24.662102665110055</v>
      </c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317"/>
      <c r="Y51" s="317"/>
    </row>
    <row r="52" spans="1:25">
      <c r="A52" s="112" t="s">
        <v>139</v>
      </c>
      <c r="B52" s="112" t="s">
        <v>112</v>
      </c>
      <c r="C52" s="111">
        <f>'Company Price Out Rates Compare'!I173</f>
        <v>24.25</v>
      </c>
      <c r="D52" s="111">
        <v>0.41210266511005378</v>
      </c>
      <c r="E52" s="111">
        <f t="shared" si="5"/>
        <v>24.662102665110055</v>
      </c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317"/>
      <c r="Y52" s="317"/>
    </row>
    <row r="53" spans="1:25">
      <c r="A53" s="112" t="s">
        <v>141</v>
      </c>
      <c r="B53" s="112" t="s">
        <v>112</v>
      </c>
      <c r="C53" s="111">
        <f>'Company Price Out Rates Compare'!I178</f>
        <v>37.61</v>
      </c>
      <c r="D53" s="111">
        <v>0.65936426417608607</v>
      </c>
      <c r="E53" s="111">
        <f t="shared" si="5"/>
        <v>38.269364264176083</v>
      </c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317"/>
      <c r="Y53" s="317"/>
    </row>
    <row r="54" spans="1:25">
      <c r="A54" s="112" t="s">
        <v>142</v>
      </c>
      <c r="B54" s="112" t="s">
        <v>112</v>
      </c>
      <c r="C54" s="111">
        <f>'Company Price Out Rates Compare'!I179</f>
        <v>37.61</v>
      </c>
      <c r="D54" s="111">
        <v>0.65936426417608607</v>
      </c>
      <c r="E54" s="111">
        <f t="shared" si="5"/>
        <v>38.269364264176083</v>
      </c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317"/>
      <c r="Y54" s="317"/>
    </row>
    <row r="55" spans="1:25">
      <c r="A55" s="112" t="s">
        <v>144</v>
      </c>
      <c r="B55" s="112" t="s">
        <v>112</v>
      </c>
      <c r="C55" s="111">
        <f>'Company Price Out Rates Compare'!I189</f>
        <v>55.45</v>
      </c>
      <c r="D55" s="111">
        <v>0.98904639626412916</v>
      </c>
      <c r="E55" s="111">
        <f t="shared" si="5"/>
        <v>56.439046396264132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317"/>
      <c r="Y55" s="317"/>
    </row>
    <row r="56" spans="1:25">
      <c r="A56" s="112" t="s">
        <v>145</v>
      </c>
      <c r="B56" s="112" t="s">
        <v>112</v>
      </c>
      <c r="C56" s="111">
        <f>'Company Price Out Rates Compare'!I190</f>
        <v>55.45</v>
      </c>
      <c r="D56" s="111">
        <v>0.98904639626412916</v>
      </c>
      <c r="E56" s="111">
        <f t="shared" si="5"/>
        <v>56.439046396264132</v>
      </c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317"/>
      <c r="Y56" s="317"/>
    </row>
    <row r="57" spans="1:25">
      <c r="A57" s="112" t="s">
        <v>148</v>
      </c>
      <c r="B57" s="112" t="s">
        <v>112</v>
      </c>
      <c r="C57" s="111">
        <f>'Company Price Out Rates Compare'!I198</f>
        <v>71.400000000000006</v>
      </c>
      <c r="D57" s="111">
        <v>1.3187285283521721</v>
      </c>
      <c r="E57" s="111">
        <f t="shared" si="5"/>
        <v>72.718728528352173</v>
      </c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317"/>
      <c r="Y57" s="317"/>
    </row>
    <row r="58" spans="1:25">
      <c r="A58" s="112" t="s">
        <v>149</v>
      </c>
      <c r="B58" s="112" t="s">
        <v>112</v>
      </c>
      <c r="C58" s="111">
        <f>'Company Price Out Rates Compare'!I199</f>
        <v>71.400000000000006</v>
      </c>
      <c r="D58" s="111">
        <v>1.3187285283521721</v>
      </c>
      <c r="E58" s="111">
        <f t="shared" si="5"/>
        <v>72.718728528352173</v>
      </c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317"/>
      <c r="Y58" s="317"/>
    </row>
    <row r="59" spans="1:25">
      <c r="A59" s="112" t="s">
        <v>150</v>
      </c>
      <c r="B59" s="112" t="s">
        <v>112</v>
      </c>
      <c r="C59" s="111">
        <f>'Company Price Out Rates Compare'!I200</f>
        <v>71.400000000000006</v>
      </c>
      <c r="D59" s="111">
        <v>1.32</v>
      </c>
      <c r="E59" s="111">
        <f t="shared" si="5"/>
        <v>72.72</v>
      </c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317"/>
      <c r="Y59" s="317"/>
    </row>
    <row r="60" spans="1:25">
      <c r="A60" s="112" t="s">
        <v>128</v>
      </c>
      <c r="B60" s="112" t="s">
        <v>112</v>
      </c>
      <c r="C60" s="111">
        <f>'Company Price Out Rates Compare'!I210</f>
        <v>106.76</v>
      </c>
      <c r="D60" s="111">
        <v>1.9780927925282583</v>
      </c>
      <c r="E60" s="111">
        <f t="shared" si="5"/>
        <v>108.73809279252826</v>
      </c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317"/>
      <c r="Y60" s="317"/>
    </row>
    <row r="61" spans="1:25">
      <c r="A61" s="112" t="s">
        <v>129</v>
      </c>
      <c r="B61" s="112" t="s">
        <v>112</v>
      </c>
      <c r="C61" s="111">
        <f>'Company Price Out Rates Compare'!I211</f>
        <v>106.76</v>
      </c>
      <c r="D61" s="111">
        <v>1.9780927925282583</v>
      </c>
      <c r="E61" s="111">
        <f t="shared" si="5"/>
        <v>108.73809279252826</v>
      </c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317"/>
      <c r="Y61" s="317"/>
    </row>
    <row r="62" spans="1:25">
      <c r="A62" s="112" t="s">
        <v>130</v>
      </c>
      <c r="B62" s="112" t="s">
        <v>112</v>
      </c>
      <c r="C62" s="111">
        <f>'Company Price Out Rates Compare'!I215</f>
        <v>137.19999999999999</v>
      </c>
      <c r="D62" s="111">
        <v>2.6374570567043443</v>
      </c>
      <c r="E62" s="111">
        <f t="shared" si="5"/>
        <v>139.83745705670432</v>
      </c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317"/>
      <c r="Y62" s="317"/>
    </row>
    <row r="63" spans="1:25">
      <c r="A63" s="112" t="s">
        <v>131</v>
      </c>
      <c r="B63" s="112" t="s">
        <v>112</v>
      </c>
      <c r="C63" s="111">
        <f>'Company Price Out Rates Compare'!I216</f>
        <v>139.30000000000001</v>
      </c>
      <c r="D63" s="111">
        <v>2.6374570567043443</v>
      </c>
      <c r="E63" s="111">
        <f t="shared" si="5"/>
        <v>141.93745705670435</v>
      </c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317"/>
      <c r="Y63" s="317"/>
    </row>
    <row r="64" spans="1:25">
      <c r="A64" s="112" t="s">
        <v>132</v>
      </c>
      <c r="B64" s="112" t="s">
        <v>112</v>
      </c>
      <c r="C64" s="111">
        <f>'Company Price Out Rates Compare'!I217</f>
        <v>139.30000000000001</v>
      </c>
      <c r="D64" s="111">
        <v>2.6374570567043443</v>
      </c>
      <c r="E64" s="111">
        <f t="shared" si="5"/>
        <v>141.93745705670435</v>
      </c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317"/>
      <c r="Y64" s="317"/>
    </row>
    <row r="65" spans="1:25">
      <c r="A65" s="112"/>
      <c r="B65" s="112"/>
      <c r="C65" s="111"/>
      <c r="D65" s="111"/>
      <c r="E65" s="111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17"/>
      <c r="Y65" s="317"/>
    </row>
    <row r="66" spans="1:25">
      <c r="A66" s="108" t="s">
        <v>290</v>
      </c>
      <c r="B66" s="112"/>
      <c r="C66" s="121"/>
      <c r="D66" s="111"/>
      <c r="E66" s="11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317"/>
      <c r="Y66" s="317"/>
    </row>
    <row r="67" spans="1:25">
      <c r="A67" s="313" t="s">
        <v>276</v>
      </c>
      <c r="B67" s="313" t="s">
        <v>112</v>
      </c>
      <c r="C67" s="315">
        <f>'Company Price Out Rates Compare'!I185</f>
        <v>190.35</v>
      </c>
      <c r="D67" s="315">
        <v>3.4616623869244516</v>
      </c>
      <c r="E67" s="315">
        <f>D67+C67</f>
        <v>193.81166238692444</v>
      </c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317"/>
      <c r="Y67" s="317"/>
    </row>
    <row r="68" spans="1:25">
      <c r="A68" s="313" t="s">
        <v>277</v>
      </c>
      <c r="B68" s="313" t="s">
        <v>112</v>
      </c>
      <c r="C68" s="315">
        <f>'Company Price Out Rates Compare'!I194</f>
        <v>318.27</v>
      </c>
      <c r="D68" s="315">
        <v>4.615549849232603</v>
      </c>
      <c r="E68" s="315">
        <f t="shared" ref="E68:E73" si="6">D68+C68</f>
        <v>322.88554984923258</v>
      </c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317"/>
      <c r="Y68" s="317"/>
    </row>
    <row r="69" spans="1:25">
      <c r="A69" s="313" t="s">
        <v>278</v>
      </c>
      <c r="B69" s="313" t="s">
        <v>112</v>
      </c>
      <c r="C69" s="315">
        <f>'Company Price Out Rates Compare'!I206</f>
        <v>416.01</v>
      </c>
      <c r="D69" s="315">
        <v>6.9233247738489032</v>
      </c>
      <c r="E69" s="315">
        <f t="shared" si="6"/>
        <v>422.93332477384888</v>
      </c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317"/>
      <c r="Y69" s="317"/>
    </row>
    <row r="70" spans="1:25" s="317" customFormat="1">
      <c r="A70" s="123"/>
      <c r="B70" s="123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</row>
    <row r="71" spans="1:25">
      <c r="A71" s="313" t="s">
        <v>279</v>
      </c>
      <c r="B71" s="313" t="s">
        <v>112</v>
      </c>
      <c r="C71" s="315">
        <v>200.35</v>
      </c>
      <c r="D71" s="315">
        <v>3.46</v>
      </c>
      <c r="E71" s="315">
        <f t="shared" si="6"/>
        <v>203.81</v>
      </c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317"/>
      <c r="Y71" s="317"/>
    </row>
    <row r="72" spans="1:25">
      <c r="A72" s="313" t="s">
        <v>280</v>
      </c>
      <c r="B72" s="313" t="s">
        <v>112</v>
      </c>
      <c r="C72" s="315">
        <v>328.27</v>
      </c>
      <c r="D72" s="315">
        <v>4.62</v>
      </c>
      <c r="E72" s="315">
        <f t="shared" si="6"/>
        <v>332.89</v>
      </c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317"/>
      <c r="Y72" s="317"/>
    </row>
    <row r="73" spans="1:25">
      <c r="A73" s="313" t="s">
        <v>281</v>
      </c>
      <c r="B73" s="313" t="s">
        <v>112</v>
      </c>
      <c r="C73" s="315">
        <v>426.01</v>
      </c>
      <c r="D73" s="315">
        <v>6.92</v>
      </c>
      <c r="E73" s="315">
        <f t="shared" si="6"/>
        <v>432.93</v>
      </c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317"/>
      <c r="Y73" s="317"/>
    </row>
    <row r="74" spans="1:25" s="317" customFormat="1">
      <c r="A74" s="123"/>
      <c r="B74" s="123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</row>
    <row r="75" spans="1:25">
      <c r="A75" s="108" t="s">
        <v>158</v>
      </c>
      <c r="B75" s="112"/>
      <c r="C75" s="111"/>
      <c r="D75" s="111"/>
      <c r="E75" s="111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17"/>
      <c r="Y75" s="317"/>
    </row>
    <row r="76" spans="1:25">
      <c r="A76" s="112" t="s">
        <v>159</v>
      </c>
      <c r="B76" s="112" t="s">
        <v>117</v>
      </c>
      <c r="C76" s="111">
        <v>140.82</v>
      </c>
      <c r="D76" s="111">
        <f t="shared" ref="D76" si="7">E76-C76</f>
        <v>0</v>
      </c>
      <c r="E76" s="111">
        <v>140.82</v>
      </c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17"/>
      <c r="Y76" s="317"/>
    </row>
    <row r="77" spans="1:25">
      <c r="A77" s="112"/>
      <c r="B77" s="112"/>
      <c r="C77" s="111"/>
      <c r="D77" s="111"/>
      <c r="E77" s="111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17"/>
      <c r="Y77" s="317"/>
    </row>
    <row r="78" spans="1:25">
      <c r="A78" s="108" t="s">
        <v>156</v>
      </c>
      <c r="B78" s="112"/>
      <c r="C78" s="121"/>
      <c r="D78" s="111"/>
      <c r="E78" s="11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317"/>
      <c r="Y78" s="317"/>
    </row>
    <row r="79" spans="1:25">
      <c r="A79" s="112" t="s">
        <v>133</v>
      </c>
      <c r="B79" s="112" t="s">
        <v>112</v>
      </c>
      <c r="C79" s="111">
        <f>'Company Price Out Rates Compare'!I78</f>
        <v>3.53</v>
      </c>
      <c r="D79" s="111">
        <v>5.2089776869910807E-2</v>
      </c>
      <c r="E79" s="111">
        <f>C79+D79</f>
        <v>3.5820897768699105</v>
      </c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317"/>
      <c r="Y79" s="317"/>
    </row>
    <row r="80" spans="1:25">
      <c r="A80" s="112" t="s">
        <v>134</v>
      </c>
      <c r="B80" s="112" t="s">
        <v>112</v>
      </c>
      <c r="C80" s="111">
        <f>'Company Price Out Rates Compare'!I79</f>
        <v>6.78</v>
      </c>
      <c r="D80" s="111">
        <v>0.10417955373982161</v>
      </c>
      <c r="E80" s="111">
        <f t="shared" ref="E80:E92" si="8">C80+D80</f>
        <v>6.8841795537398216</v>
      </c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317"/>
      <c r="Y80" s="317"/>
    </row>
    <row r="81" spans="1:25">
      <c r="A81" s="112" t="s">
        <v>135</v>
      </c>
      <c r="B81" s="112" t="s">
        <v>112</v>
      </c>
      <c r="C81" s="111">
        <f>'Company Price Out Rates Compare'!I80</f>
        <v>8.5399999999999991</v>
      </c>
      <c r="D81" s="111">
        <v>0.15626933060973236</v>
      </c>
      <c r="E81" s="111">
        <f t="shared" si="8"/>
        <v>8.6962693306097307</v>
      </c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317"/>
      <c r="Y81" s="317"/>
    </row>
    <row r="82" spans="1:25">
      <c r="A82" s="112" t="s">
        <v>136</v>
      </c>
      <c r="B82" s="112" t="s">
        <v>112</v>
      </c>
      <c r="C82" s="111">
        <f>'Company Price Out Rates Compare'!I89</f>
        <v>17.87</v>
      </c>
      <c r="D82" s="111">
        <v>0.32968213208804303</v>
      </c>
      <c r="E82" s="111">
        <f t="shared" si="8"/>
        <v>18.199682132088043</v>
      </c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317"/>
      <c r="Y82" s="317"/>
    </row>
    <row r="83" spans="1:25">
      <c r="A83" s="112" t="s">
        <v>153</v>
      </c>
      <c r="B83" s="112" t="s">
        <v>112</v>
      </c>
      <c r="C83" s="111">
        <f>'Company Price Out Rates Compare'!I90</f>
        <v>17.87</v>
      </c>
      <c r="D83" s="111">
        <v>0.32968213208804303</v>
      </c>
      <c r="E83" s="111">
        <f t="shared" si="8"/>
        <v>18.199682132088043</v>
      </c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317"/>
      <c r="Y83" s="317"/>
    </row>
    <row r="84" spans="1:25">
      <c r="A84" s="112" t="s">
        <v>155</v>
      </c>
      <c r="B84" s="112" t="s">
        <v>112</v>
      </c>
      <c r="C84" s="111">
        <f>'Company Price Out Rates Compare'!I92</f>
        <v>24.94</v>
      </c>
      <c r="D84" s="111">
        <v>0.41210266511005378</v>
      </c>
      <c r="E84" s="111">
        <f t="shared" si="8"/>
        <v>25.352102665110056</v>
      </c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317"/>
      <c r="Y84" s="317"/>
    </row>
    <row r="85" spans="1:25">
      <c r="A85" s="112" t="s">
        <v>138</v>
      </c>
      <c r="B85" s="112" t="s">
        <v>112</v>
      </c>
      <c r="C85" s="111">
        <f>'Company Price Out Rates Compare'!I93</f>
        <v>21.1</v>
      </c>
      <c r="D85" s="111">
        <v>0.41210266511005378</v>
      </c>
      <c r="E85" s="111">
        <f t="shared" si="8"/>
        <v>21.512102665110056</v>
      </c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317"/>
      <c r="Y85" s="317"/>
    </row>
    <row r="86" spans="1:25">
      <c r="A86" s="112" t="s">
        <v>140</v>
      </c>
      <c r="B86" s="112" t="s">
        <v>112</v>
      </c>
      <c r="C86" s="111">
        <f>'Company Price Out Rates Compare'!I98</f>
        <v>36.75</v>
      </c>
      <c r="D86" s="111">
        <v>0.66</v>
      </c>
      <c r="E86" s="111">
        <f t="shared" si="8"/>
        <v>37.409999999999997</v>
      </c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317"/>
      <c r="Y86" s="317"/>
    </row>
    <row r="87" spans="1:25">
      <c r="A87" s="112" t="s">
        <v>141</v>
      </c>
      <c r="B87" s="112" t="s">
        <v>112</v>
      </c>
      <c r="C87" s="111">
        <f>'Company Price Out Rates Compare'!I99</f>
        <v>32.58</v>
      </c>
      <c r="D87" s="111">
        <v>0.66</v>
      </c>
      <c r="E87" s="111">
        <f t="shared" si="8"/>
        <v>33.239999999999995</v>
      </c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317"/>
      <c r="Y87" s="317"/>
    </row>
    <row r="88" spans="1:25">
      <c r="A88" s="112" t="s">
        <v>142</v>
      </c>
      <c r="B88" s="112" t="s">
        <v>112</v>
      </c>
      <c r="C88" s="111">
        <f>'Company Price Out Rates Compare'!I100</f>
        <v>32.58</v>
      </c>
      <c r="D88" s="111">
        <v>0.66</v>
      </c>
      <c r="E88" s="111">
        <f t="shared" si="8"/>
        <v>33.239999999999995</v>
      </c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317"/>
      <c r="Y88" s="317"/>
    </row>
    <row r="89" spans="1:25">
      <c r="A89" s="112" t="s">
        <v>143</v>
      </c>
      <c r="B89" s="112" t="s">
        <v>112</v>
      </c>
      <c r="C89" s="111">
        <f>'Company Price Out Rates Compare'!I109</f>
        <v>51.43</v>
      </c>
      <c r="D89" s="111">
        <v>0.99</v>
      </c>
      <c r="E89" s="111">
        <f t="shared" si="8"/>
        <v>52.42</v>
      </c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317"/>
      <c r="Y89" s="317"/>
    </row>
    <row r="90" spans="1:25">
      <c r="A90" s="112" t="s">
        <v>144</v>
      </c>
      <c r="B90" s="112" t="s">
        <v>112</v>
      </c>
      <c r="C90" s="111">
        <f>'Company Price Out Rates Compare'!I110</f>
        <v>47.89</v>
      </c>
      <c r="D90" s="111">
        <v>0.99</v>
      </c>
      <c r="E90" s="111">
        <f t="shared" si="8"/>
        <v>48.88</v>
      </c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317"/>
      <c r="Y90" s="317"/>
    </row>
    <row r="91" spans="1:25">
      <c r="A91" s="112" t="s">
        <v>145</v>
      </c>
      <c r="B91" s="112" t="s">
        <v>112</v>
      </c>
      <c r="C91" s="111">
        <f>'Company Price Out Rates Compare'!I111</f>
        <v>47.89</v>
      </c>
      <c r="D91" s="111">
        <v>0.99</v>
      </c>
      <c r="E91" s="111">
        <f t="shared" si="8"/>
        <v>48.88</v>
      </c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317"/>
      <c r="Y91" s="317"/>
    </row>
    <row r="92" spans="1:25">
      <c r="A92" s="112" t="s">
        <v>146</v>
      </c>
      <c r="B92" s="112" t="s">
        <v>112</v>
      </c>
      <c r="C92" s="111">
        <f>'Company Price Out Rates Compare'!I112</f>
        <v>47.89</v>
      </c>
      <c r="D92" s="111">
        <v>0.99</v>
      </c>
      <c r="E92" s="111">
        <f t="shared" si="8"/>
        <v>48.88</v>
      </c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317"/>
      <c r="Y92" s="317"/>
    </row>
    <row r="93" spans="1:25">
      <c r="A93" s="112" t="s">
        <v>147</v>
      </c>
      <c r="B93" s="112" t="s">
        <v>112</v>
      </c>
      <c r="C93" s="111">
        <f>'Company Price Out Rates Compare'!I118</f>
        <v>67.28</v>
      </c>
      <c r="D93" s="111">
        <v>1.32</v>
      </c>
      <c r="E93" s="111">
        <f t="shared" ref="E93:E99" si="9">C93+D93</f>
        <v>68.599999999999994</v>
      </c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317"/>
      <c r="Y93" s="317"/>
    </row>
    <row r="94" spans="1:25">
      <c r="A94" s="112" t="s">
        <v>148</v>
      </c>
      <c r="B94" s="112" t="s">
        <v>112</v>
      </c>
      <c r="C94" s="111">
        <f>'Company Price Out Rates Compare'!I119</f>
        <v>61.34</v>
      </c>
      <c r="D94" s="111">
        <v>1.32</v>
      </c>
      <c r="E94" s="111">
        <f t="shared" si="9"/>
        <v>62.660000000000004</v>
      </c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317"/>
      <c r="Y94" s="317"/>
    </row>
    <row r="95" spans="1:25">
      <c r="A95" s="112" t="s">
        <v>149</v>
      </c>
      <c r="B95" s="112" t="s">
        <v>112</v>
      </c>
      <c r="C95" s="111">
        <f>'Company Price Out Rates Compare'!I120</f>
        <v>61.34</v>
      </c>
      <c r="D95" s="111">
        <v>1.32</v>
      </c>
      <c r="E95" s="111">
        <f t="shared" si="9"/>
        <v>62.660000000000004</v>
      </c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317"/>
      <c r="Y95" s="317"/>
    </row>
    <row r="96" spans="1:25">
      <c r="A96" s="112" t="s">
        <v>150</v>
      </c>
      <c r="B96" s="112" t="s">
        <v>112</v>
      </c>
      <c r="C96" s="111">
        <f>'Company Price Out Rates Compare'!I121</f>
        <v>61.34</v>
      </c>
      <c r="D96" s="111">
        <v>1.32</v>
      </c>
      <c r="E96" s="111">
        <f t="shared" si="9"/>
        <v>62.660000000000004</v>
      </c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317"/>
      <c r="Y96" s="317"/>
    </row>
    <row r="97" spans="1:25">
      <c r="A97" s="112" t="s">
        <v>127</v>
      </c>
      <c r="B97" s="112" t="s">
        <v>112</v>
      </c>
      <c r="C97" s="111">
        <f>'Company Price Out Rates Compare'!I130</f>
        <v>99.95</v>
      </c>
      <c r="D97" s="111">
        <v>1.98</v>
      </c>
      <c r="E97" s="111">
        <f t="shared" si="9"/>
        <v>101.93</v>
      </c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317"/>
      <c r="Y97" s="317"/>
    </row>
    <row r="98" spans="1:25">
      <c r="A98" s="112" t="s">
        <v>128</v>
      </c>
      <c r="B98" s="112" t="s">
        <v>112</v>
      </c>
      <c r="C98" s="111">
        <f>'Company Price Out Rates Compare'!I131</f>
        <v>91.64</v>
      </c>
      <c r="D98" s="111">
        <v>1.98</v>
      </c>
      <c r="E98" s="111">
        <f t="shared" si="9"/>
        <v>93.62</v>
      </c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317"/>
      <c r="Y98" s="317"/>
    </row>
    <row r="99" spans="1:25">
      <c r="A99" s="112" t="s">
        <v>129</v>
      </c>
      <c r="B99" s="112" t="s">
        <v>112</v>
      </c>
      <c r="C99" s="111">
        <f>'Company Price Out Rates Compare'!I132</f>
        <v>91.64</v>
      </c>
      <c r="D99" s="111">
        <v>1.98</v>
      </c>
      <c r="E99" s="111">
        <f t="shared" si="9"/>
        <v>93.62</v>
      </c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317"/>
      <c r="Y99" s="317"/>
    </row>
    <row r="100" spans="1:25">
      <c r="A100" s="112" t="s">
        <v>130</v>
      </c>
      <c r="B100" s="112" t="s">
        <v>112</v>
      </c>
      <c r="C100" s="111">
        <f>'Company Price Out Rates Compare'!I136</f>
        <v>121.3</v>
      </c>
      <c r="D100" s="111">
        <v>2.64</v>
      </c>
      <c r="E100" s="111">
        <f t="shared" ref="E100:E107" si="10">C100+D100</f>
        <v>123.94</v>
      </c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317"/>
      <c r="Y100" s="317"/>
    </row>
    <row r="101" spans="1:25">
      <c r="A101" s="112" t="s">
        <v>131</v>
      </c>
      <c r="B101" s="112" t="s">
        <v>112</v>
      </c>
      <c r="C101" s="111">
        <f>'Company Price Out Rates Compare'!I137</f>
        <v>119.16</v>
      </c>
      <c r="D101" s="111">
        <v>2.64</v>
      </c>
      <c r="E101" s="111">
        <f t="shared" si="10"/>
        <v>121.8</v>
      </c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317"/>
      <c r="Y101" s="317"/>
    </row>
    <row r="102" spans="1:25">
      <c r="A102" s="112" t="s">
        <v>132</v>
      </c>
      <c r="B102" s="112" t="s">
        <v>112</v>
      </c>
      <c r="C102" s="111">
        <f>'Company Price Out Rates Compare'!I138</f>
        <v>119.16</v>
      </c>
      <c r="D102" s="111">
        <v>2.64</v>
      </c>
      <c r="E102" s="111">
        <f t="shared" si="10"/>
        <v>121.8</v>
      </c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317"/>
      <c r="Y102" s="317"/>
    </row>
    <row r="103" spans="1:25">
      <c r="A103" s="112"/>
      <c r="B103" s="112"/>
      <c r="C103" s="111"/>
      <c r="D103" s="111"/>
      <c r="E103" s="111"/>
      <c r="F103" s="121"/>
      <c r="G103" s="123"/>
      <c r="H103" s="124"/>
      <c r="I103" s="124"/>
      <c r="J103" s="123"/>
      <c r="K103" s="318"/>
      <c r="L103" s="123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</row>
    <row r="104" spans="1:25">
      <c r="A104" s="313" t="s">
        <v>282</v>
      </c>
      <c r="B104" s="313" t="s">
        <v>112</v>
      </c>
      <c r="C104" s="315">
        <v>7.4</v>
      </c>
      <c r="D104" s="315">
        <v>5.2749141134086887E-2</v>
      </c>
      <c r="E104" s="315">
        <f t="shared" si="10"/>
        <v>7.4527491411340874</v>
      </c>
      <c r="F104" s="362"/>
      <c r="G104" s="112"/>
      <c r="H104" s="122"/>
      <c r="I104" s="122"/>
      <c r="J104" s="112"/>
      <c r="K104" s="112"/>
      <c r="L104" s="112"/>
    </row>
    <row r="105" spans="1:25">
      <c r="A105" s="313" t="s">
        <v>283</v>
      </c>
      <c r="B105" s="313" t="s">
        <v>112</v>
      </c>
      <c r="C105" s="315">
        <v>9.9499999999999993</v>
      </c>
      <c r="D105" s="315">
        <v>0.10549828226817377</v>
      </c>
      <c r="E105" s="315">
        <f t="shared" si="10"/>
        <v>10.055498282268173</v>
      </c>
      <c r="F105" s="362"/>
      <c r="G105" s="112"/>
      <c r="H105" s="122"/>
      <c r="I105" s="122"/>
      <c r="J105" s="112"/>
      <c r="K105" s="112"/>
      <c r="L105" s="112"/>
    </row>
    <row r="106" spans="1:25">
      <c r="A106" s="313" t="s">
        <v>284</v>
      </c>
      <c r="B106" s="313" t="s">
        <v>112</v>
      </c>
      <c r="C106" s="315">
        <v>11.17</v>
      </c>
      <c r="D106" s="315">
        <v>0.15495060208138023</v>
      </c>
      <c r="E106" s="315">
        <f t="shared" si="10"/>
        <v>11.32495060208138</v>
      </c>
      <c r="F106" s="362"/>
      <c r="G106" s="112"/>
      <c r="H106" s="122"/>
      <c r="I106" s="122"/>
      <c r="J106" s="112"/>
      <c r="K106" s="112"/>
      <c r="L106" s="112"/>
    </row>
    <row r="107" spans="1:25">
      <c r="A107" s="313" t="s">
        <v>285</v>
      </c>
      <c r="B107" s="313" t="s">
        <v>112</v>
      </c>
      <c r="C107" s="315">
        <v>21.48</v>
      </c>
      <c r="D107" s="315">
        <v>0.33</v>
      </c>
      <c r="E107" s="315">
        <f t="shared" si="10"/>
        <v>21.81</v>
      </c>
      <c r="F107" s="362"/>
      <c r="G107" s="112"/>
      <c r="H107" s="122"/>
      <c r="I107" s="122"/>
      <c r="J107" s="112"/>
      <c r="K107" s="112"/>
      <c r="L107" s="112"/>
    </row>
    <row r="108" spans="1:25">
      <c r="A108" s="112"/>
      <c r="B108" s="112"/>
      <c r="C108" s="121"/>
      <c r="D108" s="111"/>
      <c r="E108" s="111"/>
      <c r="F108" s="111"/>
      <c r="G108" s="112"/>
      <c r="H108" s="128"/>
      <c r="I108" s="122"/>
      <c r="J108" s="112"/>
      <c r="K108" s="112"/>
      <c r="L108" s="112"/>
    </row>
    <row r="109" spans="1:25">
      <c r="A109" s="108" t="s">
        <v>289</v>
      </c>
      <c r="B109" s="112"/>
      <c r="C109" s="111"/>
      <c r="D109" s="111"/>
      <c r="E109" s="121"/>
      <c r="F109" s="121"/>
      <c r="G109" s="123"/>
      <c r="H109" s="123"/>
      <c r="I109" s="122"/>
      <c r="J109" s="112"/>
      <c r="K109" s="112"/>
      <c r="L109" s="112"/>
    </row>
    <row r="110" spans="1:25">
      <c r="A110" s="313" t="s">
        <v>286</v>
      </c>
      <c r="B110" s="313" t="s">
        <v>112</v>
      </c>
      <c r="C110" s="315">
        <v>3.5</v>
      </c>
      <c r="D110" s="315">
        <v>0.20674480186735006</v>
      </c>
      <c r="E110" s="315">
        <f t="shared" ref="E110:E111" si="11">C110+D110</f>
        <v>3.7067448018673499</v>
      </c>
      <c r="F110" s="111"/>
      <c r="G110" s="112"/>
      <c r="H110" s="122"/>
      <c r="I110" s="122"/>
      <c r="J110" s="112"/>
      <c r="K110" s="112"/>
      <c r="L110" s="112"/>
    </row>
    <row r="111" spans="1:25">
      <c r="A111" s="313" t="s">
        <v>287</v>
      </c>
      <c r="B111" s="313" t="s">
        <v>112</v>
      </c>
      <c r="C111" s="315">
        <v>7.4</v>
      </c>
      <c r="D111" s="315">
        <v>0.21</v>
      </c>
      <c r="E111" s="315">
        <f t="shared" si="11"/>
        <v>7.61</v>
      </c>
      <c r="F111" s="121"/>
      <c r="G111" s="123"/>
      <c r="H111" s="123"/>
      <c r="I111" s="112"/>
      <c r="J111" s="112"/>
      <c r="K111" s="112"/>
      <c r="L111" s="112"/>
    </row>
    <row r="112" spans="1:25">
      <c r="A112" s="112"/>
      <c r="B112" s="112"/>
      <c r="C112" s="121"/>
      <c r="D112" s="111"/>
      <c r="E112" s="121"/>
      <c r="F112" s="121"/>
      <c r="G112" s="123"/>
      <c r="H112" s="123"/>
      <c r="I112" s="112"/>
      <c r="J112" s="112"/>
      <c r="K112" s="112"/>
      <c r="L112" s="112"/>
    </row>
    <row r="113" spans="1:12">
      <c r="A113" s="112"/>
      <c r="B113" s="112"/>
      <c r="C113" s="121"/>
      <c r="D113" s="111"/>
      <c r="E113" s="121"/>
      <c r="F113" s="121"/>
      <c r="G113" s="123"/>
      <c r="H113" s="123"/>
      <c r="I113" s="112"/>
      <c r="J113" s="112"/>
      <c r="K113" s="112"/>
      <c r="L113" s="112"/>
    </row>
    <row r="114" spans="1:12">
      <c r="A114" s="108" t="s">
        <v>291</v>
      </c>
      <c r="B114" s="112"/>
      <c r="C114" s="111"/>
      <c r="D114" s="111"/>
      <c r="E114" s="121"/>
      <c r="F114" s="121"/>
      <c r="G114" s="123"/>
      <c r="H114" s="123"/>
      <c r="I114" s="122"/>
      <c r="J114" s="112"/>
      <c r="K114" s="112"/>
      <c r="L114" s="112"/>
    </row>
    <row r="115" spans="1:12">
      <c r="A115" s="313" t="s">
        <v>276</v>
      </c>
      <c r="B115" s="313" t="s">
        <v>112</v>
      </c>
      <c r="C115" s="315">
        <v>163.89</v>
      </c>
      <c r="D115" s="315">
        <v>3.46</v>
      </c>
      <c r="E115" s="315">
        <f t="shared" ref="E115:E121" si="12">C115+D115</f>
        <v>167.35</v>
      </c>
      <c r="F115" s="111"/>
      <c r="G115" s="112"/>
      <c r="H115" s="122"/>
      <c r="I115" s="122"/>
      <c r="J115" s="112"/>
      <c r="K115" s="128"/>
      <c r="L115" s="112"/>
    </row>
    <row r="116" spans="1:12">
      <c r="A116" s="313" t="s">
        <v>277</v>
      </c>
      <c r="B116" s="313" t="s">
        <v>112</v>
      </c>
      <c r="C116" s="315">
        <v>283</v>
      </c>
      <c r="D116" s="315">
        <v>4.62</v>
      </c>
      <c r="E116" s="315">
        <f t="shared" si="12"/>
        <v>287.62</v>
      </c>
      <c r="F116" s="111"/>
      <c r="G116" s="112"/>
      <c r="H116" s="122"/>
      <c r="I116" s="122"/>
      <c r="J116" s="112"/>
      <c r="K116" s="128"/>
      <c r="L116" s="112"/>
    </row>
    <row r="117" spans="1:12">
      <c r="A117" s="313" t="s">
        <v>278</v>
      </c>
      <c r="B117" s="313" t="s">
        <v>112</v>
      </c>
      <c r="C117" s="315">
        <v>363.11</v>
      </c>
      <c r="D117" s="315">
        <v>6.92</v>
      </c>
      <c r="E117" s="315">
        <f t="shared" si="12"/>
        <v>370.03000000000003</v>
      </c>
      <c r="F117" s="111"/>
      <c r="G117" s="112"/>
      <c r="H117" s="122"/>
      <c r="I117" s="122"/>
      <c r="J117" s="112"/>
      <c r="K117" s="128"/>
      <c r="L117" s="112"/>
    </row>
    <row r="118" spans="1:12" s="317" customFormat="1">
      <c r="A118" s="123"/>
      <c r="B118" s="123"/>
      <c r="C118" s="121"/>
      <c r="D118" s="121"/>
      <c r="E118" s="121"/>
      <c r="F118" s="121"/>
      <c r="G118" s="123"/>
      <c r="H118" s="124"/>
      <c r="I118" s="124"/>
      <c r="J118" s="123"/>
      <c r="K118" s="318"/>
      <c r="L118" s="123"/>
    </row>
    <row r="119" spans="1:12">
      <c r="A119" s="313" t="s">
        <v>279</v>
      </c>
      <c r="B119" s="313" t="s">
        <v>112</v>
      </c>
      <c r="C119" s="315">
        <v>166.67</v>
      </c>
      <c r="D119" s="315">
        <v>3.46</v>
      </c>
      <c r="E119" s="315">
        <f t="shared" si="12"/>
        <v>170.13</v>
      </c>
      <c r="F119" s="111"/>
      <c r="G119" s="112"/>
      <c r="H119" s="122"/>
      <c r="I119" s="122"/>
      <c r="J119" s="112"/>
      <c r="K119" s="128"/>
      <c r="L119" s="112"/>
    </row>
    <row r="120" spans="1:12">
      <c r="A120" s="313" t="s">
        <v>280</v>
      </c>
      <c r="B120" s="313" t="s">
        <v>112</v>
      </c>
      <c r="C120" s="315">
        <v>285.49</v>
      </c>
      <c r="D120" s="315">
        <v>4.62</v>
      </c>
      <c r="E120" s="315">
        <f t="shared" si="12"/>
        <v>290.11</v>
      </c>
      <c r="F120" s="111"/>
      <c r="G120" s="112"/>
      <c r="H120" s="122"/>
      <c r="I120" s="122"/>
      <c r="J120" s="112"/>
      <c r="K120" s="128"/>
      <c r="L120" s="112"/>
    </row>
    <row r="121" spans="1:12">
      <c r="A121" s="313" t="s">
        <v>281</v>
      </c>
      <c r="B121" s="313" t="s">
        <v>112</v>
      </c>
      <c r="C121" s="315">
        <v>365.4</v>
      </c>
      <c r="D121" s="315">
        <v>6.92</v>
      </c>
      <c r="E121" s="315">
        <f t="shared" si="12"/>
        <v>372.32</v>
      </c>
      <c r="F121" s="111"/>
      <c r="G121" s="112"/>
      <c r="H121" s="122"/>
      <c r="I121" s="122"/>
      <c r="J121" s="112"/>
      <c r="K121" s="128"/>
      <c r="L121" s="112"/>
    </row>
    <row r="122" spans="1:12">
      <c r="A122" s="112"/>
      <c r="B122" s="112"/>
      <c r="C122" s="111"/>
      <c r="D122" s="111"/>
      <c r="E122" s="121"/>
      <c r="F122" s="121"/>
      <c r="G122" s="123"/>
      <c r="H122" s="123"/>
      <c r="I122" s="112"/>
      <c r="J122" s="112"/>
      <c r="K122" s="112"/>
      <c r="L122" s="112"/>
    </row>
    <row r="123" spans="1:12">
      <c r="A123" s="123"/>
      <c r="B123" s="123"/>
      <c r="C123" s="111"/>
      <c r="D123" s="111"/>
      <c r="E123" s="121"/>
      <c r="F123" s="121"/>
      <c r="G123" s="123"/>
      <c r="H123" s="123"/>
      <c r="I123" s="112"/>
      <c r="J123" s="112"/>
      <c r="K123" s="112"/>
      <c r="L123" s="112"/>
    </row>
    <row r="124" spans="1:12">
      <c r="A124" s="112"/>
      <c r="B124" s="112"/>
      <c r="C124" s="111"/>
      <c r="D124" s="111"/>
      <c r="E124" s="121"/>
      <c r="F124" s="121"/>
      <c r="G124" s="123"/>
      <c r="H124" s="123"/>
      <c r="I124" s="112"/>
      <c r="J124" s="112"/>
      <c r="K124" s="112"/>
      <c r="L124" s="112"/>
    </row>
    <row r="125" spans="1:12">
      <c r="A125" s="108"/>
      <c r="B125" s="112"/>
      <c r="C125" s="111"/>
      <c r="D125" s="111"/>
      <c r="E125" s="121"/>
      <c r="F125" s="121"/>
      <c r="G125" s="123"/>
      <c r="H125" s="123"/>
      <c r="I125" s="112"/>
      <c r="J125" s="112"/>
      <c r="K125" s="112"/>
      <c r="L125" s="112"/>
    </row>
    <row r="126" spans="1:12">
      <c r="A126" s="108"/>
      <c r="B126" s="112"/>
      <c r="C126" s="111"/>
      <c r="D126" s="111"/>
      <c r="E126" s="121"/>
      <c r="F126" s="121"/>
      <c r="G126" s="123"/>
      <c r="H126" s="123"/>
      <c r="I126" s="112"/>
      <c r="J126" s="112"/>
      <c r="K126" s="112"/>
      <c r="L126" s="112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350"/>
  <sheetViews>
    <sheetView topLeftCell="P1" workbookViewId="0">
      <pane ySplit="7" topLeftCell="A206" activePane="bottomLeft" state="frozen"/>
      <selection pane="bottomLeft" activeCell="V172" sqref="V172"/>
    </sheetView>
  </sheetViews>
  <sheetFormatPr defaultColWidth="7.140625" defaultRowHeight="11.25"/>
  <cols>
    <col min="1" max="1" width="29" style="153" customWidth="1"/>
    <col min="2" max="2" width="5.28515625" style="153" customWidth="1"/>
    <col min="3" max="3" width="4.85546875" style="153" customWidth="1"/>
    <col min="4" max="4" width="4.7109375" style="153" customWidth="1"/>
    <col min="5" max="5" width="9.28515625" style="153" customWidth="1"/>
    <col min="6" max="6" width="10.5703125" style="153" customWidth="1"/>
    <col min="7" max="12" width="9.28515625" style="153" customWidth="1"/>
    <col min="13" max="13" width="9.28515625" style="154" customWidth="1"/>
    <col min="14" max="15" width="9.28515625" style="153" customWidth="1"/>
    <col min="16" max="16" width="5.28515625" style="153" customWidth="1"/>
    <col min="17" max="21" width="13.140625" style="153" customWidth="1"/>
    <col min="22" max="25" width="14.5703125" style="153" customWidth="1"/>
    <col min="26" max="26" width="1.85546875" style="153" customWidth="1"/>
    <col min="27" max="27" width="14.5703125" style="153" customWidth="1"/>
    <col min="28" max="28" width="8.42578125" style="155" customWidth="1"/>
    <col min="29" max="16384" width="7.140625" style="155"/>
  </cols>
  <sheetData>
    <row r="2" spans="1:27">
      <c r="A2" s="153" t="s">
        <v>160</v>
      </c>
      <c r="Q2" s="156"/>
      <c r="R2" s="156"/>
      <c r="S2" s="155"/>
    </row>
    <row r="3" spans="1:27">
      <c r="O3" s="153" t="s">
        <v>161</v>
      </c>
      <c r="Q3" s="156"/>
      <c r="R3" s="156"/>
      <c r="S3" s="156"/>
      <c r="T3" s="157"/>
      <c r="U3" s="157"/>
      <c r="V3" s="157"/>
      <c r="W3" s="157"/>
      <c r="X3" s="157"/>
    </row>
    <row r="4" spans="1:27">
      <c r="A4" s="153" t="s">
        <v>162</v>
      </c>
      <c r="J4" s="158"/>
      <c r="K4" s="158"/>
      <c r="N4" s="158" t="s">
        <v>59</v>
      </c>
      <c r="O4" s="159">
        <f>L5/(N8+N9+N10)</f>
        <v>0.71541102910332233</v>
      </c>
      <c r="Q4" s="160"/>
      <c r="R4" s="161"/>
      <c r="S4" s="162"/>
      <c r="T4" s="157"/>
      <c r="U4" s="157"/>
      <c r="V4" s="157"/>
      <c r="W4" s="157"/>
      <c r="X4" s="157"/>
    </row>
    <row r="5" spans="1:27">
      <c r="A5" s="153" t="s">
        <v>163</v>
      </c>
      <c r="F5" s="163">
        <f>SUM(D21:D31)</f>
        <v>10385.666666666673</v>
      </c>
      <c r="J5" s="158"/>
      <c r="K5" s="158" t="s">
        <v>164</v>
      </c>
      <c r="L5" s="164">
        <f>[1]Disposal!R58+[1]Disposal!R63</f>
        <v>9354.4999932463124</v>
      </c>
      <c r="M5" s="158"/>
      <c r="N5" s="158" t="s">
        <v>165</v>
      </c>
      <c r="O5" s="159">
        <f>+O4</f>
        <v>0.71541102910332233</v>
      </c>
      <c r="Q5" s="160"/>
      <c r="R5" s="161"/>
      <c r="S5" s="162"/>
    </row>
    <row r="6" spans="1:27">
      <c r="F6" s="163">
        <f>SUM(F5:F5)</f>
        <v>10385.666666666673</v>
      </c>
      <c r="J6" s="165"/>
      <c r="K6" s="158" t="s">
        <v>166</v>
      </c>
      <c r="L6" s="164">
        <f>[1]Disposal!R69</f>
        <v>1252.4191300000002</v>
      </c>
      <c r="M6" s="158"/>
      <c r="N6" s="158"/>
      <c r="O6" s="166"/>
    </row>
    <row r="7" spans="1:27">
      <c r="A7" s="167" t="s">
        <v>167</v>
      </c>
      <c r="B7" s="167"/>
      <c r="C7" s="167"/>
      <c r="D7" s="167"/>
      <c r="E7" s="167"/>
      <c r="F7" s="168">
        <f>SUM(F8:F12)</f>
        <v>12812.088135066675</v>
      </c>
      <c r="G7" s="169"/>
      <c r="H7" s="169"/>
      <c r="I7" s="169"/>
      <c r="J7" s="170">
        <f>SUM(J8:J12)</f>
        <v>269386.17474150349</v>
      </c>
      <c r="K7" s="171">
        <f>SUM(K8:K12)</f>
        <v>3232634.0968980417</v>
      </c>
      <c r="L7" s="168">
        <f>SUM(L5:L6)</f>
        <v>10606.919123246313</v>
      </c>
      <c r="M7" s="172"/>
      <c r="N7" s="168">
        <f>SUM(N8:N12)</f>
        <v>13075.7</v>
      </c>
      <c r="O7" s="168">
        <f>SUM(O8:O12)</f>
        <v>9354.4999932463106</v>
      </c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73"/>
    </row>
    <row r="8" spans="1:27">
      <c r="A8" s="153" t="s">
        <v>168</v>
      </c>
      <c r="F8" s="168">
        <f>SUM(D21:D31)</f>
        <v>10385.666666666673</v>
      </c>
      <c r="G8" s="174"/>
      <c r="H8" s="158"/>
      <c r="I8" s="174"/>
      <c r="J8" s="175">
        <f>SUM(J21:J73)</f>
        <v>181637.83083333349</v>
      </c>
      <c r="K8" s="176">
        <f>SUM(K21:K73)</f>
        <v>2179653.9700000016</v>
      </c>
      <c r="L8" s="158"/>
      <c r="N8" s="176">
        <f>SUM(N21:N37)</f>
        <v>8540.7900000000009</v>
      </c>
      <c r="O8" s="176">
        <f>SUM(O21:O31)</f>
        <v>6110.1753632553646</v>
      </c>
      <c r="AA8" s="177"/>
    </row>
    <row r="9" spans="1:27">
      <c r="A9" s="153" t="s">
        <v>169</v>
      </c>
      <c r="F9" s="168">
        <f>SUM(G78:G80)+SUM(G158:G161)</f>
        <v>268.60331840000003</v>
      </c>
      <c r="G9" s="158"/>
      <c r="H9" s="158"/>
      <c r="I9" s="174"/>
      <c r="J9" s="171">
        <f>SUM(J78:J80)+SUM(J158:J161)</f>
        <v>6875.2350131700005</v>
      </c>
      <c r="K9" s="168">
        <f>SUM(K78:K80)+SUM(K158:K161)</f>
        <v>82502.820158040005</v>
      </c>
      <c r="N9" s="168">
        <f>SUM(N78:N80)+SUM(N158:N161)</f>
        <v>277.77999999999997</v>
      </c>
      <c r="O9" s="168">
        <f>SUM(O78:O80)+SUM(O158:O161)</f>
        <v>198.72687566432086</v>
      </c>
      <c r="Q9" s="178" t="s">
        <v>170</v>
      </c>
      <c r="R9" s="179">
        <v>134.59</v>
      </c>
      <c r="T9" s="178" t="s">
        <v>171</v>
      </c>
      <c r="U9" s="180">
        <v>1.4999999999999999E-2</v>
      </c>
      <c r="AA9" s="177"/>
    </row>
    <row r="10" spans="1:27">
      <c r="A10" s="155" t="s">
        <v>172</v>
      </c>
      <c r="B10" s="155"/>
      <c r="C10" s="155"/>
      <c r="D10" s="155"/>
      <c r="E10" s="155"/>
      <c r="F10" s="168">
        <f>SUM(G86:G138)+SUM(G165:G220)</f>
        <v>2157.8181500000001</v>
      </c>
      <c r="G10" s="181"/>
      <c r="H10" s="181"/>
      <c r="I10" s="174"/>
      <c r="J10" s="171">
        <f>SUM(J89:J152)+SUM(J167:J222)</f>
        <v>80873.108895000012</v>
      </c>
      <c r="K10" s="168">
        <f>SUM(K89:K152)+SUM(K167:K222)</f>
        <v>970477.30674000015</v>
      </c>
      <c r="L10" s="181"/>
      <c r="M10" s="182"/>
      <c r="N10" s="168">
        <f>SUM(N89:N142)+SUM(N167:N221)</f>
        <v>4257.13</v>
      </c>
      <c r="O10" s="168">
        <f>SUM(O88:O141)+SUM(O167:O220)</f>
        <v>3045.5977543266263</v>
      </c>
      <c r="P10" s="155"/>
      <c r="Q10" s="178" t="s">
        <v>321</v>
      </c>
      <c r="R10" s="179">
        <v>140.82</v>
      </c>
      <c r="S10" s="155"/>
      <c r="T10" s="183" t="s">
        <v>173</v>
      </c>
      <c r="U10" s="184">
        <v>5.1000000000000004E-3</v>
      </c>
      <c r="V10" s="185"/>
      <c r="W10" s="155"/>
      <c r="X10" s="155"/>
      <c r="Y10" s="155"/>
      <c r="Z10" s="155"/>
      <c r="AA10" s="177"/>
    </row>
    <row r="11" spans="1:27">
      <c r="F11" s="158"/>
      <c r="G11" s="158"/>
      <c r="H11" s="158"/>
      <c r="I11" s="174"/>
      <c r="J11" s="186"/>
      <c r="K11" s="187"/>
      <c r="L11" s="158"/>
      <c r="N11" s="186"/>
      <c r="O11" s="186"/>
      <c r="Q11" s="178" t="s">
        <v>174</v>
      </c>
      <c r="R11" s="188">
        <f>R10-R9</f>
        <v>6.2299999999999898</v>
      </c>
      <c r="T11" s="153" t="s">
        <v>322</v>
      </c>
      <c r="U11" s="184">
        <v>2.0000000000000002E-5</v>
      </c>
      <c r="AA11" s="177"/>
    </row>
    <row r="12" spans="1:27" ht="12" thickBot="1">
      <c r="A12" s="189"/>
      <c r="B12" s="189"/>
      <c r="C12" s="189"/>
      <c r="D12" s="189"/>
      <c r="E12" s="189"/>
      <c r="F12" s="190"/>
      <c r="G12" s="190"/>
      <c r="H12" s="190"/>
      <c r="I12" s="190"/>
      <c r="J12" s="191"/>
      <c r="K12" s="191"/>
      <c r="L12" s="190"/>
      <c r="M12" s="192"/>
      <c r="N12" s="190"/>
      <c r="O12" s="190"/>
      <c r="P12" s="189"/>
      <c r="Q12" s="178" t="s">
        <v>176</v>
      </c>
      <c r="R12" s="193">
        <f>+R11/2000</f>
        <v>3.1149999999999949E-3</v>
      </c>
      <c r="S12" s="189"/>
      <c r="T12" s="178" t="s">
        <v>175</v>
      </c>
      <c r="U12" s="364">
        <f>SUM(U9:U10)</f>
        <v>2.01E-2</v>
      </c>
      <c r="V12" s="189"/>
      <c r="W12" s="189"/>
      <c r="X12" s="189"/>
      <c r="Y12" s="189"/>
      <c r="Z12" s="189"/>
      <c r="AA12" s="194"/>
    </row>
    <row r="13" spans="1:27">
      <c r="A13" s="155"/>
      <c r="B13" s="155"/>
      <c r="C13" s="155"/>
      <c r="D13" s="195" t="s">
        <v>177</v>
      </c>
      <c r="E13" s="195" t="s">
        <v>178</v>
      </c>
      <c r="F13" s="153" t="s">
        <v>294</v>
      </c>
      <c r="H13" s="196"/>
      <c r="I13" s="195"/>
      <c r="J13" s="195" t="s">
        <v>179</v>
      </c>
      <c r="K13" s="195" t="s">
        <v>179</v>
      </c>
      <c r="L13" s="195" t="s">
        <v>115</v>
      </c>
      <c r="M13" s="197" t="s">
        <v>180</v>
      </c>
      <c r="N13" s="195" t="s">
        <v>181</v>
      </c>
      <c r="O13" s="195" t="s">
        <v>182</v>
      </c>
      <c r="P13" s="155"/>
      <c r="Q13" s="198"/>
      <c r="R13" s="199"/>
      <c r="S13" s="198"/>
      <c r="T13" s="198"/>
      <c r="U13" s="155"/>
      <c r="V13" s="200"/>
      <c r="W13" s="200"/>
      <c r="X13" s="200"/>
      <c r="Y13" s="200"/>
      <c r="Z13" s="155"/>
      <c r="AA13" s="200"/>
    </row>
    <row r="14" spans="1:27">
      <c r="A14" s="155"/>
      <c r="B14" s="155"/>
      <c r="C14" s="155" t="s">
        <v>183</v>
      </c>
      <c r="D14" s="195" t="s">
        <v>184</v>
      </c>
      <c r="E14" s="195" t="s">
        <v>185</v>
      </c>
      <c r="H14" s="196"/>
      <c r="I14" s="195" t="s">
        <v>107</v>
      </c>
      <c r="J14" s="195" t="s">
        <v>186</v>
      </c>
      <c r="K14" s="195" t="s">
        <v>114</v>
      </c>
      <c r="L14" s="195" t="s">
        <v>187</v>
      </c>
      <c r="M14" s="197" t="s">
        <v>188</v>
      </c>
      <c r="N14" s="195" t="s">
        <v>189</v>
      </c>
      <c r="O14" s="195" t="s">
        <v>189</v>
      </c>
      <c r="P14" s="155"/>
      <c r="Q14" s="201" t="s">
        <v>190</v>
      </c>
      <c r="R14" s="201" t="s">
        <v>191</v>
      </c>
      <c r="S14" s="201" t="s">
        <v>192</v>
      </c>
      <c r="T14" s="202" t="s">
        <v>193</v>
      </c>
      <c r="U14" s="155"/>
      <c r="V14" s="203" t="s">
        <v>194</v>
      </c>
      <c r="W14" s="203" t="s">
        <v>108</v>
      </c>
      <c r="X14" s="203" t="s">
        <v>108</v>
      </c>
      <c r="Y14" s="203" t="s">
        <v>108</v>
      </c>
      <c r="Z14" s="155"/>
      <c r="AA14" s="203" t="s">
        <v>108</v>
      </c>
    </row>
    <row r="15" spans="1:27">
      <c r="A15" s="155"/>
      <c r="B15" s="155"/>
      <c r="C15" s="155"/>
      <c r="D15" s="204"/>
      <c r="E15" s="195" t="s">
        <v>195</v>
      </c>
      <c r="H15" s="196"/>
      <c r="I15" s="195" t="s">
        <v>109</v>
      </c>
      <c r="J15" s="195" t="s">
        <v>116</v>
      </c>
      <c r="K15" s="195" t="s">
        <v>116</v>
      </c>
      <c r="L15" s="205">
        <v>21</v>
      </c>
      <c r="M15" s="195" t="s">
        <v>187</v>
      </c>
      <c r="N15" s="195" t="s">
        <v>196</v>
      </c>
      <c r="O15" s="195" t="s">
        <v>196</v>
      </c>
      <c r="P15" s="155"/>
      <c r="Q15" s="201" t="s">
        <v>197</v>
      </c>
      <c r="R15" s="201" t="s">
        <v>198</v>
      </c>
      <c r="S15" s="201" t="s">
        <v>199</v>
      </c>
      <c r="T15" s="202" t="s">
        <v>200</v>
      </c>
      <c r="U15" s="155"/>
      <c r="V15" s="203" t="s">
        <v>201</v>
      </c>
      <c r="W15" s="203" t="s">
        <v>202</v>
      </c>
      <c r="X15" s="203" t="s">
        <v>202</v>
      </c>
      <c r="Y15" s="203" t="s">
        <v>203</v>
      </c>
      <c r="Z15" s="155"/>
      <c r="AA15" s="203" t="s">
        <v>204</v>
      </c>
    </row>
    <row r="16" spans="1:27">
      <c r="A16" s="155"/>
      <c r="B16" s="155"/>
      <c r="C16" s="155"/>
      <c r="D16" s="204"/>
      <c r="E16" s="195" t="s">
        <v>205</v>
      </c>
      <c r="H16" s="196"/>
      <c r="I16" s="195" t="s">
        <v>206</v>
      </c>
      <c r="J16" s="195"/>
      <c r="K16" s="195"/>
      <c r="L16" s="205">
        <v>145</v>
      </c>
      <c r="M16" s="197"/>
      <c r="N16" s="195"/>
      <c r="O16" s="195"/>
      <c r="P16" s="155"/>
      <c r="Q16" s="206"/>
      <c r="R16" s="206"/>
      <c r="S16" s="206"/>
      <c r="T16" s="207" t="s">
        <v>207</v>
      </c>
      <c r="U16" s="155"/>
      <c r="V16" s="208"/>
      <c r="W16" s="208"/>
      <c r="X16" s="209" t="s">
        <v>10</v>
      </c>
      <c r="Y16" s="209" t="s">
        <v>10</v>
      </c>
      <c r="Z16" s="155"/>
      <c r="AA16" s="209" t="s">
        <v>10</v>
      </c>
    </row>
    <row r="17" spans="1:28">
      <c r="A17" s="155"/>
      <c r="B17" s="155"/>
      <c r="C17" s="155"/>
      <c r="D17" s="210"/>
      <c r="E17" s="210"/>
      <c r="H17" s="210"/>
      <c r="I17" s="210"/>
      <c r="J17" s="210"/>
      <c r="K17" s="210"/>
      <c r="L17" s="205">
        <v>269</v>
      </c>
      <c r="M17" s="211"/>
      <c r="N17" s="210"/>
      <c r="O17" s="210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77"/>
    </row>
    <row r="18" spans="1:28">
      <c r="A18" s="155" t="s">
        <v>304</v>
      </c>
      <c r="B18" s="155"/>
      <c r="C18" s="155"/>
      <c r="D18" s="210"/>
      <c r="E18" s="210"/>
      <c r="H18" s="210"/>
      <c r="I18" s="210"/>
      <c r="J18" s="210"/>
      <c r="K18" s="210"/>
      <c r="L18" s="210"/>
      <c r="M18" s="211"/>
      <c r="N18" s="210"/>
      <c r="O18" s="210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77"/>
    </row>
    <row r="19" spans="1:28" ht="12" thickBot="1">
      <c r="A19" s="212" t="s">
        <v>208</v>
      </c>
      <c r="B19" s="155"/>
      <c r="C19" s="155"/>
      <c r="AA19" s="177"/>
    </row>
    <row r="20" spans="1:28" ht="12" thickTop="1">
      <c r="A20" s="185" t="s">
        <v>209</v>
      </c>
      <c r="B20" s="155"/>
      <c r="C20" s="155"/>
      <c r="AA20" s="155"/>
    </row>
    <row r="21" spans="1:28">
      <c r="A21" s="213" t="s">
        <v>119</v>
      </c>
      <c r="D21" s="214">
        <v>865.5</v>
      </c>
      <c r="E21" s="257">
        <v>52</v>
      </c>
      <c r="F21" s="365">
        <f>D21*52</f>
        <v>45006</v>
      </c>
      <c r="I21" s="216">
        <v>8.0500000000000007</v>
      </c>
      <c r="J21" s="168">
        <f t="shared" ref="J21:J33" si="0">D21*I21</f>
        <v>6967.2750000000005</v>
      </c>
      <c r="K21" s="168">
        <f t="shared" ref="K21:K42" si="1">J21*12</f>
        <v>83607.3</v>
      </c>
      <c r="L21" s="217">
        <f>ROUND((L$15/32*19),2)</f>
        <v>12.47</v>
      </c>
      <c r="M21" s="218">
        <f>L21*$O$4</f>
        <v>8.9211755329184292</v>
      </c>
      <c r="N21" s="171">
        <f t="shared" ref="N21:N45" si="2">ROUND(((D21*E21*L21)/2000),2)</f>
        <v>280.61</v>
      </c>
      <c r="O21" s="219">
        <f>$O$4*N21</f>
        <v>200.75148887668328</v>
      </c>
      <c r="P21" s="220"/>
      <c r="Q21" s="221">
        <f t="shared" ref="Q21:Q44" si="3">M21*$R$12</f>
        <v>2.7789461785040864E-2</v>
      </c>
      <c r="R21" s="222">
        <f t="shared" ref="R21:R27" si="4">Q21*4.33</f>
        <v>0.12032836952922694</v>
      </c>
      <c r="S21" s="222">
        <f t="shared" ref="S21:S45" si="5">R21*$U$12</f>
        <v>2.4186002275374614E-3</v>
      </c>
      <c r="T21" s="222">
        <f t="shared" ref="T21:T45" si="6">+R21+S21</f>
        <v>0.12274696975676441</v>
      </c>
      <c r="V21" s="222">
        <f t="shared" ref="V21:V45" si="7">I21+T21</f>
        <v>8.1727469697567656</v>
      </c>
      <c r="W21" s="223">
        <f t="shared" ref="W21:W45" si="8">D21*V21</f>
        <v>7073.5125023244809</v>
      </c>
      <c r="X21" s="223">
        <f>W21-J21</f>
        <v>106.23750232448037</v>
      </c>
      <c r="Y21" s="224">
        <f>X21*12</f>
        <v>1274.8500278937645</v>
      </c>
      <c r="Z21" s="225"/>
      <c r="AA21" s="226">
        <f>O21*$R$11</f>
        <v>1250.6817757017348</v>
      </c>
      <c r="AB21" s="227">
        <f>IF(I21=0,"",V21/I21-1)</f>
        <v>1.5248070777237777E-2</v>
      </c>
    </row>
    <row r="22" spans="1:28">
      <c r="A22" s="213" t="s">
        <v>120</v>
      </c>
      <c r="D22" s="214">
        <v>4500.9166666666697</v>
      </c>
      <c r="E22" s="257">
        <v>52</v>
      </c>
      <c r="F22" s="365">
        <f t="shared" ref="F22:F45" si="9">D22*52</f>
        <v>234047.66666666683</v>
      </c>
      <c r="I22" s="216">
        <v>12.93</v>
      </c>
      <c r="J22" s="168">
        <f t="shared" si="0"/>
        <v>58196.852500000037</v>
      </c>
      <c r="K22" s="168">
        <f t="shared" si="1"/>
        <v>698362.23000000045</v>
      </c>
      <c r="L22" s="217">
        <f>+$L$15</f>
        <v>21</v>
      </c>
      <c r="M22" s="218">
        <f t="shared" ref="M22:M45" si="10">L22*$O$4</f>
        <v>15.023631611169769</v>
      </c>
      <c r="N22" s="171">
        <f t="shared" si="2"/>
        <v>2457.5</v>
      </c>
      <c r="O22" s="219">
        <f>$O$4*N22</f>
        <v>1758.1226040214146</v>
      </c>
      <c r="P22" s="220"/>
      <c r="Q22" s="221">
        <f t="shared" si="3"/>
        <v>4.6798612468793757E-2</v>
      </c>
      <c r="R22" s="222">
        <f t="shared" si="4"/>
        <v>0.20263799198987698</v>
      </c>
      <c r="S22" s="222">
        <f t="shared" si="5"/>
        <v>4.073023638996527E-3</v>
      </c>
      <c r="T22" s="222">
        <f t="shared" si="6"/>
        <v>0.20671101562887351</v>
      </c>
      <c r="V22" s="222">
        <f t="shared" si="7"/>
        <v>13.136711015628872</v>
      </c>
      <c r="W22" s="223">
        <f t="shared" si="8"/>
        <v>59127.241555427623</v>
      </c>
      <c r="X22" s="223">
        <f t="shared" ref="X22:X45" si="11">W22-J22</f>
        <v>930.38905542758584</v>
      </c>
      <c r="Y22" s="224">
        <f t="shared" ref="Y22:Y67" si="12">X22*12</f>
        <v>11164.66866513103</v>
      </c>
      <c r="Z22" s="225"/>
      <c r="AA22" s="226">
        <f t="shared" ref="AA22:AA45" si="13">O22*$R$11</f>
        <v>10953.103823053396</v>
      </c>
      <c r="AB22" s="227">
        <f t="shared" ref="AB22:AB45" si="14">IF(I22=0,"",V22/I22-1)</f>
        <v>1.5986930829765766E-2</v>
      </c>
    </row>
    <row r="23" spans="1:28">
      <c r="A23" s="213" t="s">
        <v>121</v>
      </c>
      <c r="D23" s="214">
        <v>218.666666666667</v>
      </c>
      <c r="E23" s="257">
        <v>52</v>
      </c>
      <c r="F23" s="365">
        <f t="shared" si="9"/>
        <v>11370.666666666684</v>
      </c>
      <c r="I23" s="216">
        <v>22</v>
      </c>
      <c r="J23" s="168">
        <f t="shared" si="0"/>
        <v>4810.6666666666742</v>
      </c>
      <c r="K23" s="168">
        <f t="shared" si="1"/>
        <v>57728.000000000087</v>
      </c>
      <c r="L23" s="217">
        <f>+$L$15*2</f>
        <v>42</v>
      </c>
      <c r="M23" s="218">
        <f t="shared" si="10"/>
        <v>30.047263222339538</v>
      </c>
      <c r="N23" s="171">
        <f t="shared" si="2"/>
        <v>238.78</v>
      </c>
      <c r="O23" s="219">
        <f t="shared" ref="O23:O45" si="15">$O$4*N23</f>
        <v>170.82584552929131</v>
      </c>
      <c r="P23" s="220"/>
      <c r="Q23" s="221">
        <f t="shared" si="3"/>
        <v>9.3597224937587514E-2</v>
      </c>
      <c r="R23" s="222">
        <f t="shared" si="4"/>
        <v>0.40527598397975395</v>
      </c>
      <c r="S23" s="222">
        <f t="shared" si="5"/>
        <v>8.1460472779930539E-3</v>
      </c>
      <c r="T23" s="222">
        <f t="shared" si="6"/>
        <v>0.41342203125774701</v>
      </c>
      <c r="V23" s="222">
        <f t="shared" si="7"/>
        <v>22.413422031257745</v>
      </c>
      <c r="W23" s="223">
        <f t="shared" si="8"/>
        <v>4901.0682841683674</v>
      </c>
      <c r="X23" s="223">
        <f t="shared" si="11"/>
        <v>90.401617501693181</v>
      </c>
      <c r="Y23" s="224">
        <f t="shared" si="12"/>
        <v>1084.8194100203182</v>
      </c>
      <c r="Z23" s="225"/>
      <c r="AA23" s="226">
        <f t="shared" si="13"/>
        <v>1064.2450176474831</v>
      </c>
      <c r="AB23" s="227">
        <f t="shared" si="14"/>
        <v>1.8791910511715804E-2</v>
      </c>
    </row>
    <row r="24" spans="1:28">
      <c r="A24" s="213" t="s">
        <v>122</v>
      </c>
      <c r="D24" s="214">
        <v>9.8333333333333304</v>
      </c>
      <c r="E24" s="257">
        <v>52</v>
      </c>
      <c r="F24" s="365">
        <f t="shared" si="9"/>
        <v>511.3333333333332</v>
      </c>
      <c r="I24" s="216">
        <v>32.18</v>
      </c>
      <c r="J24" s="168">
        <f t="shared" si="0"/>
        <v>316.43666666666655</v>
      </c>
      <c r="K24" s="168">
        <f t="shared" si="1"/>
        <v>3797.2399999999989</v>
      </c>
      <c r="L24" s="217">
        <f>+$L$15*3</f>
        <v>63</v>
      </c>
      <c r="M24" s="218">
        <f t="shared" si="10"/>
        <v>45.070894833509307</v>
      </c>
      <c r="N24" s="171">
        <f t="shared" si="2"/>
        <v>16.11</v>
      </c>
      <c r="O24" s="219">
        <f t="shared" si="15"/>
        <v>11.525271678854523</v>
      </c>
      <c r="P24" s="220"/>
      <c r="Q24" s="221">
        <f t="shared" si="3"/>
        <v>0.14039583740638126</v>
      </c>
      <c r="R24" s="222">
        <f t="shared" si="4"/>
        <v>0.60791397596963082</v>
      </c>
      <c r="S24" s="222">
        <f t="shared" si="5"/>
        <v>1.221907091698958E-2</v>
      </c>
      <c r="T24" s="222">
        <f t="shared" si="6"/>
        <v>0.62013304688662041</v>
      </c>
      <c r="V24" s="222">
        <f t="shared" si="7"/>
        <v>32.800133046886621</v>
      </c>
      <c r="W24" s="223">
        <f t="shared" si="8"/>
        <v>322.53464162771837</v>
      </c>
      <c r="X24" s="223">
        <f t="shared" si="11"/>
        <v>6.0979749610518184</v>
      </c>
      <c r="Y24" s="224">
        <f t="shared" si="12"/>
        <v>73.17569953262182</v>
      </c>
      <c r="Z24" s="225"/>
      <c r="AA24" s="226">
        <f t="shared" si="13"/>
        <v>71.802442559263554</v>
      </c>
      <c r="AB24" s="227">
        <f t="shared" si="14"/>
        <v>1.9270759691939698E-2</v>
      </c>
    </row>
    <row r="25" spans="1:28">
      <c r="A25" s="213" t="s">
        <v>123</v>
      </c>
      <c r="D25" s="214">
        <v>1</v>
      </c>
      <c r="E25" s="257">
        <v>52</v>
      </c>
      <c r="F25" s="365">
        <f t="shared" si="9"/>
        <v>52</v>
      </c>
      <c r="I25" s="216">
        <v>43.23</v>
      </c>
      <c r="J25" s="168">
        <f t="shared" si="0"/>
        <v>43.23</v>
      </c>
      <c r="K25" s="168">
        <f t="shared" si="1"/>
        <v>518.76</v>
      </c>
      <c r="L25" s="217">
        <f>+$L$15*4</f>
        <v>84</v>
      </c>
      <c r="M25" s="218">
        <f t="shared" si="10"/>
        <v>60.094526444679076</v>
      </c>
      <c r="N25" s="171">
        <f t="shared" si="2"/>
        <v>2.1800000000000002</v>
      </c>
      <c r="O25" s="219">
        <f t="shared" si="15"/>
        <v>1.5595960434452427</v>
      </c>
      <c r="P25" s="220"/>
      <c r="Q25" s="221">
        <f t="shared" si="3"/>
        <v>0.18719444987517503</v>
      </c>
      <c r="R25" s="222">
        <f t="shared" si="4"/>
        <v>0.8105519679595079</v>
      </c>
      <c r="S25" s="222">
        <f t="shared" si="5"/>
        <v>1.6292094555986108E-2</v>
      </c>
      <c r="T25" s="222">
        <f t="shared" si="6"/>
        <v>0.82684406251549403</v>
      </c>
      <c r="V25" s="222">
        <f t="shared" si="7"/>
        <v>44.056844062515488</v>
      </c>
      <c r="W25" s="223">
        <f t="shared" si="8"/>
        <v>44.056844062515488</v>
      </c>
      <c r="X25" s="223">
        <f t="shared" si="11"/>
        <v>0.82684406251549092</v>
      </c>
      <c r="Y25" s="224">
        <f t="shared" si="12"/>
        <v>9.922128750185891</v>
      </c>
      <c r="Z25" s="225"/>
      <c r="AA25" s="226">
        <f t="shared" si="13"/>
        <v>9.7162833506638453</v>
      </c>
      <c r="AB25" s="227">
        <f t="shared" si="14"/>
        <v>1.9126626475028718E-2</v>
      </c>
    </row>
    <row r="26" spans="1:28">
      <c r="A26" s="213" t="s">
        <v>210</v>
      </c>
      <c r="D26" s="214"/>
      <c r="E26" s="257">
        <v>52</v>
      </c>
      <c r="F26" s="365">
        <f t="shared" si="9"/>
        <v>0</v>
      </c>
      <c r="I26" s="216">
        <v>54.56</v>
      </c>
      <c r="J26" s="168">
        <f t="shared" si="0"/>
        <v>0</v>
      </c>
      <c r="K26" s="168">
        <f t="shared" si="1"/>
        <v>0</v>
      </c>
      <c r="L26" s="217">
        <f>+$L$15*5</f>
        <v>105</v>
      </c>
      <c r="M26" s="218">
        <f t="shared" si="10"/>
        <v>75.118158055848838</v>
      </c>
      <c r="N26" s="171">
        <f t="shared" si="2"/>
        <v>0</v>
      </c>
      <c r="O26" s="219">
        <f t="shared" si="15"/>
        <v>0</v>
      </c>
      <c r="P26" s="220"/>
      <c r="Q26" s="221">
        <f t="shared" si="3"/>
        <v>0.23399306234396874</v>
      </c>
      <c r="R26" s="222">
        <f t="shared" si="4"/>
        <v>1.0131899599493848</v>
      </c>
      <c r="S26" s="222">
        <f t="shared" si="5"/>
        <v>2.0365118194982632E-2</v>
      </c>
      <c r="T26" s="222">
        <f t="shared" si="6"/>
        <v>1.0335550781443674</v>
      </c>
      <c r="V26" s="222">
        <f t="shared" si="7"/>
        <v>55.593555078144369</v>
      </c>
      <c r="W26" s="223">
        <f t="shared" si="8"/>
        <v>0</v>
      </c>
      <c r="X26" s="223">
        <f t="shared" si="11"/>
        <v>0</v>
      </c>
      <c r="Y26" s="224">
        <f t="shared" si="12"/>
        <v>0</v>
      </c>
      <c r="Z26" s="225"/>
      <c r="AA26" s="226">
        <f t="shared" si="13"/>
        <v>0</v>
      </c>
      <c r="AB26" s="227">
        <f t="shared" si="14"/>
        <v>1.8943458177132833E-2</v>
      </c>
    </row>
    <row r="27" spans="1:28">
      <c r="A27" s="213" t="s">
        <v>211</v>
      </c>
      <c r="D27" s="214"/>
      <c r="E27" s="257">
        <v>52</v>
      </c>
      <c r="F27" s="365">
        <f t="shared" si="9"/>
        <v>0</v>
      </c>
      <c r="I27" s="216">
        <v>0</v>
      </c>
      <c r="J27" s="168">
        <f t="shared" si="0"/>
        <v>0</v>
      </c>
      <c r="K27" s="168">
        <f t="shared" si="1"/>
        <v>0</v>
      </c>
      <c r="L27" s="217">
        <f>+$L$15*6</f>
        <v>126</v>
      </c>
      <c r="M27" s="218">
        <f t="shared" si="10"/>
        <v>90.141789667018614</v>
      </c>
      <c r="N27" s="171">
        <f t="shared" si="2"/>
        <v>0</v>
      </c>
      <c r="O27" s="219">
        <f t="shared" si="15"/>
        <v>0</v>
      </c>
      <c r="P27" s="220"/>
      <c r="Q27" s="221">
        <f t="shared" si="3"/>
        <v>0.28079167481276252</v>
      </c>
      <c r="R27" s="222">
        <f t="shared" si="4"/>
        <v>1.2158279519392616</v>
      </c>
      <c r="S27" s="222">
        <f t="shared" si="5"/>
        <v>2.443814183397916E-2</v>
      </c>
      <c r="T27" s="222">
        <f t="shared" si="6"/>
        <v>1.2402660937732408</v>
      </c>
      <c r="V27" s="222">
        <f t="shared" si="7"/>
        <v>1.2402660937732408</v>
      </c>
      <c r="W27" s="223">
        <f t="shared" si="8"/>
        <v>0</v>
      </c>
      <c r="X27" s="223">
        <f t="shared" si="11"/>
        <v>0</v>
      </c>
      <c r="Y27" s="224">
        <f t="shared" si="12"/>
        <v>0</v>
      </c>
      <c r="Z27" s="225"/>
      <c r="AA27" s="226">
        <f t="shared" si="13"/>
        <v>0</v>
      </c>
      <c r="AB27" s="227" t="str">
        <f t="shared" si="14"/>
        <v/>
      </c>
    </row>
    <row r="28" spans="1:28">
      <c r="A28" s="213" t="s">
        <v>113</v>
      </c>
      <c r="D28" s="214">
        <v>126.916666666667</v>
      </c>
      <c r="E28" s="257">
        <v>12</v>
      </c>
      <c r="F28" s="365">
        <f t="shared" si="9"/>
        <v>6599.6666666666843</v>
      </c>
      <c r="I28" s="216">
        <v>4.66</v>
      </c>
      <c r="J28" s="168">
        <f t="shared" si="0"/>
        <v>591.43166666666821</v>
      </c>
      <c r="K28" s="168">
        <f t="shared" si="1"/>
        <v>7097.1800000000185</v>
      </c>
      <c r="L28" s="217">
        <f>+$L$15</f>
        <v>21</v>
      </c>
      <c r="M28" s="218">
        <f t="shared" si="10"/>
        <v>15.023631611169769</v>
      </c>
      <c r="N28" s="171">
        <f t="shared" si="2"/>
        <v>15.99</v>
      </c>
      <c r="O28" s="219">
        <f t="shared" si="15"/>
        <v>11.439422355362124</v>
      </c>
      <c r="P28" s="220"/>
      <c r="Q28" s="221">
        <f t="shared" si="3"/>
        <v>4.6798612468793757E-2</v>
      </c>
      <c r="R28" s="228">
        <f>Q28</f>
        <v>4.6798612468793757E-2</v>
      </c>
      <c r="S28" s="222">
        <f t="shared" si="5"/>
        <v>9.4065211062275449E-4</v>
      </c>
      <c r="T28" s="222">
        <f t="shared" si="6"/>
        <v>4.7739264579416511E-2</v>
      </c>
      <c r="V28" s="222">
        <f t="shared" si="7"/>
        <v>4.7077392645794163</v>
      </c>
      <c r="W28" s="223">
        <f t="shared" si="8"/>
        <v>597.49057499620585</v>
      </c>
      <c r="X28" s="223">
        <f t="shared" si="11"/>
        <v>6.058908329537644</v>
      </c>
      <c r="Y28" s="224">
        <f t="shared" si="12"/>
        <v>72.706899954451728</v>
      </c>
      <c r="Z28" s="225"/>
      <c r="AA28" s="226">
        <f t="shared" si="13"/>
        <v>71.26760127390591</v>
      </c>
      <c r="AB28" s="227">
        <f t="shared" si="14"/>
        <v>1.0244477377557182E-2</v>
      </c>
    </row>
    <row r="29" spans="1:28">
      <c r="A29" s="213" t="s">
        <v>124</v>
      </c>
      <c r="D29" s="214">
        <v>374.66666666666703</v>
      </c>
      <c r="E29" s="257">
        <v>52</v>
      </c>
      <c r="F29" s="365">
        <f t="shared" si="9"/>
        <v>19482.666666666686</v>
      </c>
      <c r="I29" s="216">
        <v>12.93</v>
      </c>
      <c r="J29" s="168">
        <f t="shared" si="0"/>
        <v>4844.4400000000041</v>
      </c>
      <c r="K29" s="168">
        <f t="shared" si="1"/>
        <v>58133.28000000005</v>
      </c>
      <c r="L29" s="217">
        <f>+$L$15</f>
        <v>21</v>
      </c>
      <c r="M29" s="218">
        <f t="shared" si="10"/>
        <v>15.023631611169769</v>
      </c>
      <c r="N29" s="171">
        <f t="shared" si="2"/>
        <v>204.57</v>
      </c>
      <c r="O29" s="219">
        <f t="shared" si="15"/>
        <v>146.35163422366665</v>
      </c>
      <c r="P29" s="220"/>
      <c r="Q29" s="221">
        <f t="shared" si="3"/>
        <v>4.6798612468793757E-2</v>
      </c>
      <c r="R29" s="222">
        <f>Q29*4.33</f>
        <v>0.20263799198987698</v>
      </c>
      <c r="S29" s="222">
        <f t="shared" si="5"/>
        <v>4.073023638996527E-3</v>
      </c>
      <c r="T29" s="222">
        <f t="shared" si="6"/>
        <v>0.20671101562887351</v>
      </c>
      <c r="V29" s="222">
        <f t="shared" si="7"/>
        <v>13.136711015628872</v>
      </c>
      <c r="W29" s="223">
        <f t="shared" si="8"/>
        <v>4921.887727188956</v>
      </c>
      <c r="X29" s="223">
        <f t="shared" si="11"/>
        <v>77.447727188951831</v>
      </c>
      <c r="Y29" s="224">
        <f t="shared" si="12"/>
        <v>929.37272626742197</v>
      </c>
      <c r="Z29" s="225"/>
      <c r="AA29" s="226">
        <f t="shared" si="13"/>
        <v>911.77068121344178</v>
      </c>
      <c r="AB29" s="227">
        <f t="shared" si="14"/>
        <v>1.5986930829765766E-2</v>
      </c>
    </row>
    <row r="30" spans="1:28">
      <c r="A30" s="213" t="s">
        <v>125</v>
      </c>
      <c r="D30" s="214">
        <v>3111.6666666666702</v>
      </c>
      <c r="E30" s="257">
        <v>52</v>
      </c>
      <c r="F30" s="365">
        <f t="shared" si="9"/>
        <v>161806.66666666686</v>
      </c>
      <c r="I30" s="216">
        <v>21.92</v>
      </c>
      <c r="J30" s="168">
        <f t="shared" si="0"/>
        <v>68207.73333333341</v>
      </c>
      <c r="K30" s="168">
        <f t="shared" si="1"/>
        <v>818492.80000000098</v>
      </c>
      <c r="L30" s="217">
        <f>+$L$15*2</f>
        <v>42</v>
      </c>
      <c r="M30" s="218">
        <f t="shared" si="10"/>
        <v>30.047263222339538</v>
      </c>
      <c r="N30" s="171">
        <f t="shared" si="2"/>
        <v>3397.94</v>
      </c>
      <c r="O30" s="219">
        <f t="shared" si="15"/>
        <v>2430.9237522313433</v>
      </c>
      <c r="P30" s="220"/>
      <c r="Q30" s="221">
        <f t="shared" si="3"/>
        <v>9.3597224937587514E-2</v>
      </c>
      <c r="R30" s="222">
        <f>Q30*4.33</f>
        <v>0.40527598397975395</v>
      </c>
      <c r="S30" s="222">
        <f t="shared" si="5"/>
        <v>8.1460472779930539E-3</v>
      </c>
      <c r="T30" s="222">
        <f t="shared" si="6"/>
        <v>0.41342203125774701</v>
      </c>
      <c r="V30" s="222">
        <f t="shared" si="7"/>
        <v>22.333422031257747</v>
      </c>
      <c r="W30" s="223">
        <f t="shared" si="8"/>
        <v>69494.164887263774</v>
      </c>
      <c r="X30" s="223">
        <f t="shared" si="11"/>
        <v>1286.4315539303643</v>
      </c>
      <c r="Y30" s="224">
        <f t="shared" si="12"/>
        <v>15437.178647164372</v>
      </c>
      <c r="Z30" s="225"/>
      <c r="AA30" s="226">
        <f t="shared" si="13"/>
        <v>15144.654976401243</v>
      </c>
      <c r="AB30" s="227">
        <f t="shared" si="14"/>
        <v>1.8860494126721861E-2</v>
      </c>
    </row>
    <row r="31" spans="1:28">
      <c r="A31" s="213" t="s">
        <v>126</v>
      </c>
      <c r="D31" s="214">
        <v>1176.5</v>
      </c>
      <c r="E31" s="257">
        <v>52</v>
      </c>
      <c r="F31" s="365">
        <f t="shared" si="9"/>
        <v>61178</v>
      </c>
      <c r="I31" s="216">
        <v>32.01</v>
      </c>
      <c r="J31" s="168">
        <f t="shared" si="0"/>
        <v>37659.764999999999</v>
      </c>
      <c r="K31" s="168">
        <f t="shared" si="1"/>
        <v>451917.18</v>
      </c>
      <c r="L31" s="217">
        <f>+$L$15*3</f>
        <v>63</v>
      </c>
      <c r="M31" s="218">
        <f t="shared" si="10"/>
        <v>45.070894833509307</v>
      </c>
      <c r="N31" s="171">
        <f t="shared" si="2"/>
        <v>1927.11</v>
      </c>
      <c r="O31" s="219">
        <f t="shared" si="15"/>
        <v>1378.6757482953035</v>
      </c>
      <c r="P31" s="220"/>
      <c r="Q31" s="221">
        <f t="shared" si="3"/>
        <v>0.14039583740638126</v>
      </c>
      <c r="R31" s="222">
        <f>Q31*4.33</f>
        <v>0.60791397596963082</v>
      </c>
      <c r="S31" s="222">
        <f t="shared" si="5"/>
        <v>1.221907091698958E-2</v>
      </c>
      <c r="T31" s="222">
        <f t="shared" si="6"/>
        <v>0.62013304688662041</v>
      </c>
      <c r="V31" s="222">
        <f t="shared" si="7"/>
        <v>32.63013304688662</v>
      </c>
      <c r="W31" s="223">
        <f t="shared" si="8"/>
        <v>38389.351529662112</v>
      </c>
      <c r="X31" s="223">
        <f t="shared" si="11"/>
        <v>729.5865296621123</v>
      </c>
      <c r="Y31" s="224">
        <f t="shared" si="12"/>
        <v>8755.0383559453476</v>
      </c>
      <c r="Z31" s="225"/>
      <c r="AA31" s="226">
        <f t="shared" si="13"/>
        <v>8589.1499118797274</v>
      </c>
      <c r="AB31" s="227">
        <f t="shared" si="14"/>
        <v>1.9373103620325516E-2</v>
      </c>
    </row>
    <row r="32" spans="1:28">
      <c r="A32" s="213" t="s">
        <v>296</v>
      </c>
      <c r="D32" s="214"/>
      <c r="E32" s="257">
        <v>52</v>
      </c>
      <c r="F32" s="365">
        <f t="shared" si="9"/>
        <v>0</v>
      </c>
      <c r="I32" s="216">
        <v>3.5</v>
      </c>
      <c r="J32" s="168">
        <f t="shared" si="0"/>
        <v>0</v>
      </c>
      <c r="K32" s="168">
        <f t="shared" ref="K32:K33" si="16">J32*12</f>
        <v>0</v>
      </c>
      <c r="L32" s="217">
        <f>+$L$15</f>
        <v>21</v>
      </c>
      <c r="M32" s="218">
        <f t="shared" ref="M32" si="17">L32*$O$4</f>
        <v>15.023631611169769</v>
      </c>
      <c r="N32" s="171">
        <f t="shared" si="2"/>
        <v>0</v>
      </c>
      <c r="O32" s="219">
        <f t="shared" ref="O32" si="18">$O$4*N32</f>
        <v>0</v>
      </c>
      <c r="P32" s="220"/>
      <c r="Q32" s="221">
        <f t="shared" ref="Q32" si="19">M32*$R$12</f>
        <v>4.6798612468793757E-2</v>
      </c>
      <c r="R32" s="222">
        <f>Q32*4.33</f>
        <v>0.20263799198987698</v>
      </c>
      <c r="S32" s="222">
        <f t="shared" si="5"/>
        <v>4.073023638996527E-3</v>
      </c>
      <c r="T32" s="222">
        <f t="shared" si="6"/>
        <v>0.20671101562887351</v>
      </c>
      <c r="V32" s="222">
        <f t="shared" si="7"/>
        <v>3.7067110156288736</v>
      </c>
      <c r="W32" s="223">
        <f t="shared" si="8"/>
        <v>0</v>
      </c>
      <c r="X32" s="223">
        <f t="shared" ref="X32" si="20">W32-J32</f>
        <v>0</v>
      </c>
      <c r="Y32" s="224">
        <f t="shared" ref="Y32" si="21">X32*12</f>
        <v>0</v>
      </c>
      <c r="Z32" s="225"/>
      <c r="AA32" s="226">
        <f t="shared" ref="AA32" si="22">O32*$R$11</f>
        <v>0</v>
      </c>
      <c r="AB32" s="227">
        <f t="shared" ref="AB32" si="23">IF(I32=0,"",V32/I32-1)</f>
        <v>5.9060290179678177E-2</v>
      </c>
    </row>
    <row r="33" spans="1:28">
      <c r="A33" s="213" t="s">
        <v>297</v>
      </c>
      <c r="D33" s="214"/>
      <c r="E33" s="257">
        <v>52</v>
      </c>
      <c r="F33" s="365">
        <f t="shared" si="9"/>
        <v>0</v>
      </c>
      <c r="I33" s="216">
        <v>7.4</v>
      </c>
      <c r="J33" s="168">
        <f t="shared" si="0"/>
        <v>0</v>
      </c>
      <c r="K33" s="168">
        <f t="shared" si="16"/>
        <v>0</v>
      </c>
      <c r="L33" s="217">
        <f>+$L$15</f>
        <v>21</v>
      </c>
      <c r="M33" s="218">
        <f t="shared" ref="M33" si="24">L33*$O$4</f>
        <v>15.023631611169769</v>
      </c>
      <c r="N33" s="171">
        <f t="shared" si="2"/>
        <v>0</v>
      </c>
      <c r="O33" s="219">
        <f t="shared" ref="O33" si="25">$O$4*N33</f>
        <v>0</v>
      </c>
      <c r="P33" s="220"/>
      <c r="Q33" s="221">
        <f t="shared" ref="Q33" si="26">M33*$R$12</f>
        <v>4.6798612468793757E-2</v>
      </c>
      <c r="R33" s="222">
        <f>Q33*4.33</f>
        <v>0.20263799198987698</v>
      </c>
      <c r="S33" s="222">
        <f t="shared" si="5"/>
        <v>4.073023638996527E-3</v>
      </c>
      <c r="T33" s="222">
        <f t="shared" si="6"/>
        <v>0.20671101562887351</v>
      </c>
      <c r="V33" s="222">
        <f t="shared" si="7"/>
        <v>7.606711015628874</v>
      </c>
      <c r="W33" s="223">
        <f t="shared" si="8"/>
        <v>0</v>
      </c>
      <c r="X33" s="223">
        <f t="shared" ref="X33" si="27">W33-J33</f>
        <v>0</v>
      </c>
      <c r="Y33" s="224">
        <f t="shared" ref="Y33" si="28">X33*12</f>
        <v>0</v>
      </c>
      <c r="Z33" s="225"/>
      <c r="AA33" s="226">
        <f t="shared" ref="AA33" si="29">O33*$R$11</f>
        <v>0</v>
      </c>
      <c r="AB33" s="227">
        <f t="shared" ref="AB33" si="30">IF(I33=0,"",V33/I33-1)</f>
        <v>2.7933921030928843E-2</v>
      </c>
    </row>
    <row r="34" spans="1:28">
      <c r="A34" s="213" t="s">
        <v>212</v>
      </c>
      <c r="D34" s="214"/>
      <c r="E34" s="257">
        <v>52</v>
      </c>
      <c r="F34" s="365">
        <f t="shared" si="9"/>
        <v>0</v>
      </c>
      <c r="I34" s="216">
        <v>12.93</v>
      </c>
      <c r="J34" s="168">
        <v>0</v>
      </c>
      <c r="K34" s="168">
        <v>0</v>
      </c>
      <c r="L34" s="217">
        <f>+$L$15</f>
        <v>21</v>
      </c>
      <c r="M34" s="218">
        <f t="shared" si="10"/>
        <v>15.023631611169769</v>
      </c>
      <c r="N34" s="171">
        <f t="shared" si="2"/>
        <v>0</v>
      </c>
      <c r="O34" s="219">
        <f t="shared" si="15"/>
        <v>0</v>
      </c>
      <c r="P34" s="220"/>
      <c r="Q34" s="221">
        <f t="shared" si="3"/>
        <v>4.6798612468793757E-2</v>
      </c>
      <c r="R34" s="222">
        <f t="shared" ref="R34:R67" si="31">Q34*4.33</f>
        <v>0.20263799198987698</v>
      </c>
      <c r="S34" s="222">
        <f t="shared" si="5"/>
        <v>4.073023638996527E-3</v>
      </c>
      <c r="T34" s="222">
        <f t="shared" si="6"/>
        <v>0.20671101562887351</v>
      </c>
      <c r="V34" s="222">
        <f t="shared" si="7"/>
        <v>13.136711015628872</v>
      </c>
      <c r="W34" s="223">
        <f t="shared" si="8"/>
        <v>0</v>
      </c>
      <c r="X34" s="223">
        <f t="shared" si="11"/>
        <v>0</v>
      </c>
      <c r="Y34" s="224">
        <f t="shared" si="12"/>
        <v>0</v>
      </c>
      <c r="Z34" s="225"/>
      <c r="AA34" s="226">
        <f t="shared" si="13"/>
        <v>0</v>
      </c>
      <c r="AB34" s="227">
        <f t="shared" si="14"/>
        <v>1.5986930829765766E-2</v>
      </c>
    </row>
    <row r="35" spans="1:28">
      <c r="A35" s="213" t="s">
        <v>213</v>
      </c>
      <c r="D35" s="214"/>
      <c r="E35" s="257">
        <v>52</v>
      </c>
      <c r="F35" s="365">
        <f t="shared" si="9"/>
        <v>0</v>
      </c>
      <c r="I35" s="216">
        <v>22</v>
      </c>
      <c r="J35" s="168">
        <v>0</v>
      </c>
      <c r="K35" s="168">
        <v>0</v>
      </c>
      <c r="L35" s="217">
        <f>+$L$15*2</f>
        <v>42</v>
      </c>
      <c r="M35" s="218">
        <f t="shared" si="10"/>
        <v>30.047263222339538</v>
      </c>
      <c r="N35" s="171">
        <f t="shared" si="2"/>
        <v>0</v>
      </c>
      <c r="O35" s="219">
        <f t="shared" si="15"/>
        <v>0</v>
      </c>
      <c r="P35" s="220"/>
      <c r="Q35" s="221">
        <f t="shared" si="3"/>
        <v>9.3597224937587514E-2</v>
      </c>
      <c r="R35" s="222">
        <f t="shared" si="31"/>
        <v>0.40527598397975395</v>
      </c>
      <c r="S35" s="222">
        <f t="shared" si="5"/>
        <v>8.1460472779930539E-3</v>
      </c>
      <c r="T35" s="222">
        <f t="shared" si="6"/>
        <v>0.41342203125774701</v>
      </c>
      <c r="V35" s="222">
        <f t="shared" si="7"/>
        <v>22.413422031257745</v>
      </c>
      <c r="W35" s="223">
        <f t="shared" si="8"/>
        <v>0</v>
      </c>
      <c r="X35" s="223">
        <f t="shared" si="11"/>
        <v>0</v>
      </c>
      <c r="Y35" s="224">
        <f t="shared" si="12"/>
        <v>0</v>
      </c>
      <c r="Z35" s="225"/>
      <c r="AA35" s="226">
        <f t="shared" si="13"/>
        <v>0</v>
      </c>
      <c r="AB35" s="227">
        <f t="shared" si="14"/>
        <v>1.8791910511715804E-2</v>
      </c>
    </row>
    <row r="36" spans="1:28">
      <c r="A36" s="213" t="s">
        <v>214</v>
      </c>
      <c r="D36" s="214"/>
      <c r="E36" s="257">
        <v>52</v>
      </c>
      <c r="F36" s="365">
        <f t="shared" si="9"/>
        <v>0</v>
      </c>
      <c r="I36" s="216">
        <v>32.18</v>
      </c>
      <c r="J36" s="168">
        <v>0</v>
      </c>
      <c r="K36" s="168">
        <v>0</v>
      </c>
      <c r="L36" s="217">
        <f>+$L$15*3</f>
        <v>63</v>
      </c>
      <c r="M36" s="218">
        <f t="shared" si="10"/>
        <v>45.070894833509307</v>
      </c>
      <c r="N36" s="171">
        <f t="shared" si="2"/>
        <v>0</v>
      </c>
      <c r="O36" s="219">
        <f t="shared" si="15"/>
        <v>0</v>
      </c>
      <c r="P36" s="220"/>
      <c r="Q36" s="221">
        <f t="shared" si="3"/>
        <v>0.14039583740638126</v>
      </c>
      <c r="R36" s="222">
        <f t="shared" si="31"/>
        <v>0.60791397596963082</v>
      </c>
      <c r="S36" s="222">
        <f t="shared" si="5"/>
        <v>1.221907091698958E-2</v>
      </c>
      <c r="T36" s="222">
        <f t="shared" si="6"/>
        <v>0.62013304688662041</v>
      </c>
      <c r="V36" s="222">
        <f t="shared" si="7"/>
        <v>32.800133046886621</v>
      </c>
      <c r="W36" s="223">
        <f t="shared" si="8"/>
        <v>0</v>
      </c>
      <c r="X36" s="223">
        <f t="shared" si="11"/>
        <v>0</v>
      </c>
      <c r="Y36" s="224">
        <f t="shared" si="12"/>
        <v>0</v>
      </c>
      <c r="Z36" s="225"/>
      <c r="AA36" s="226">
        <f t="shared" si="13"/>
        <v>0</v>
      </c>
      <c r="AB36" s="227">
        <f t="shared" si="14"/>
        <v>1.9270759691939698E-2</v>
      </c>
    </row>
    <row r="37" spans="1:28">
      <c r="A37" s="213" t="s">
        <v>32</v>
      </c>
      <c r="D37" s="214"/>
      <c r="E37" s="257">
        <v>12</v>
      </c>
      <c r="F37" s="365">
        <f t="shared" si="9"/>
        <v>0</v>
      </c>
      <c r="I37" s="216">
        <v>3.99</v>
      </c>
      <c r="J37" s="168">
        <f t="shared" ref="J37:J45" si="32">D37*I37</f>
        <v>0</v>
      </c>
      <c r="K37" s="168">
        <f t="shared" si="1"/>
        <v>0</v>
      </c>
      <c r="L37" s="217">
        <f>+$L$15</f>
        <v>21</v>
      </c>
      <c r="M37" s="218">
        <f t="shared" si="10"/>
        <v>15.023631611169769</v>
      </c>
      <c r="N37" s="171">
        <f t="shared" si="2"/>
        <v>0</v>
      </c>
      <c r="O37" s="219">
        <f t="shared" si="15"/>
        <v>0</v>
      </c>
      <c r="P37" s="220"/>
      <c r="Q37" s="221">
        <f t="shared" si="3"/>
        <v>4.6798612468793757E-2</v>
      </c>
      <c r="R37" s="228">
        <f>Q37</f>
        <v>4.6798612468793757E-2</v>
      </c>
      <c r="S37" s="222">
        <f t="shared" si="5"/>
        <v>9.4065211062275449E-4</v>
      </c>
      <c r="T37" s="222">
        <f t="shared" si="6"/>
        <v>4.7739264579416511E-2</v>
      </c>
      <c r="V37" s="222">
        <f t="shared" si="7"/>
        <v>4.0377392645794163</v>
      </c>
      <c r="W37" s="223">
        <f t="shared" si="8"/>
        <v>0</v>
      </c>
      <c r="X37" s="223">
        <f t="shared" si="11"/>
        <v>0</v>
      </c>
      <c r="Y37" s="224">
        <f t="shared" si="12"/>
        <v>0</v>
      </c>
      <c r="Z37" s="225"/>
      <c r="AA37" s="226">
        <f t="shared" si="13"/>
        <v>0</v>
      </c>
      <c r="AB37" s="227">
        <f t="shared" si="14"/>
        <v>1.1964727964765887E-2</v>
      </c>
    </row>
    <row r="38" spans="1:28">
      <c r="A38" s="213" t="s">
        <v>215</v>
      </c>
      <c r="D38" s="214"/>
      <c r="E38" s="257">
        <v>12</v>
      </c>
      <c r="F38" s="365">
        <f t="shared" si="9"/>
        <v>0</v>
      </c>
      <c r="I38" s="216">
        <v>0.42</v>
      </c>
      <c r="J38" s="168">
        <f t="shared" si="32"/>
        <v>0</v>
      </c>
      <c r="K38" s="168">
        <f t="shared" si="1"/>
        <v>0</v>
      </c>
      <c r="L38" s="217"/>
      <c r="M38" s="218">
        <f t="shared" si="10"/>
        <v>0</v>
      </c>
      <c r="N38" s="171">
        <f t="shared" si="2"/>
        <v>0</v>
      </c>
      <c r="O38" s="219">
        <f t="shared" si="15"/>
        <v>0</v>
      </c>
      <c r="P38" s="220"/>
      <c r="Q38" s="221">
        <f t="shared" si="3"/>
        <v>0</v>
      </c>
      <c r="R38" s="222">
        <f t="shared" si="31"/>
        <v>0</v>
      </c>
      <c r="S38" s="222">
        <f t="shared" si="5"/>
        <v>0</v>
      </c>
      <c r="T38" s="222">
        <f t="shared" si="6"/>
        <v>0</v>
      </c>
      <c r="V38" s="222">
        <f t="shared" si="7"/>
        <v>0.42</v>
      </c>
      <c r="W38" s="223">
        <f t="shared" si="8"/>
        <v>0</v>
      </c>
      <c r="X38" s="223">
        <f t="shared" si="11"/>
        <v>0</v>
      </c>
      <c r="Y38" s="224">
        <f t="shared" si="12"/>
        <v>0</v>
      </c>
      <c r="Z38" s="225"/>
      <c r="AA38" s="226">
        <f t="shared" si="13"/>
        <v>0</v>
      </c>
      <c r="AB38" s="227">
        <f t="shared" si="14"/>
        <v>0</v>
      </c>
    </row>
    <row r="39" spans="1:28">
      <c r="A39" s="213" t="s">
        <v>216</v>
      </c>
      <c r="D39" s="214"/>
      <c r="E39" s="257">
        <v>12</v>
      </c>
      <c r="F39" s="365">
        <f t="shared" si="9"/>
        <v>0</v>
      </c>
      <c r="I39" s="216">
        <v>0.53</v>
      </c>
      <c r="J39" s="168">
        <f t="shared" si="32"/>
        <v>0</v>
      </c>
      <c r="K39" s="168">
        <f t="shared" si="1"/>
        <v>0</v>
      </c>
      <c r="L39" s="217"/>
      <c r="M39" s="218">
        <f t="shared" si="10"/>
        <v>0</v>
      </c>
      <c r="N39" s="171">
        <f t="shared" si="2"/>
        <v>0</v>
      </c>
      <c r="O39" s="219">
        <f t="shared" si="15"/>
        <v>0</v>
      </c>
      <c r="P39" s="220"/>
      <c r="Q39" s="221">
        <f t="shared" si="3"/>
        <v>0</v>
      </c>
      <c r="R39" s="222">
        <f t="shared" si="31"/>
        <v>0</v>
      </c>
      <c r="S39" s="222">
        <f t="shared" si="5"/>
        <v>0</v>
      </c>
      <c r="T39" s="222">
        <f t="shared" si="6"/>
        <v>0</v>
      </c>
      <c r="V39" s="222">
        <f t="shared" si="7"/>
        <v>0.53</v>
      </c>
      <c r="W39" s="223">
        <f t="shared" si="8"/>
        <v>0</v>
      </c>
      <c r="X39" s="223">
        <f t="shared" si="11"/>
        <v>0</v>
      </c>
      <c r="Y39" s="224">
        <f t="shared" si="12"/>
        <v>0</v>
      </c>
      <c r="Z39" s="225"/>
      <c r="AA39" s="226">
        <f t="shared" si="13"/>
        <v>0</v>
      </c>
      <c r="AB39" s="227">
        <f t="shared" si="14"/>
        <v>0</v>
      </c>
    </row>
    <row r="40" spans="1:28">
      <c r="A40" s="213" t="s">
        <v>217</v>
      </c>
      <c r="D40" s="214"/>
      <c r="E40" s="257">
        <v>12</v>
      </c>
      <c r="F40" s="365">
        <f t="shared" si="9"/>
        <v>0</v>
      </c>
      <c r="I40" s="216">
        <v>1.0900000000000001</v>
      </c>
      <c r="J40" s="168">
        <f t="shared" si="32"/>
        <v>0</v>
      </c>
      <c r="K40" s="168">
        <f t="shared" si="1"/>
        <v>0</v>
      </c>
      <c r="L40" s="217"/>
      <c r="M40" s="218">
        <f t="shared" si="10"/>
        <v>0</v>
      </c>
      <c r="N40" s="171">
        <f t="shared" si="2"/>
        <v>0</v>
      </c>
      <c r="O40" s="219">
        <f t="shared" si="15"/>
        <v>0</v>
      </c>
      <c r="P40" s="220"/>
      <c r="Q40" s="221">
        <f t="shared" si="3"/>
        <v>0</v>
      </c>
      <c r="R40" s="222">
        <f t="shared" si="31"/>
        <v>0</v>
      </c>
      <c r="S40" s="222">
        <f t="shared" si="5"/>
        <v>0</v>
      </c>
      <c r="T40" s="222">
        <f t="shared" si="6"/>
        <v>0</v>
      </c>
      <c r="V40" s="222">
        <f t="shared" si="7"/>
        <v>1.0900000000000001</v>
      </c>
      <c r="W40" s="223">
        <f t="shared" si="8"/>
        <v>0</v>
      </c>
      <c r="X40" s="223">
        <f t="shared" si="11"/>
        <v>0</v>
      </c>
      <c r="Y40" s="224">
        <f t="shared" si="12"/>
        <v>0</v>
      </c>
      <c r="Z40" s="225"/>
      <c r="AA40" s="226">
        <f t="shared" si="13"/>
        <v>0</v>
      </c>
      <c r="AB40" s="227">
        <f t="shared" si="14"/>
        <v>0</v>
      </c>
    </row>
    <row r="41" spans="1:28">
      <c r="A41" s="213" t="s">
        <v>218</v>
      </c>
      <c r="D41" s="214"/>
      <c r="E41" s="257">
        <v>12</v>
      </c>
      <c r="F41" s="365">
        <f t="shared" si="9"/>
        <v>0</v>
      </c>
      <c r="I41" s="216">
        <v>1.86</v>
      </c>
      <c r="J41" s="168">
        <f t="shared" si="32"/>
        <v>0</v>
      </c>
      <c r="K41" s="168">
        <f t="shared" si="1"/>
        <v>0</v>
      </c>
      <c r="L41" s="217"/>
      <c r="M41" s="218">
        <f t="shared" si="10"/>
        <v>0</v>
      </c>
      <c r="N41" s="171">
        <f t="shared" si="2"/>
        <v>0</v>
      </c>
      <c r="O41" s="219">
        <f t="shared" si="15"/>
        <v>0</v>
      </c>
      <c r="P41" s="220"/>
      <c r="Q41" s="221">
        <f t="shared" si="3"/>
        <v>0</v>
      </c>
      <c r="R41" s="222">
        <f t="shared" si="31"/>
        <v>0</v>
      </c>
      <c r="S41" s="222">
        <f t="shared" si="5"/>
        <v>0</v>
      </c>
      <c r="T41" s="222">
        <f t="shared" si="6"/>
        <v>0</v>
      </c>
      <c r="V41" s="222">
        <f t="shared" si="7"/>
        <v>1.86</v>
      </c>
      <c r="W41" s="223">
        <f t="shared" si="8"/>
        <v>0</v>
      </c>
      <c r="X41" s="223">
        <f t="shared" si="11"/>
        <v>0</v>
      </c>
      <c r="Y41" s="224">
        <f t="shared" si="12"/>
        <v>0</v>
      </c>
      <c r="Z41" s="225"/>
      <c r="AA41" s="226">
        <f t="shared" si="13"/>
        <v>0</v>
      </c>
      <c r="AB41" s="227">
        <f t="shared" si="14"/>
        <v>0</v>
      </c>
    </row>
    <row r="42" spans="1:28">
      <c r="A42" s="213" t="s">
        <v>219</v>
      </c>
      <c r="D42" s="214"/>
      <c r="E42" s="257">
        <v>12</v>
      </c>
      <c r="F42" s="365">
        <f t="shared" si="9"/>
        <v>0</v>
      </c>
      <c r="I42" s="216">
        <v>1.86</v>
      </c>
      <c r="J42" s="168">
        <f t="shared" si="32"/>
        <v>0</v>
      </c>
      <c r="K42" s="168">
        <f t="shared" si="1"/>
        <v>0</v>
      </c>
      <c r="L42" s="217"/>
      <c r="M42" s="218">
        <f t="shared" si="10"/>
        <v>0</v>
      </c>
      <c r="N42" s="171">
        <f t="shared" si="2"/>
        <v>0</v>
      </c>
      <c r="O42" s="219">
        <f t="shared" si="15"/>
        <v>0</v>
      </c>
      <c r="P42" s="220"/>
      <c r="Q42" s="221">
        <f t="shared" si="3"/>
        <v>0</v>
      </c>
      <c r="R42" s="222">
        <f t="shared" si="31"/>
        <v>0</v>
      </c>
      <c r="S42" s="222">
        <f t="shared" si="5"/>
        <v>0</v>
      </c>
      <c r="T42" s="222">
        <f t="shared" si="6"/>
        <v>0</v>
      </c>
      <c r="V42" s="222">
        <f t="shared" si="7"/>
        <v>1.86</v>
      </c>
      <c r="W42" s="223">
        <f t="shared" si="8"/>
        <v>0</v>
      </c>
      <c r="X42" s="223">
        <f t="shared" si="11"/>
        <v>0</v>
      </c>
      <c r="Y42" s="224">
        <f t="shared" si="12"/>
        <v>0</v>
      </c>
      <c r="Z42" s="225"/>
      <c r="AA42" s="226">
        <f t="shared" si="13"/>
        <v>0</v>
      </c>
      <c r="AB42" s="227">
        <f t="shared" si="14"/>
        <v>0</v>
      </c>
    </row>
    <row r="43" spans="1:28">
      <c r="A43" s="213" t="s">
        <v>220</v>
      </c>
      <c r="D43" s="214"/>
      <c r="E43" s="257">
        <v>12</v>
      </c>
      <c r="F43" s="365">
        <f t="shared" si="9"/>
        <v>0</v>
      </c>
      <c r="I43" s="216">
        <v>7.27</v>
      </c>
      <c r="J43" s="168">
        <f t="shared" si="32"/>
        <v>0</v>
      </c>
      <c r="K43" s="168">
        <f>J43*12</f>
        <v>0</v>
      </c>
      <c r="L43" s="217"/>
      <c r="M43" s="218">
        <f t="shared" si="10"/>
        <v>0</v>
      </c>
      <c r="N43" s="171">
        <f t="shared" si="2"/>
        <v>0</v>
      </c>
      <c r="O43" s="219">
        <f t="shared" si="15"/>
        <v>0</v>
      </c>
      <c r="P43" s="220"/>
      <c r="Q43" s="221">
        <f t="shared" si="3"/>
        <v>0</v>
      </c>
      <c r="R43" s="222">
        <f t="shared" si="31"/>
        <v>0</v>
      </c>
      <c r="S43" s="222">
        <f t="shared" si="5"/>
        <v>0</v>
      </c>
      <c r="T43" s="222">
        <f t="shared" si="6"/>
        <v>0</v>
      </c>
      <c r="V43" s="222">
        <f t="shared" si="7"/>
        <v>7.27</v>
      </c>
      <c r="W43" s="223">
        <f t="shared" si="8"/>
        <v>0</v>
      </c>
      <c r="X43" s="223">
        <f t="shared" si="11"/>
        <v>0</v>
      </c>
      <c r="Y43" s="224">
        <f t="shared" si="12"/>
        <v>0</v>
      </c>
      <c r="Z43" s="225"/>
      <c r="AA43" s="226">
        <f t="shared" si="13"/>
        <v>0</v>
      </c>
      <c r="AB43" s="227">
        <f t="shared" si="14"/>
        <v>0</v>
      </c>
    </row>
    <row r="44" spans="1:28">
      <c r="A44" s="213" t="s">
        <v>221</v>
      </c>
      <c r="D44" s="214"/>
      <c r="E44" s="257">
        <v>12</v>
      </c>
      <c r="F44" s="365">
        <f t="shared" si="9"/>
        <v>0</v>
      </c>
      <c r="I44" s="216">
        <v>11.5</v>
      </c>
      <c r="J44" s="168">
        <f t="shared" si="32"/>
        <v>0</v>
      </c>
      <c r="K44" s="168">
        <f>J44*12</f>
        <v>0</v>
      </c>
      <c r="L44" s="217"/>
      <c r="M44" s="218">
        <f t="shared" si="10"/>
        <v>0</v>
      </c>
      <c r="N44" s="171">
        <f t="shared" si="2"/>
        <v>0</v>
      </c>
      <c r="O44" s="219">
        <f t="shared" si="15"/>
        <v>0</v>
      </c>
      <c r="P44" s="220"/>
      <c r="Q44" s="221">
        <f t="shared" si="3"/>
        <v>0</v>
      </c>
      <c r="R44" s="222">
        <f t="shared" si="31"/>
        <v>0</v>
      </c>
      <c r="S44" s="222">
        <f t="shared" si="5"/>
        <v>0</v>
      </c>
      <c r="T44" s="222">
        <f t="shared" si="6"/>
        <v>0</v>
      </c>
      <c r="V44" s="222">
        <f t="shared" si="7"/>
        <v>11.5</v>
      </c>
      <c r="W44" s="223">
        <f t="shared" si="8"/>
        <v>0</v>
      </c>
      <c r="X44" s="223">
        <f t="shared" si="11"/>
        <v>0</v>
      </c>
      <c r="Y44" s="224">
        <f t="shared" si="12"/>
        <v>0</v>
      </c>
      <c r="Z44" s="225"/>
      <c r="AA44" s="226">
        <f t="shared" si="13"/>
        <v>0</v>
      </c>
      <c r="AB44" s="227">
        <f t="shared" si="14"/>
        <v>0</v>
      </c>
    </row>
    <row r="45" spans="1:28">
      <c r="A45" s="213" t="s">
        <v>222</v>
      </c>
      <c r="D45" s="214"/>
      <c r="E45" s="257">
        <v>12</v>
      </c>
      <c r="F45" s="365">
        <f t="shared" si="9"/>
        <v>0</v>
      </c>
      <c r="I45" s="216">
        <v>11.76</v>
      </c>
      <c r="J45" s="168">
        <f t="shared" si="32"/>
        <v>0</v>
      </c>
      <c r="K45" s="168">
        <f>J45*12</f>
        <v>0</v>
      </c>
      <c r="L45" s="217"/>
      <c r="M45" s="218">
        <f t="shared" si="10"/>
        <v>0</v>
      </c>
      <c r="N45" s="171">
        <f t="shared" si="2"/>
        <v>0</v>
      </c>
      <c r="O45" s="219">
        <f t="shared" si="15"/>
        <v>0</v>
      </c>
      <c r="P45" s="220"/>
      <c r="Q45" s="221">
        <f>M45*$R$12</f>
        <v>0</v>
      </c>
      <c r="R45" s="222">
        <f t="shared" si="31"/>
        <v>0</v>
      </c>
      <c r="S45" s="222">
        <f t="shared" si="5"/>
        <v>0</v>
      </c>
      <c r="T45" s="222">
        <f t="shared" si="6"/>
        <v>0</v>
      </c>
      <c r="V45" s="222">
        <f t="shared" si="7"/>
        <v>11.76</v>
      </c>
      <c r="W45" s="223">
        <f t="shared" si="8"/>
        <v>0</v>
      </c>
      <c r="X45" s="223">
        <f t="shared" si="11"/>
        <v>0</v>
      </c>
      <c r="Y45" s="224">
        <f t="shared" si="12"/>
        <v>0</v>
      </c>
      <c r="Z45" s="225"/>
      <c r="AA45" s="226">
        <f t="shared" si="13"/>
        <v>0</v>
      </c>
      <c r="AB45" s="227">
        <f t="shared" si="14"/>
        <v>0</v>
      </c>
    </row>
    <row r="46" spans="1:28">
      <c r="A46" s="229" t="s">
        <v>223</v>
      </c>
      <c r="I46" s="154"/>
      <c r="J46" s="158"/>
      <c r="K46" s="158"/>
      <c r="L46" s="217"/>
      <c r="N46" s="158"/>
      <c r="O46" s="230"/>
      <c r="AA46" s="177"/>
    </row>
    <row r="47" spans="1:28">
      <c r="A47" s="213" t="s">
        <v>119</v>
      </c>
      <c r="D47" s="214"/>
      <c r="E47" s="257">
        <v>52</v>
      </c>
      <c r="F47" s="215"/>
      <c r="I47" s="216">
        <v>8.0500000000000007</v>
      </c>
      <c r="J47" s="168">
        <f t="shared" ref="J47:J71" si="33">D47*I47</f>
        <v>0</v>
      </c>
      <c r="K47" s="168">
        <f t="shared" ref="K47:K67" si="34">J47*12</f>
        <v>0</v>
      </c>
      <c r="L47" s="217">
        <f>ROUND((L$15/32*19),2)</f>
        <v>12.47</v>
      </c>
      <c r="M47" s="231">
        <f>L47*$O$4</f>
        <v>8.9211755329184292</v>
      </c>
      <c r="N47" s="168">
        <f t="shared" ref="N47:N71" si="35">ROUND(((D47*E47*L47)/2000),2)</f>
        <v>0</v>
      </c>
      <c r="O47" s="219">
        <f>$O$4*N47</f>
        <v>0</v>
      </c>
      <c r="P47" s="225"/>
      <c r="Q47" s="221">
        <f>M47*$R$12</f>
        <v>2.7789461785040864E-2</v>
      </c>
      <c r="R47" s="222">
        <f t="shared" si="31"/>
        <v>0.12032836952922694</v>
      </c>
      <c r="S47" s="222">
        <f t="shared" ref="S47:S71" si="36">R47*$U$12</f>
        <v>2.4186002275374614E-3</v>
      </c>
      <c r="T47" s="222">
        <f t="shared" ref="T47:T71" si="37">+R47+S47</f>
        <v>0.12274696975676441</v>
      </c>
      <c r="V47" s="222">
        <f t="shared" ref="V47:V71" si="38">I47+T47</f>
        <v>8.1727469697567656</v>
      </c>
      <c r="W47" s="223">
        <f t="shared" ref="W47:W71" si="39">D47*V47</f>
        <v>0</v>
      </c>
      <c r="X47" s="223">
        <f t="shared" ref="X47:X67" si="40">W47-J47</f>
        <v>0</v>
      </c>
      <c r="Y47" s="224">
        <f t="shared" si="12"/>
        <v>0</v>
      </c>
      <c r="Z47" s="225"/>
      <c r="AA47" s="226">
        <f t="shared" ref="AA47:AA67" si="41">O47*$R$11</f>
        <v>0</v>
      </c>
      <c r="AB47" s="227">
        <f t="shared" ref="AB47:AB67" si="42">IF(I47=0,"",V47/I47-1)</f>
        <v>1.5248070777237777E-2</v>
      </c>
    </row>
    <row r="48" spans="1:28">
      <c r="A48" s="213" t="s">
        <v>120</v>
      </c>
      <c r="D48" s="214"/>
      <c r="E48" s="257">
        <v>52</v>
      </c>
      <c r="F48" s="215"/>
      <c r="I48" s="216">
        <v>12.93</v>
      </c>
      <c r="J48" s="168">
        <f t="shared" si="33"/>
        <v>0</v>
      </c>
      <c r="K48" s="168">
        <f t="shared" si="34"/>
        <v>0</v>
      </c>
      <c r="L48" s="217">
        <f>+$L$15</f>
        <v>21</v>
      </c>
      <c r="M48" s="231">
        <f t="shared" ref="M48:M71" si="43">L48*$O$4</f>
        <v>15.023631611169769</v>
      </c>
      <c r="N48" s="168">
        <f t="shared" si="35"/>
        <v>0</v>
      </c>
      <c r="O48" s="219">
        <f t="shared" ref="O48:O67" si="44">$O$4*N48</f>
        <v>0</v>
      </c>
      <c r="P48" s="225"/>
      <c r="Q48" s="221">
        <f t="shared" ref="Q48:Q67" si="45">M48*$R$12</f>
        <v>4.6798612468793757E-2</v>
      </c>
      <c r="R48" s="222">
        <f t="shared" si="31"/>
        <v>0.20263799198987698</v>
      </c>
      <c r="S48" s="222">
        <f t="shared" si="36"/>
        <v>4.073023638996527E-3</v>
      </c>
      <c r="T48" s="222">
        <f t="shared" si="37"/>
        <v>0.20671101562887351</v>
      </c>
      <c r="V48" s="222">
        <f t="shared" si="38"/>
        <v>13.136711015628872</v>
      </c>
      <c r="W48" s="223">
        <f t="shared" si="39"/>
        <v>0</v>
      </c>
      <c r="X48" s="223">
        <f t="shared" si="40"/>
        <v>0</v>
      </c>
      <c r="Y48" s="224">
        <f t="shared" si="12"/>
        <v>0</v>
      </c>
      <c r="Z48" s="225"/>
      <c r="AA48" s="226">
        <f t="shared" si="41"/>
        <v>0</v>
      </c>
      <c r="AB48" s="227">
        <f t="shared" si="42"/>
        <v>1.5986930829765766E-2</v>
      </c>
    </row>
    <row r="49" spans="1:28">
      <c r="A49" s="213" t="s">
        <v>121</v>
      </c>
      <c r="D49" s="214"/>
      <c r="E49" s="257">
        <v>52</v>
      </c>
      <c r="F49" s="215"/>
      <c r="I49" s="216">
        <v>22</v>
      </c>
      <c r="J49" s="168">
        <f t="shared" si="33"/>
        <v>0</v>
      </c>
      <c r="K49" s="168">
        <f t="shared" si="34"/>
        <v>0</v>
      </c>
      <c r="L49" s="217">
        <f>+$L$15*2</f>
        <v>42</v>
      </c>
      <c r="M49" s="231">
        <f t="shared" si="43"/>
        <v>30.047263222339538</v>
      </c>
      <c r="N49" s="168">
        <f t="shared" si="35"/>
        <v>0</v>
      </c>
      <c r="O49" s="219">
        <f t="shared" si="44"/>
        <v>0</v>
      </c>
      <c r="P49" s="225"/>
      <c r="Q49" s="221">
        <f t="shared" si="45"/>
        <v>9.3597224937587514E-2</v>
      </c>
      <c r="R49" s="222">
        <f t="shared" si="31"/>
        <v>0.40527598397975395</v>
      </c>
      <c r="S49" s="222">
        <f t="shared" si="36"/>
        <v>8.1460472779930539E-3</v>
      </c>
      <c r="T49" s="222">
        <f t="shared" si="37"/>
        <v>0.41342203125774701</v>
      </c>
      <c r="V49" s="222">
        <f t="shared" si="38"/>
        <v>22.413422031257745</v>
      </c>
      <c r="W49" s="223">
        <f t="shared" si="39"/>
        <v>0</v>
      </c>
      <c r="X49" s="223">
        <f t="shared" si="40"/>
        <v>0</v>
      </c>
      <c r="Y49" s="224">
        <f t="shared" si="12"/>
        <v>0</v>
      </c>
      <c r="Z49" s="225"/>
      <c r="AA49" s="226">
        <f t="shared" si="41"/>
        <v>0</v>
      </c>
      <c r="AB49" s="227">
        <f t="shared" si="42"/>
        <v>1.8791910511715804E-2</v>
      </c>
    </row>
    <row r="50" spans="1:28">
      <c r="A50" s="213" t="s">
        <v>122</v>
      </c>
      <c r="D50" s="214"/>
      <c r="E50" s="257">
        <v>52</v>
      </c>
      <c r="F50" s="215"/>
      <c r="I50" s="216">
        <v>32.18</v>
      </c>
      <c r="J50" s="168">
        <f t="shared" si="33"/>
        <v>0</v>
      </c>
      <c r="K50" s="168">
        <f t="shared" si="34"/>
        <v>0</v>
      </c>
      <c r="L50" s="217">
        <f>+$L$15*3</f>
        <v>63</v>
      </c>
      <c r="M50" s="231">
        <f t="shared" si="43"/>
        <v>45.070894833509307</v>
      </c>
      <c r="N50" s="168">
        <f t="shared" si="35"/>
        <v>0</v>
      </c>
      <c r="O50" s="219">
        <f t="shared" si="44"/>
        <v>0</v>
      </c>
      <c r="P50" s="225"/>
      <c r="Q50" s="221">
        <f t="shared" si="45"/>
        <v>0.14039583740638126</v>
      </c>
      <c r="R50" s="222">
        <f t="shared" si="31"/>
        <v>0.60791397596963082</v>
      </c>
      <c r="S50" s="222">
        <f t="shared" si="36"/>
        <v>1.221907091698958E-2</v>
      </c>
      <c r="T50" s="222">
        <f t="shared" si="37"/>
        <v>0.62013304688662041</v>
      </c>
      <c r="V50" s="222">
        <f t="shared" si="38"/>
        <v>32.800133046886621</v>
      </c>
      <c r="W50" s="223">
        <f t="shared" si="39"/>
        <v>0</v>
      </c>
      <c r="X50" s="223">
        <f t="shared" si="40"/>
        <v>0</v>
      </c>
      <c r="Y50" s="224">
        <f t="shared" si="12"/>
        <v>0</v>
      </c>
      <c r="Z50" s="225"/>
      <c r="AA50" s="226">
        <f t="shared" si="41"/>
        <v>0</v>
      </c>
      <c r="AB50" s="227">
        <f t="shared" si="42"/>
        <v>1.9270759691939698E-2</v>
      </c>
    </row>
    <row r="51" spans="1:28">
      <c r="A51" s="213" t="s">
        <v>123</v>
      </c>
      <c r="D51" s="214"/>
      <c r="E51" s="257">
        <v>52</v>
      </c>
      <c r="F51" s="215"/>
      <c r="I51" s="216">
        <v>43.23</v>
      </c>
      <c r="J51" s="168">
        <f t="shared" si="33"/>
        <v>0</v>
      </c>
      <c r="K51" s="168">
        <f t="shared" si="34"/>
        <v>0</v>
      </c>
      <c r="L51" s="217">
        <f>+$L$15*4</f>
        <v>84</v>
      </c>
      <c r="M51" s="231">
        <f t="shared" si="43"/>
        <v>60.094526444679076</v>
      </c>
      <c r="N51" s="168">
        <f t="shared" si="35"/>
        <v>0</v>
      </c>
      <c r="O51" s="219">
        <f t="shared" si="44"/>
        <v>0</v>
      </c>
      <c r="P51" s="225"/>
      <c r="Q51" s="221">
        <f t="shared" si="45"/>
        <v>0.18719444987517503</v>
      </c>
      <c r="R51" s="222">
        <f t="shared" si="31"/>
        <v>0.8105519679595079</v>
      </c>
      <c r="S51" s="222">
        <f t="shared" si="36"/>
        <v>1.6292094555986108E-2</v>
      </c>
      <c r="T51" s="222">
        <f t="shared" si="37"/>
        <v>0.82684406251549403</v>
      </c>
      <c r="V51" s="222">
        <f t="shared" si="38"/>
        <v>44.056844062515488</v>
      </c>
      <c r="W51" s="223">
        <f t="shared" si="39"/>
        <v>0</v>
      </c>
      <c r="X51" s="223">
        <f t="shared" si="40"/>
        <v>0</v>
      </c>
      <c r="Y51" s="224">
        <f t="shared" si="12"/>
        <v>0</v>
      </c>
      <c r="Z51" s="225"/>
      <c r="AA51" s="226">
        <f t="shared" si="41"/>
        <v>0</v>
      </c>
      <c r="AB51" s="227">
        <f t="shared" si="42"/>
        <v>1.9126626475028718E-2</v>
      </c>
    </row>
    <row r="52" spans="1:28">
      <c r="A52" s="213" t="s">
        <v>210</v>
      </c>
      <c r="D52" s="214"/>
      <c r="E52" s="257">
        <v>52</v>
      </c>
      <c r="F52" s="215"/>
      <c r="I52" s="216">
        <v>54.56</v>
      </c>
      <c r="J52" s="168">
        <f t="shared" si="33"/>
        <v>0</v>
      </c>
      <c r="K52" s="168">
        <f t="shared" si="34"/>
        <v>0</v>
      </c>
      <c r="L52" s="217">
        <f>+$L$15*5</f>
        <v>105</v>
      </c>
      <c r="M52" s="231">
        <f t="shared" si="43"/>
        <v>75.118158055848838</v>
      </c>
      <c r="N52" s="168">
        <f t="shared" si="35"/>
        <v>0</v>
      </c>
      <c r="O52" s="219">
        <f t="shared" si="44"/>
        <v>0</v>
      </c>
      <c r="P52" s="225"/>
      <c r="Q52" s="221">
        <f t="shared" si="45"/>
        <v>0.23399306234396874</v>
      </c>
      <c r="R52" s="222">
        <f t="shared" si="31"/>
        <v>1.0131899599493848</v>
      </c>
      <c r="S52" s="222">
        <f t="shared" si="36"/>
        <v>2.0365118194982632E-2</v>
      </c>
      <c r="T52" s="222">
        <f t="shared" si="37"/>
        <v>1.0335550781443674</v>
      </c>
      <c r="V52" s="222">
        <f t="shared" si="38"/>
        <v>55.593555078144369</v>
      </c>
      <c r="W52" s="223">
        <f t="shared" si="39"/>
        <v>0</v>
      </c>
      <c r="X52" s="223">
        <f t="shared" si="40"/>
        <v>0</v>
      </c>
      <c r="Y52" s="224">
        <f t="shared" si="12"/>
        <v>0</v>
      </c>
      <c r="Z52" s="225"/>
      <c r="AA52" s="226">
        <f t="shared" si="41"/>
        <v>0</v>
      </c>
      <c r="AB52" s="227">
        <f t="shared" si="42"/>
        <v>1.8943458177132833E-2</v>
      </c>
    </row>
    <row r="53" spans="1:28">
      <c r="A53" s="213" t="s">
        <v>211</v>
      </c>
      <c r="D53" s="214"/>
      <c r="E53" s="257">
        <v>52</v>
      </c>
      <c r="F53" s="215"/>
      <c r="I53" s="216">
        <v>0</v>
      </c>
      <c r="J53" s="168">
        <f t="shared" si="33"/>
        <v>0</v>
      </c>
      <c r="K53" s="168">
        <f t="shared" si="34"/>
        <v>0</v>
      </c>
      <c r="L53" s="217">
        <f>+$L$15*6</f>
        <v>126</v>
      </c>
      <c r="M53" s="231">
        <f t="shared" si="43"/>
        <v>90.141789667018614</v>
      </c>
      <c r="N53" s="168">
        <f t="shared" si="35"/>
        <v>0</v>
      </c>
      <c r="O53" s="219">
        <f t="shared" si="44"/>
        <v>0</v>
      </c>
      <c r="P53" s="225"/>
      <c r="Q53" s="221">
        <f t="shared" si="45"/>
        <v>0.28079167481276252</v>
      </c>
      <c r="R53" s="222">
        <f t="shared" si="31"/>
        <v>1.2158279519392616</v>
      </c>
      <c r="S53" s="222">
        <f t="shared" si="36"/>
        <v>2.443814183397916E-2</v>
      </c>
      <c r="T53" s="222">
        <f t="shared" si="37"/>
        <v>1.2402660937732408</v>
      </c>
      <c r="V53" s="222">
        <f t="shared" si="38"/>
        <v>1.2402660937732408</v>
      </c>
      <c r="W53" s="223">
        <f t="shared" si="39"/>
        <v>0</v>
      </c>
      <c r="X53" s="223">
        <f t="shared" si="40"/>
        <v>0</v>
      </c>
      <c r="Y53" s="224">
        <f t="shared" si="12"/>
        <v>0</v>
      </c>
      <c r="Z53" s="225"/>
      <c r="AA53" s="226">
        <f t="shared" si="41"/>
        <v>0</v>
      </c>
      <c r="AB53" s="227" t="str">
        <f t="shared" si="42"/>
        <v/>
      </c>
    </row>
    <row r="54" spans="1:28">
      <c r="A54" s="213" t="s">
        <v>113</v>
      </c>
      <c r="D54" s="214"/>
      <c r="E54" s="257">
        <v>12</v>
      </c>
      <c r="F54" s="215"/>
      <c r="I54" s="216">
        <v>4.66</v>
      </c>
      <c r="J54" s="168">
        <f t="shared" si="33"/>
        <v>0</v>
      </c>
      <c r="K54" s="168">
        <f t="shared" si="34"/>
        <v>0</v>
      </c>
      <c r="L54" s="217">
        <f>+$L$15</f>
        <v>21</v>
      </c>
      <c r="M54" s="231">
        <f t="shared" si="43"/>
        <v>15.023631611169769</v>
      </c>
      <c r="N54" s="168">
        <f t="shared" si="35"/>
        <v>0</v>
      </c>
      <c r="O54" s="219">
        <f t="shared" si="44"/>
        <v>0</v>
      </c>
      <c r="P54" s="225"/>
      <c r="Q54" s="221">
        <f t="shared" si="45"/>
        <v>4.6798612468793757E-2</v>
      </c>
      <c r="R54" s="222">
        <f t="shared" si="31"/>
        <v>0.20263799198987698</v>
      </c>
      <c r="S54" s="222">
        <f t="shared" si="36"/>
        <v>4.073023638996527E-3</v>
      </c>
      <c r="T54" s="222">
        <f t="shared" si="37"/>
        <v>0.20671101562887351</v>
      </c>
      <c r="V54" s="222">
        <f t="shared" si="38"/>
        <v>4.8667110156288738</v>
      </c>
      <c r="W54" s="223">
        <f t="shared" si="39"/>
        <v>0</v>
      </c>
      <c r="X54" s="223">
        <f t="shared" si="40"/>
        <v>0</v>
      </c>
      <c r="Y54" s="224">
        <f t="shared" si="12"/>
        <v>0</v>
      </c>
      <c r="Z54" s="225"/>
      <c r="AA54" s="226">
        <f t="shared" si="41"/>
        <v>0</v>
      </c>
      <c r="AB54" s="227">
        <f t="shared" si="42"/>
        <v>4.435858704482265E-2</v>
      </c>
    </row>
    <row r="55" spans="1:28">
      <c r="A55" s="213" t="s">
        <v>124</v>
      </c>
      <c r="D55" s="214"/>
      <c r="E55" s="257">
        <v>52</v>
      </c>
      <c r="F55" s="215"/>
      <c r="I55" s="216">
        <v>12.93</v>
      </c>
      <c r="J55" s="168">
        <f t="shared" si="33"/>
        <v>0</v>
      </c>
      <c r="K55" s="168">
        <f t="shared" si="34"/>
        <v>0</v>
      </c>
      <c r="L55" s="217">
        <f>+$L$15</f>
        <v>21</v>
      </c>
      <c r="M55" s="231">
        <f t="shared" si="43"/>
        <v>15.023631611169769</v>
      </c>
      <c r="N55" s="168">
        <f t="shared" si="35"/>
        <v>0</v>
      </c>
      <c r="O55" s="219">
        <f t="shared" si="44"/>
        <v>0</v>
      </c>
      <c r="P55" s="225"/>
      <c r="Q55" s="221">
        <f t="shared" si="45"/>
        <v>4.6798612468793757E-2</v>
      </c>
      <c r="R55" s="222">
        <f t="shared" si="31"/>
        <v>0.20263799198987698</v>
      </c>
      <c r="S55" s="222">
        <f t="shared" si="36"/>
        <v>4.073023638996527E-3</v>
      </c>
      <c r="T55" s="222">
        <f t="shared" si="37"/>
        <v>0.20671101562887351</v>
      </c>
      <c r="V55" s="222">
        <f t="shared" si="38"/>
        <v>13.136711015628872</v>
      </c>
      <c r="W55" s="223">
        <f t="shared" si="39"/>
        <v>0</v>
      </c>
      <c r="X55" s="223">
        <f t="shared" si="40"/>
        <v>0</v>
      </c>
      <c r="Y55" s="224">
        <f t="shared" si="12"/>
        <v>0</v>
      </c>
      <c r="Z55" s="225"/>
      <c r="AA55" s="226">
        <f t="shared" si="41"/>
        <v>0</v>
      </c>
      <c r="AB55" s="227">
        <f t="shared" si="42"/>
        <v>1.5986930829765766E-2</v>
      </c>
    </row>
    <row r="56" spans="1:28">
      <c r="A56" s="213" t="s">
        <v>125</v>
      </c>
      <c r="D56" s="214"/>
      <c r="E56" s="257">
        <v>52</v>
      </c>
      <c r="F56" s="215"/>
      <c r="I56" s="216">
        <v>21.92</v>
      </c>
      <c r="J56" s="168">
        <f t="shared" si="33"/>
        <v>0</v>
      </c>
      <c r="K56" s="168">
        <f t="shared" si="34"/>
        <v>0</v>
      </c>
      <c r="L56" s="217">
        <f>+$L$15*2</f>
        <v>42</v>
      </c>
      <c r="M56" s="231">
        <f t="shared" si="43"/>
        <v>30.047263222339538</v>
      </c>
      <c r="N56" s="168">
        <f t="shared" si="35"/>
        <v>0</v>
      </c>
      <c r="O56" s="219">
        <f t="shared" si="44"/>
        <v>0</v>
      </c>
      <c r="P56" s="225"/>
      <c r="Q56" s="221">
        <f t="shared" si="45"/>
        <v>9.3597224937587514E-2</v>
      </c>
      <c r="R56" s="222">
        <f t="shared" si="31"/>
        <v>0.40527598397975395</v>
      </c>
      <c r="S56" s="222">
        <f t="shared" si="36"/>
        <v>8.1460472779930539E-3</v>
      </c>
      <c r="T56" s="222">
        <f t="shared" si="37"/>
        <v>0.41342203125774701</v>
      </c>
      <c r="V56" s="222">
        <f t="shared" si="38"/>
        <v>22.333422031257747</v>
      </c>
      <c r="W56" s="223">
        <f t="shared" si="39"/>
        <v>0</v>
      </c>
      <c r="X56" s="223">
        <f t="shared" si="40"/>
        <v>0</v>
      </c>
      <c r="Y56" s="224">
        <f t="shared" si="12"/>
        <v>0</v>
      </c>
      <c r="Z56" s="225"/>
      <c r="AA56" s="226">
        <f t="shared" si="41"/>
        <v>0</v>
      </c>
      <c r="AB56" s="227">
        <f t="shared" si="42"/>
        <v>1.8860494126721861E-2</v>
      </c>
    </row>
    <row r="57" spans="1:28">
      <c r="A57" s="213" t="s">
        <v>126</v>
      </c>
      <c r="D57" s="214"/>
      <c r="E57" s="257">
        <v>52</v>
      </c>
      <c r="F57" s="215"/>
      <c r="I57" s="216">
        <v>32.01</v>
      </c>
      <c r="J57" s="168">
        <f t="shared" si="33"/>
        <v>0</v>
      </c>
      <c r="K57" s="168">
        <f t="shared" si="34"/>
        <v>0</v>
      </c>
      <c r="L57" s="217">
        <f>+$L$15*3</f>
        <v>63</v>
      </c>
      <c r="M57" s="231">
        <f t="shared" si="43"/>
        <v>45.070894833509307</v>
      </c>
      <c r="N57" s="168">
        <f t="shared" si="35"/>
        <v>0</v>
      </c>
      <c r="O57" s="219">
        <f t="shared" si="44"/>
        <v>0</v>
      </c>
      <c r="P57" s="225"/>
      <c r="Q57" s="221">
        <f t="shared" si="45"/>
        <v>0.14039583740638126</v>
      </c>
      <c r="R57" s="222">
        <f t="shared" si="31"/>
        <v>0.60791397596963082</v>
      </c>
      <c r="S57" s="222">
        <f t="shared" si="36"/>
        <v>1.221907091698958E-2</v>
      </c>
      <c r="T57" s="222">
        <f t="shared" si="37"/>
        <v>0.62013304688662041</v>
      </c>
      <c r="V57" s="222">
        <f t="shared" si="38"/>
        <v>32.63013304688662</v>
      </c>
      <c r="W57" s="223">
        <f t="shared" si="39"/>
        <v>0</v>
      </c>
      <c r="X57" s="223">
        <f t="shared" si="40"/>
        <v>0</v>
      </c>
      <c r="Y57" s="224">
        <f t="shared" si="12"/>
        <v>0</v>
      </c>
      <c r="Z57" s="225"/>
      <c r="AA57" s="226">
        <f t="shared" si="41"/>
        <v>0</v>
      </c>
      <c r="AB57" s="227">
        <f t="shared" si="42"/>
        <v>1.9373103620325516E-2</v>
      </c>
    </row>
    <row r="58" spans="1:28">
      <c r="A58" s="213" t="s">
        <v>296</v>
      </c>
      <c r="D58" s="214"/>
      <c r="E58" s="257">
        <v>52</v>
      </c>
      <c r="F58" s="215"/>
      <c r="I58" s="216">
        <v>3.5</v>
      </c>
      <c r="J58" s="168">
        <f t="shared" si="33"/>
        <v>0</v>
      </c>
      <c r="K58" s="168">
        <f t="shared" si="34"/>
        <v>0</v>
      </c>
      <c r="L58" s="217">
        <f>+$L$15</f>
        <v>21</v>
      </c>
      <c r="M58" s="231">
        <f t="shared" ref="M58" si="46">L58*$O$4</f>
        <v>15.023631611169769</v>
      </c>
      <c r="N58" s="168">
        <f t="shared" si="35"/>
        <v>0</v>
      </c>
      <c r="O58" s="219">
        <f t="shared" ref="O58" si="47">$O$4*N58</f>
        <v>0</v>
      </c>
      <c r="P58" s="225"/>
      <c r="Q58" s="221">
        <f t="shared" ref="Q58" si="48">M58*$R$12</f>
        <v>4.6798612468793757E-2</v>
      </c>
      <c r="R58" s="222">
        <f t="shared" ref="R58" si="49">Q58*4.33</f>
        <v>0.20263799198987698</v>
      </c>
      <c r="S58" s="222">
        <f t="shared" si="36"/>
        <v>4.073023638996527E-3</v>
      </c>
      <c r="T58" s="222">
        <f t="shared" si="37"/>
        <v>0.20671101562887351</v>
      </c>
      <c r="V58" s="222">
        <f t="shared" si="38"/>
        <v>3.7067110156288736</v>
      </c>
      <c r="W58" s="223">
        <f t="shared" si="39"/>
        <v>0</v>
      </c>
      <c r="X58" s="223">
        <f t="shared" ref="X58" si="50">W58-J58</f>
        <v>0</v>
      </c>
      <c r="Y58" s="224">
        <f t="shared" ref="Y58" si="51">X58*12</f>
        <v>0</v>
      </c>
      <c r="Z58" s="225"/>
      <c r="AA58" s="226">
        <f t="shared" ref="AA58" si="52">O58*$R$11</f>
        <v>0</v>
      </c>
      <c r="AB58" s="227">
        <f t="shared" ref="AB58" si="53">IF(I58=0,"",V58/I58-1)</f>
        <v>5.9060290179678177E-2</v>
      </c>
    </row>
    <row r="59" spans="1:28">
      <c r="A59" s="213" t="s">
        <v>297</v>
      </c>
      <c r="D59" s="214"/>
      <c r="E59" s="257">
        <v>52</v>
      </c>
      <c r="F59" s="215"/>
      <c r="I59" s="216">
        <v>7.4</v>
      </c>
      <c r="J59" s="168">
        <f t="shared" si="33"/>
        <v>0</v>
      </c>
      <c r="K59" s="168">
        <f t="shared" si="34"/>
        <v>0</v>
      </c>
      <c r="L59" s="217">
        <f>+$L$15</f>
        <v>21</v>
      </c>
      <c r="M59" s="231">
        <f t="shared" ref="M59" si="54">L59*$O$4</f>
        <v>15.023631611169769</v>
      </c>
      <c r="N59" s="168">
        <f t="shared" si="35"/>
        <v>0</v>
      </c>
      <c r="O59" s="219">
        <f t="shared" ref="O59" si="55">$O$4*N59</f>
        <v>0</v>
      </c>
      <c r="P59" s="225"/>
      <c r="Q59" s="221">
        <f t="shared" ref="Q59" si="56">M59*$R$12</f>
        <v>4.6798612468793757E-2</v>
      </c>
      <c r="R59" s="222">
        <f t="shared" ref="R59" si="57">Q59*4.33</f>
        <v>0.20263799198987698</v>
      </c>
      <c r="S59" s="222">
        <f t="shared" si="36"/>
        <v>4.073023638996527E-3</v>
      </c>
      <c r="T59" s="222">
        <f t="shared" si="37"/>
        <v>0.20671101562887351</v>
      </c>
      <c r="V59" s="222">
        <f t="shared" si="38"/>
        <v>7.606711015628874</v>
      </c>
      <c r="W59" s="223">
        <f t="shared" si="39"/>
        <v>0</v>
      </c>
      <c r="X59" s="223">
        <f t="shared" ref="X59" si="58">W59-J59</f>
        <v>0</v>
      </c>
      <c r="Y59" s="224">
        <f t="shared" ref="Y59" si="59">X59*12</f>
        <v>0</v>
      </c>
      <c r="Z59" s="225"/>
      <c r="AA59" s="226">
        <f t="shared" ref="AA59" si="60">O59*$R$11</f>
        <v>0</v>
      </c>
      <c r="AB59" s="227">
        <f t="shared" ref="AB59" si="61">IF(I59=0,"",V59/I59-1)</f>
        <v>2.7933921030928843E-2</v>
      </c>
    </row>
    <row r="60" spans="1:28">
      <c r="A60" s="213" t="s">
        <v>212</v>
      </c>
      <c r="D60" s="214"/>
      <c r="E60" s="257">
        <v>12</v>
      </c>
      <c r="F60" s="215"/>
      <c r="I60" s="216">
        <v>12.93</v>
      </c>
      <c r="J60" s="168">
        <f t="shared" si="33"/>
        <v>0</v>
      </c>
      <c r="K60" s="168">
        <f t="shared" si="34"/>
        <v>0</v>
      </c>
      <c r="L60" s="217">
        <f>+$L$15</f>
        <v>21</v>
      </c>
      <c r="M60" s="231">
        <f t="shared" si="43"/>
        <v>15.023631611169769</v>
      </c>
      <c r="N60" s="168">
        <f t="shared" si="35"/>
        <v>0</v>
      </c>
      <c r="O60" s="219">
        <f t="shared" si="44"/>
        <v>0</v>
      </c>
      <c r="P60" s="225"/>
      <c r="Q60" s="221">
        <f t="shared" si="45"/>
        <v>4.6798612468793757E-2</v>
      </c>
      <c r="R60" s="222">
        <f t="shared" si="31"/>
        <v>0.20263799198987698</v>
      </c>
      <c r="S60" s="222">
        <f t="shared" si="36"/>
        <v>4.073023638996527E-3</v>
      </c>
      <c r="T60" s="222">
        <f t="shared" si="37"/>
        <v>0.20671101562887351</v>
      </c>
      <c r="V60" s="222">
        <f t="shared" si="38"/>
        <v>13.136711015628872</v>
      </c>
      <c r="W60" s="223">
        <f t="shared" si="39"/>
        <v>0</v>
      </c>
      <c r="X60" s="223">
        <f t="shared" si="40"/>
        <v>0</v>
      </c>
      <c r="Y60" s="224">
        <f t="shared" si="12"/>
        <v>0</v>
      </c>
      <c r="Z60" s="225"/>
      <c r="AA60" s="226">
        <f t="shared" si="41"/>
        <v>0</v>
      </c>
      <c r="AB60" s="227">
        <f t="shared" si="42"/>
        <v>1.5986930829765766E-2</v>
      </c>
    </row>
    <row r="61" spans="1:28">
      <c r="A61" s="213" t="s">
        <v>213</v>
      </c>
      <c r="D61" s="214"/>
      <c r="E61" s="257">
        <v>12</v>
      </c>
      <c r="F61" s="215"/>
      <c r="I61" s="216">
        <v>22</v>
      </c>
      <c r="J61" s="168">
        <f t="shared" si="33"/>
        <v>0</v>
      </c>
      <c r="K61" s="168">
        <f t="shared" si="34"/>
        <v>0</v>
      </c>
      <c r="L61" s="217">
        <f>+$L$15*2</f>
        <v>42</v>
      </c>
      <c r="M61" s="231">
        <f t="shared" si="43"/>
        <v>30.047263222339538</v>
      </c>
      <c r="N61" s="168">
        <f t="shared" si="35"/>
        <v>0</v>
      </c>
      <c r="O61" s="219">
        <f t="shared" si="44"/>
        <v>0</v>
      </c>
      <c r="P61" s="225"/>
      <c r="Q61" s="221">
        <f t="shared" si="45"/>
        <v>9.3597224937587514E-2</v>
      </c>
      <c r="R61" s="222">
        <f t="shared" si="31"/>
        <v>0.40527598397975395</v>
      </c>
      <c r="S61" s="222">
        <f t="shared" si="36"/>
        <v>8.1460472779930539E-3</v>
      </c>
      <c r="T61" s="222">
        <f t="shared" si="37"/>
        <v>0.41342203125774701</v>
      </c>
      <c r="V61" s="222">
        <f t="shared" si="38"/>
        <v>22.413422031257745</v>
      </c>
      <c r="W61" s="223">
        <f t="shared" si="39"/>
        <v>0</v>
      </c>
      <c r="X61" s="223">
        <f t="shared" si="40"/>
        <v>0</v>
      </c>
      <c r="Y61" s="224">
        <f t="shared" si="12"/>
        <v>0</v>
      </c>
      <c r="Z61" s="225"/>
      <c r="AA61" s="226">
        <f t="shared" si="41"/>
        <v>0</v>
      </c>
      <c r="AB61" s="227">
        <f t="shared" si="42"/>
        <v>1.8791910511715804E-2</v>
      </c>
    </row>
    <row r="62" spans="1:28">
      <c r="A62" s="213" t="s">
        <v>214</v>
      </c>
      <c r="D62" s="214"/>
      <c r="E62" s="257">
        <v>12</v>
      </c>
      <c r="F62" s="215"/>
      <c r="I62" s="216">
        <v>32.18</v>
      </c>
      <c r="J62" s="168">
        <f t="shared" si="33"/>
        <v>0</v>
      </c>
      <c r="K62" s="168">
        <f t="shared" si="34"/>
        <v>0</v>
      </c>
      <c r="L62" s="217">
        <f>+$L$15*3</f>
        <v>63</v>
      </c>
      <c r="M62" s="231">
        <f t="shared" si="43"/>
        <v>45.070894833509307</v>
      </c>
      <c r="N62" s="168">
        <f t="shared" si="35"/>
        <v>0</v>
      </c>
      <c r="O62" s="219">
        <f t="shared" si="44"/>
        <v>0</v>
      </c>
      <c r="P62" s="225"/>
      <c r="Q62" s="221">
        <f t="shared" si="45"/>
        <v>0.14039583740638126</v>
      </c>
      <c r="R62" s="222">
        <f t="shared" si="31"/>
        <v>0.60791397596963082</v>
      </c>
      <c r="S62" s="222">
        <f t="shared" si="36"/>
        <v>1.221907091698958E-2</v>
      </c>
      <c r="T62" s="222">
        <f t="shared" si="37"/>
        <v>0.62013304688662041</v>
      </c>
      <c r="V62" s="222">
        <f t="shared" si="38"/>
        <v>32.800133046886621</v>
      </c>
      <c r="W62" s="223">
        <f t="shared" si="39"/>
        <v>0</v>
      </c>
      <c r="X62" s="223">
        <f t="shared" si="40"/>
        <v>0</v>
      </c>
      <c r="Y62" s="224">
        <f t="shared" si="12"/>
        <v>0</v>
      </c>
      <c r="Z62" s="225"/>
      <c r="AA62" s="226">
        <f t="shared" si="41"/>
        <v>0</v>
      </c>
      <c r="AB62" s="227">
        <f t="shared" si="42"/>
        <v>1.9270759691939698E-2</v>
      </c>
    </row>
    <row r="63" spans="1:28">
      <c r="A63" s="213" t="s">
        <v>32</v>
      </c>
      <c r="D63" s="214"/>
      <c r="E63" s="257">
        <v>12</v>
      </c>
      <c r="F63" s="215"/>
      <c r="I63" s="216">
        <v>3.99</v>
      </c>
      <c r="J63" s="168">
        <f t="shared" si="33"/>
        <v>0</v>
      </c>
      <c r="K63" s="168">
        <f t="shared" si="34"/>
        <v>0</v>
      </c>
      <c r="L63" s="217">
        <f>+$L$15</f>
        <v>21</v>
      </c>
      <c r="M63" s="231">
        <f t="shared" si="43"/>
        <v>15.023631611169769</v>
      </c>
      <c r="N63" s="168">
        <f t="shared" si="35"/>
        <v>0</v>
      </c>
      <c r="O63" s="219">
        <f t="shared" si="44"/>
        <v>0</v>
      </c>
      <c r="P63" s="225"/>
      <c r="Q63" s="221">
        <f t="shared" si="45"/>
        <v>4.6798612468793757E-2</v>
      </c>
      <c r="R63" s="222">
        <f>Q63</f>
        <v>4.6798612468793757E-2</v>
      </c>
      <c r="S63" s="222">
        <f t="shared" si="36"/>
        <v>9.4065211062275449E-4</v>
      </c>
      <c r="T63" s="222">
        <f t="shared" si="37"/>
        <v>4.7739264579416511E-2</v>
      </c>
      <c r="V63" s="222">
        <f t="shared" si="38"/>
        <v>4.0377392645794163</v>
      </c>
      <c r="W63" s="223">
        <f t="shared" si="39"/>
        <v>0</v>
      </c>
      <c r="X63" s="223">
        <f t="shared" si="40"/>
        <v>0</v>
      </c>
      <c r="Y63" s="224">
        <f t="shared" si="12"/>
        <v>0</v>
      </c>
      <c r="Z63" s="225"/>
      <c r="AA63" s="226">
        <f t="shared" si="41"/>
        <v>0</v>
      </c>
      <c r="AB63" s="227">
        <f t="shared" si="42"/>
        <v>1.1964727964765887E-2</v>
      </c>
    </row>
    <row r="64" spans="1:28">
      <c r="A64" s="213" t="s">
        <v>215</v>
      </c>
      <c r="D64" s="214"/>
      <c r="E64" s="257">
        <v>12</v>
      </c>
      <c r="F64" s="215"/>
      <c r="I64" s="216">
        <v>0.42</v>
      </c>
      <c r="J64" s="168">
        <f t="shared" si="33"/>
        <v>0</v>
      </c>
      <c r="K64" s="168">
        <f t="shared" si="34"/>
        <v>0</v>
      </c>
      <c r="L64" s="217"/>
      <c r="M64" s="231">
        <f t="shared" si="43"/>
        <v>0</v>
      </c>
      <c r="N64" s="168">
        <f t="shared" si="35"/>
        <v>0</v>
      </c>
      <c r="O64" s="219">
        <f t="shared" si="44"/>
        <v>0</v>
      </c>
      <c r="P64" s="225"/>
      <c r="Q64" s="221">
        <f t="shared" si="45"/>
        <v>0</v>
      </c>
      <c r="R64" s="222">
        <f t="shared" si="31"/>
        <v>0</v>
      </c>
      <c r="S64" s="222">
        <f t="shared" si="36"/>
        <v>0</v>
      </c>
      <c r="T64" s="222">
        <f t="shared" si="37"/>
        <v>0</v>
      </c>
      <c r="V64" s="222">
        <f t="shared" si="38"/>
        <v>0.42</v>
      </c>
      <c r="W64" s="223">
        <f t="shared" si="39"/>
        <v>0</v>
      </c>
      <c r="X64" s="223">
        <f t="shared" si="40"/>
        <v>0</v>
      </c>
      <c r="Y64" s="224">
        <f t="shared" si="12"/>
        <v>0</v>
      </c>
      <c r="Z64" s="225"/>
      <c r="AA64" s="226">
        <f t="shared" si="41"/>
        <v>0</v>
      </c>
      <c r="AB64" s="227">
        <f t="shared" si="42"/>
        <v>0</v>
      </c>
    </row>
    <row r="65" spans="1:29">
      <c r="A65" s="213" t="s">
        <v>216</v>
      </c>
      <c r="D65" s="214"/>
      <c r="E65" s="257">
        <v>12</v>
      </c>
      <c r="F65" s="215"/>
      <c r="I65" s="216">
        <v>0.53</v>
      </c>
      <c r="J65" s="168">
        <f t="shared" si="33"/>
        <v>0</v>
      </c>
      <c r="K65" s="168">
        <f t="shared" si="34"/>
        <v>0</v>
      </c>
      <c r="L65" s="217"/>
      <c r="M65" s="231">
        <f t="shared" si="43"/>
        <v>0</v>
      </c>
      <c r="N65" s="168">
        <f t="shared" si="35"/>
        <v>0</v>
      </c>
      <c r="O65" s="219">
        <f t="shared" si="44"/>
        <v>0</v>
      </c>
      <c r="P65" s="225"/>
      <c r="Q65" s="221">
        <f t="shared" si="45"/>
        <v>0</v>
      </c>
      <c r="R65" s="222">
        <f t="shared" si="31"/>
        <v>0</v>
      </c>
      <c r="S65" s="222">
        <f t="shared" si="36"/>
        <v>0</v>
      </c>
      <c r="T65" s="222">
        <f t="shared" si="37"/>
        <v>0</v>
      </c>
      <c r="V65" s="222">
        <f t="shared" si="38"/>
        <v>0.53</v>
      </c>
      <c r="W65" s="223">
        <f t="shared" si="39"/>
        <v>0</v>
      </c>
      <c r="X65" s="223">
        <f t="shared" si="40"/>
        <v>0</v>
      </c>
      <c r="Y65" s="224">
        <f t="shared" si="12"/>
        <v>0</v>
      </c>
      <c r="Z65" s="225"/>
      <c r="AA65" s="226">
        <f t="shared" si="41"/>
        <v>0</v>
      </c>
      <c r="AB65" s="227">
        <f t="shared" si="42"/>
        <v>0</v>
      </c>
    </row>
    <row r="66" spans="1:29">
      <c r="A66" s="213" t="s">
        <v>217</v>
      </c>
      <c r="D66" s="214"/>
      <c r="E66" s="257">
        <v>12</v>
      </c>
      <c r="F66" s="215"/>
      <c r="I66" s="216">
        <v>1.0900000000000001</v>
      </c>
      <c r="J66" s="168">
        <f t="shared" si="33"/>
        <v>0</v>
      </c>
      <c r="K66" s="168">
        <f t="shared" si="34"/>
        <v>0</v>
      </c>
      <c r="L66" s="217"/>
      <c r="M66" s="231">
        <f t="shared" si="43"/>
        <v>0</v>
      </c>
      <c r="N66" s="168">
        <f t="shared" si="35"/>
        <v>0</v>
      </c>
      <c r="O66" s="219">
        <f t="shared" si="44"/>
        <v>0</v>
      </c>
      <c r="P66" s="225"/>
      <c r="Q66" s="221">
        <f t="shared" si="45"/>
        <v>0</v>
      </c>
      <c r="R66" s="222">
        <f t="shared" si="31"/>
        <v>0</v>
      </c>
      <c r="S66" s="222">
        <f t="shared" si="36"/>
        <v>0</v>
      </c>
      <c r="T66" s="222">
        <f t="shared" si="37"/>
        <v>0</v>
      </c>
      <c r="V66" s="222">
        <f t="shared" si="38"/>
        <v>1.0900000000000001</v>
      </c>
      <c r="W66" s="223">
        <f t="shared" si="39"/>
        <v>0</v>
      </c>
      <c r="X66" s="223">
        <f t="shared" si="40"/>
        <v>0</v>
      </c>
      <c r="Y66" s="224">
        <f t="shared" si="12"/>
        <v>0</v>
      </c>
      <c r="Z66" s="225"/>
      <c r="AA66" s="226">
        <f t="shared" si="41"/>
        <v>0</v>
      </c>
      <c r="AB66" s="227">
        <f t="shared" si="42"/>
        <v>0</v>
      </c>
    </row>
    <row r="67" spans="1:29">
      <c r="A67" s="213" t="s">
        <v>218</v>
      </c>
      <c r="D67" s="214"/>
      <c r="E67" s="257">
        <v>12</v>
      </c>
      <c r="F67" s="215"/>
      <c r="I67" s="216">
        <v>1.86</v>
      </c>
      <c r="J67" s="168">
        <f t="shared" si="33"/>
        <v>0</v>
      </c>
      <c r="K67" s="168">
        <f t="shared" si="34"/>
        <v>0</v>
      </c>
      <c r="L67" s="217"/>
      <c r="M67" s="231">
        <f t="shared" si="43"/>
        <v>0</v>
      </c>
      <c r="N67" s="168">
        <f t="shared" si="35"/>
        <v>0</v>
      </c>
      <c r="O67" s="219">
        <f t="shared" si="44"/>
        <v>0</v>
      </c>
      <c r="P67" s="225"/>
      <c r="Q67" s="221">
        <f t="shared" si="45"/>
        <v>0</v>
      </c>
      <c r="R67" s="222">
        <f t="shared" si="31"/>
        <v>0</v>
      </c>
      <c r="S67" s="222">
        <f t="shared" si="36"/>
        <v>0</v>
      </c>
      <c r="T67" s="222">
        <f t="shared" si="37"/>
        <v>0</v>
      </c>
      <c r="V67" s="222">
        <f t="shared" si="38"/>
        <v>1.86</v>
      </c>
      <c r="W67" s="223">
        <f t="shared" si="39"/>
        <v>0</v>
      </c>
      <c r="X67" s="223">
        <f t="shared" si="40"/>
        <v>0</v>
      </c>
      <c r="Y67" s="224">
        <f t="shared" si="12"/>
        <v>0</v>
      </c>
      <c r="Z67" s="225"/>
      <c r="AA67" s="226">
        <f t="shared" si="41"/>
        <v>0</v>
      </c>
      <c r="AB67" s="227">
        <f t="shared" si="42"/>
        <v>0</v>
      </c>
    </row>
    <row r="68" spans="1:29">
      <c r="A68" s="213" t="s">
        <v>219</v>
      </c>
      <c r="D68" s="214"/>
      <c r="E68" s="257">
        <v>12</v>
      </c>
      <c r="F68" s="215"/>
      <c r="I68" s="216">
        <v>1.86</v>
      </c>
      <c r="J68" s="168">
        <f t="shared" si="33"/>
        <v>0</v>
      </c>
      <c r="K68" s="168">
        <f>J68*12</f>
        <v>0</v>
      </c>
      <c r="L68" s="217"/>
      <c r="M68" s="231">
        <f t="shared" si="43"/>
        <v>0</v>
      </c>
      <c r="N68" s="168">
        <f t="shared" si="35"/>
        <v>0</v>
      </c>
      <c r="O68" s="219">
        <f>$O$4*N68</f>
        <v>0</v>
      </c>
      <c r="P68" s="225"/>
      <c r="Q68" s="221">
        <f>M68*$R$12</f>
        <v>0</v>
      </c>
      <c r="R68" s="222">
        <f>Q68*4.33</f>
        <v>0</v>
      </c>
      <c r="S68" s="222">
        <f t="shared" si="36"/>
        <v>0</v>
      </c>
      <c r="T68" s="222">
        <f t="shared" si="37"/>
        <v>0</v>
      </c>
      <c r="V68" s="222">
        <f t="shared" si="38"/>
        <v>1.86</v>
      </c>
      <c r="W68" s="223">
        <f t="shared" si="39"/>
        <v>0</v>
      </c>
      <c r="X68" s="223">
        <f>W68-J68</f>
        <v>0</v>
      </c>
      <c r="Y68" s="224">
        <f>X68*12</f>
        <v>0</v>
      </c>
      <c r="Z68" s="225"/>
      <c r="AA68" s="226">
        <f>O68*$R$11</f>
        <v>0</v>
      </c>
      <c r="AB68" s="227">
        <f>IF(I68=0,"",V68/I68-1)</f>
        <v>0</v>
      </c>
    </row>
    <row r="69" spans="1:29">
      <c r="A69" s="213" t="s">
        <v>220</v>
      </c>
      <c r="D69" s="214"/>
      <c r="E69" s="257">
        <v>12</v>
      </c>
      <c r="F69" s="215"/>
      <c r="I69" s="216">
        <v>7.27</v>
      </c>
      <c r="J69" s="168">
        <f t="shared" si="33"/>
        <v>0</v>
      </c>
      <c r="K69" s="168">
        <f>J69*12</f>
        <v>0</v>
      </c>
      <c r="L69" s="217"/>
      <c r="M69" s="231">
        <f t="shared" si="43"/>
        <v>0</v>
      </c>
      <c r="N69" s="168">
        <f t="shared" si="35"/>
        <v>0</v>
      </c>
      <c r="O69" s="219">
        <f>$O$4*N69</f>
        <v>0</v>
      </c>
      <c r="P69" s="225"/>
      <c r="Q69" s="221">
        <f>M69*$R$12</f>
        <v>0</v>
      </c>
      <c r="R69" s="222">
        <f>Q69*4.33</f>
        <v>0</v>
      </c>
      <c r="S69" s="222">
        <f t="shared" si="36"/>
        <v>0</v>
      </c>
      <c r="T69" s="222">
        <f t="shared" si="37"/>
        <v>0</v>
      </c>
      <c r="V69" s="222">
        <f t="shared" si="38"/>
        <v>7.27</v>
      </c>
      <c r="W69" s="223">
        <f t="shared" si="39"/>
        <v>0</v>
      </c>
      <c r="X69" s="223">
        <f>W69-J69</f>
        <v>0</v>
      </c>
      <c r="Y69" s="224">
        <f>X69*12</f>
        <v>0</v>
      </c>
      <c r="Z69" s="225"/>
      <c r="AA69" s="226">
        <f>O69*$R$11</f>
        <v>0</v>
      </c>
      <c r="AB69" s="227">
        <f>IF(I69=0,"",V69/I69-1)</f>
        <v>0</v>
      </c>
    </row>
    <row r="70" spans="1:29">
      <c r="A70" s="213" t="s">
        <v>221</v>
      </c>
      <c r="D70" s="214"/>
      <c r="E70" s="257">
        <v>12</v>
      </c>
      <c r="F70" s="215"/>
      <c r="I70" s="216">
        <v>11.5</v>
      </c>
      <c r="J70" s="168">
        <f t="shared" si="33"/>
        <v>0</v>
      </c>
      <c r="K70" s="168">
        <f>J70*12</f>
        <v>0</v>
      </c>
      <c r="L70" s="217"/>
      <c r="M70" s="231">
        <f t="shared" si="43"/>
        <v>0</v>
      </c>
      <c r="N70" s="168">
        <f t="shared" si="35"/>
        <v>0</v>
      </c>
      <c r="O70" s="219">
        <f>$O$4*N70</f>
        <v>0</v>
      </c>
      <c r="P70" s="225"/>
      <c r="Q70" s="221">
        <f>M70*$R$12</f>
        <v>0</v>
      </c>
      <c r="R70" s="222">
        <f>Q70*4.33</f>
        <v>0</v>
      </c>
      <c r="S70" s="222">
        <f t="shared" si="36"/>
        <v>0</v>
      </c>
      <c r="T70" s="222">
        <f t="shared" si="37"/>
        <v>0</v>
      </c>
      <c r="V70" s="222">
        <f t="shared" si="38"/>
        <v>11.5</v>
      </c>
      <c r="W70" s="223">
        <f t="shared" si="39"/>
        <v>0</v>
      </c>
      <c r="X70" s="223">
        <f>W70-J70</f>
        <v>0</v>
      </c>
      <c r="Y70" s="224">
        <f>X70*12</f>
        <v>0</v>
      </c>
      <c r="Z70" s="225"/>
      <c r="AA70" s="226">
        <f>O70*$R$11</f>
        <v>0</v>
      </c>
      <c r="AB70" s="227">
        <f>IF(I70=0,"",V70/I70-1)</f>
        <v>0</v>
      </c>
    </row>
    <row r="71" spans="1:29">
      <c r="A71" s="213" t="s">
        <v>222</v>
      </c>
      <c r="D71" s="214"/>
      <c r="E71" s="257">
        <v>12</v>
      </c>
      <c r="F71" s="215"/>
      <c r="I71" s="216">
        <v>11.76</v>
      </c>
      <c r="J71" s="168">
        <f t="shared" si="33"/>
        <v>0</v>
      </c>
      <c r="K71" s="168">
        <f>J71*12</f>
        <v>0</v>
      </c>
      <c r="L71" s="217"/>
      <c r="M71" s="231">
        <f t="shared" si="43"/>
        <v>0</v>
      </c>
      <c r="N71" s="168">
        <f t="shared" si="35"/>
        <v>0</v>
      </c>
      <c r="O71" s="219">
        <f>$O$4*N71</f>
        <v>0</v>
      </c>
      <c r="P71" s="225"/>
      <c r="Q71" s="221">
        <f>M71*$R$12</f>
        <v>0</v>
      </c>
      <c r="R71" s="222">
        <f>Q71*4.33</f>
        <v>0</v>
      </c>
      <c r="S71" s="222">
        <f t="shared" si="36"/>
        <v>0</v>
      </c>
      <c r="T71" s="222">
        <f t="shared" si="37"/>
        <v>0</v>
      </c>
      <c r="V71" s="222">
        <f t="shared" si="38"/>
        <v>11.76</v>
      </c>
      <c r="W71" s="223">
        <f t="shared" si="39"/>
        <v>0</v>
      </c>
      <c r="X71" s="223">
        <f>W71-J71</f>
        <v>0</v>
      </c>
      <c r="Y71" s="224">
        <f>X71*12</f>
        <v>0</v>
      </c>
      <c r="Z71" s="225"/>
      <c r="AA71" s="226">
        <f>O71*$R$11</f>
        <v>0</v>
      </c>
      <c r="AB71" s="227">
        <f>IF(I71=0,"",V71/I71-1)</f>
        <v>0</v>
      </c>
    </row>
    <row r="72" spans="1:29">
      <c r="A72" s="213"/>
      <c r="D72" s="232"/>
      <c r="J72" s="233"/>
      <c r="K72" s="233"/>
      <c r="L72" s="217"/>
      <c r="M72" s="234"/>
      <c r="N72" s="233"/>
      <c r="O72" s="235"/>
      <c r="P72" s="236"/>
      <c r="Q72" s="237"/>
      <c r="R72" s="238"/>
      <c r="S72" s="238"/>
      <c r="T72" s="238"/>
      <c r="V72" s="238"/>
      <c r="W72" s="239"/>
      <c r="X72" s="239"/>
      <c r="Y72" s="240"/>
      <c r="Z72" s="236"/>
      <c r="AA72" s="239"/>
      <c r="AB72" s="241"/>
    </row>
    <row r="73" spans="1:29">
      <c r="A73" s="213"/>
      <c r="D73" s="242"/>
      <c r="J73" s="158"/>
      <c r="K73" s="158"/>
      <c r="L73" s="217"/>
      <c r="N73" s="158"/>
      <c r="O73" s="230"/>
      <c r="AA73" s="177"/>
    </row>
    <row r="74" spans="1:29">
      <c r="A74" s="213"/>
      <c r="C74" s="243"/>
      <c r="D74" s="244">
        <f>SUM(D21:D73)-D37</f>
        <v>10385.666666666673</v>
      </c>
      <c r="E74" s="366"/>
      <c r="F74" s="367">
        <f>SUM(F21:F73)</f>
        <v>540054.66666666709</v>
      </c>
      <c r="I74" s="244"/>
      <c r="J74" s="244">
        <f>SUM(J21:J73)</f>
        <v>181637.83083333349</v>
      </c>
      <c r="K74" s="244">
        <f>SUM(K21:K73)</f>
        <v>2179653.9700000016</v>
      </c>
      <c r="L74" s="245">
        <f>SUM(L21:L73)</f>
        <v>1578.94</v>
      </c>
      <c r="M74" s="231"/>
      <c r="N74" s="244">
        <f>SUM(N21:N73)</f>
        <v>8540.7900000000009</v>
      </c>
      <c r="O74" s="244">
        <f>SUM(O21:O73)</f>
        <v>6110.1753632553646</v>
      </c>
      <c r="P74" s="225"/>
      <c r="Q74" s="225"/>
      <c r="R74" s="225"/>
      <c r="S74" s="225"/>
      <c r="T74" s="225"/>
      <c r="V74" s="225"/>
      <c r="W74" s="223">
        <f>SUM(W21:W73)</f>
        <v>184871.30854672176</v>
      </c>
      <c r="X74" s="223">
        <f>SUM(X21:X73)</f>
        <v>3233.4777133882926</v>
      </c>
      <c r="Y74" s="223">
        <f>SUM(Y21:Y73)</f>
        <v>38801.732560659511</v>
      </c>
      <c r="Z74" s="225"/>
      <c r="AA74" s="224">
        <f>SUM(AA21:AA73)</f>
        <v>38066.392513080864</v>
      </c>
    </row>
    <row r="75" spans="1:29">
      <c r="A75" s="213"/>
      <c r="F75" s="242"/>
      <c r="I75" s="246"/>
      <c r="J75" s="158"/>
      <c r="K75" s="158"/>
      <c r="N75" s="158"/>
      <c r="O75" s="230"/>
      <c r="AA75" s="247"/>
    </row>
    <row r="76" spans="1:29" ht="15" customHeight="1" thickBot="1">
      <c r="A76" s="213"/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9"/>
      <c r="N76" s="250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51"/>
      <c r="AB76" s="185"/>
    </row>
    <row r="77" spans="1:29" s="185" customFormat="1">
      <c r="A77" s="252" t="s">
        <v>224</v>
      </c>
      <c r="B77" s="157" t="s">
        <v>225</v>
      </c>
      <c r="C77" s="157" t="s">
        <v>226</v>
      </c>
      <c r="D77" s="195" t="s">
        <v>227</v>
      </c>
      <c r="E77" s="195" t="s">
        <v>228</v>
      </c>
      <c r="F77" s="195" t="s">
        <v>293</v>
      </c>
      <c r="G77" s="153"/>
      <c r="H77" s="153" t="s">
        <v>295</v>
      </c>
      <c r="I77" s="153"/>
      <c r="J77" s="253"/>
      <c r="K77" s="158"/>
      <c r="L77" s="158"/>
      <c r="M77" s="153"/>
      <c r="N77" s="154"/>
      <c r="O77" s="158"/>
      <c r="P77" s="230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77"/>
      <c r="AC77" s="155"/>
    </row>
    <row r="78" spans="1:29" ht="12">
      <c r="A78" s="254" t="s">
        <v>133</v>
      </c>
      <c r="B78" s="255">
        <v>30.33</v>
      </c>
      <c r="C78" s="256">
        <f>B78*4.3333</f>
        <v>131.428989</v>
      </c>
      <c r="D78" s="257">
        <v>0.158</v>
      </c>
      <c r="E78" s="258">
        <f>C78*D78</f>
        <v>20.765780262</v>
      </c>
      <c r="F78" s="265">
        <f>C78*12</f>
        <v>1577.147868</v>
      </c>
      <c r="G78" s="259">
        <f>B78</f>
        <v>30.33</v>
      </c>
      <c r="H78" s="215">
        <v>52</v>
      </c>
      <c r="I78" s="216">
        <v>3.53</v>
      </c>
      <c r="J78" s="168">
        <f>+C78*I78</f>
        <v>463.94433117</v>
      </c>
      <c r="K78" s="171">
        <f>J78*12</f>
        <v>5567.3319740400002</v>
      </c>
      <c r="L78" s="260">
        <f>+D78*L$16</f>
        <v>22.91</v>
      </c>
      <c r="M78" s="231">
        <f>L78*$O$5</f>
        <v>16.390066676757115</v>
      </c>
      <c r="N78" s="261">
        <f>ROUND((C78*L78*12)/2000,2)</f>
        <v>18.07</v>
      </c>
      <c r="O78" s="262">
        <f>$O$5*N78</f>
        <v>12.927477295897035</v>
      </c>
      <c r="P78" s="227"/>
      <c r="Q78" s="221">
        <f t="shared" ref="Q78:Q141" si="62">M78*$R$12</f>
        <v>5.105505769809833E-2</v>
      </c>
      <c r="R78" s="222">
        <f>Q78*4.33</f>
        <v>0.22106839983276577</v>
      </c>
      <c r="S78" s="222">
        <f t="shared" ref="S78:S109" si="63">Q78*$U$12</f>
        <v>1.0262066597317764E-3</v>
      </c>
      <c r="T78" s="222">
        <f t="shared" ref="T78:T109" si="64">+Q78+S78</f>
        <v>5.2081264357830108E-2</v>
      </c>
      <c r="V78" s="222">
        <f t="shared" ref="V78:V109" si="65">I78+T78</f>
        <v>3.5820812643578299</v>
      </c>
      <c r="W78" s="223">
        <f>C78*V78</f>
        <v>470.7893190903913</v>
      </c>
      <c r="X78" s="223">
        <f>W78-J78</f>
        <v>6.8449879203913042</v>
      </c>
      <c r="Y78" s="224">
        <f>X78*12</f>
        <v>82.139855044695651</v>
      </c>
      <c r="Z78" s="225"/>
      <c r="AA78" s="223">
        <f>O78*$R$11</f>
        <v>80.538183553438387</v>
      </c>
      <c r="AB78" s="227">
        <f t="shared" ref="AB78:AB141" si="66">IF(I78=0,"",V78/I78-1)</f>
        <v>1.4753899251509939E-2</v>
      </c>
    </row>
    <row r="79" spans="1:29" ht="12">
      <c r="A79" s="254" t="s">
        <v>134</v>
      </c>
      <c r="B79" s="255">
        <v>9</v>
      </c>
      <c r="C79" s="256">
        <f>B79*4.3333</f>
        <v>38.999700000000004</v>
      </c>
      <c r="D79" s="257">
        <v>0.316</v>
      </c>
      <c r="E79" s="258">
        <f t="shared" ref="E79:E152" si="67">C79*D79</f>
        <v>12.323905200000002</v>
      </c>
      <c r="F79" s="265">
        <f t="shared" ref="F79:F152" si="68">C79*12</f>
        <v>467.99640000000005</v>
      </c>
      <c r="G79" s="259">
        <f>B79</f>
        <v>9</v>
      </c>
      <c r="H79" s="215">
        <v>52</v>
      </c>
      <c r="I79" s="216">
        <v>6.78</v>
      </c>
      <c r="J79" s="168">
        <f>+C79*I79</f>
        <v>264.41796600000004</v>
      </c>
      <c r="K79" s="171">
        <f t="shared" ref="K79:K152" si="69">J79*12</f>
        <v>3173.0155920000007</v>
      </c>
      <c r="L79" s="260">
        <f>+D79*L$16</f>
        <v>45.82</v>
      </c>
      <c r="M79" s="231">
        <f t="shared" ref="M79:M152" si="70">L79*$O$5</f>
        <v>32.780133353514231</v>
      </c>
      <c r="N79" s="261">
        <f>ROUND((C79*L79*12)/2000,2)</f>
        <v>10.72</v>
      </c>
      <c r="O79" s="262">
        <f t="shared" ref="O79:O152" si="71">$O$5*N79</f>
        <v>7.6692062319876158</v>
      </c>
      <c r="P79" s="225"/>
      <c r="Q79" s="221">
        <f t="shared" si="62"/>
        <v>0.10211011539619666</v>
      </c>
      <c r="R79" s="222">
        <f t="shared" ref="R79:R142" si="72">Q79*4.33</f>
        <v>0.44213679966553154</v>
      </c>
      <c r="S79" s="222">
        <f t="shared" si="63"/>
        <v>2.0524133194635527E-3</v>
      </c>
      <c r="T79" s="222">
        <f t="shared" si="64"/>
        <v>0.10416252871566022</v>
      </c>
      <c r="V79" s="222">
        <f t="shared" si="65"/>
        <v>6.8841625287156605</v>
      </c>
      <c r="W79" s="223">
        <f>C79*V79</f>
        <v>268.48027337115218</v>
      </c>
      <c r="X79" s="223">
        <f t="shared" ref="X79:X140" si="73">W79-J79</f>
        <v>4.0623073711521442</v>
      </c>
      <c r="Y79" s="224">
        <f t="shared" ref="Y79:Y141" si="74">X79*12</f>
        <v>48.747688453825731</v>
      </c>
      <c r="Z79" s="225"/>
      <c r="AA79" s="223">
        <f t="shared" ref="AA79:AA141" si="75">O79*$R$11</f>
        <v>47.779154825282767</v>
      </c>
      <c r="AB79" s="227">
        <f t="shared" si="66"/>
        <v>1.5363204825318721E-2</v>
      </c>
    </row>
    <row r="80" spans="1:29" ht="12">
      <c r="A80" s="254" t="s">
        <v>135</v>
      </c>
      <c r="B80" s="255">
        <v>54</v>
      </c>
      <c r="C80" s="256">
        <f>B80*4.3333</f>
        <v>233.99820000000003</v>
      </c>
      <c r="D80" s="257">
        <v>0.47399999999999998</v>
      </c>
      <c r="E80" s="258">
        <f t="shared" si="67"/>
        <v>110.9151468</v>
      </c>
      <c r="F80" s="265">
        <f t="shared" si="68"/>
        <v>2807.9784000000004</v>
      </c>
      <c r="G80" s="259">
        <f>B80</f>
        <v>54</v>
      </c>
      <c r="H80" s="215">
        <v>52</v>
      </c>
      <c r="I80" s="216">
        <v>8.5399999999999991</v>
      </c>
      <c r="J80" s="168">
        <f>+C80*I80</f>
        <v>1998.3446280000001</v>
      </c>
      <c r="K80" s="171">
        <f t="shared" si="69"/>
        <v>23980.135536000002</v>
      </c>
      <c r="L80" s="260">
        <f>+D80*L$16</f>
        <v>68.72999999999999</v>
      </c>
      <c r="M80" s="231">
        <f t="shared" si="70"/>
        <v>49.170200030271339</v>
      </c>
      <c r="N80" s="261">
        <f>ROUND((C80*L80*12)/2000,2)</f>
        <v>96.5</v>
      </c>
      <c r="O80" s="262">
        <f t="shared" si="71"/>
        <v>69.037164308470608</v>
      </c>
      <c r="P80" s="225"/>
      <c r="Q80" s="221">
        <f t="shared" si="62"/>
        <v>0.15316517309429498</v>
      </c>
      <c r="R80" s="222">
        <f t="shared" si="72"/>
        <v>0.66320519949829726</v>
      </c>
      <c r="S80" s="222">
        <f t="shared" si="63"/>
        <v>3.0786199791953289E-3</v>
      </c>
      <c r="T80" s="222">
        <f t="shared" si="64"/>
        <v>0.15624379307349032</v>
      </c>
      <c r="V80" s="222">
        <f t="shared" si="65"/>
        <v>8.6962437930734886</v>
      </c>
      <c r="W80" s="223">
        <f>C80*V80</f>
        <v>2034.905394340369</v>
      </c>
      <c r="X80" s="223">
        <f t="shared" si="73"/>
        <v>36.5607663403689</v>
      </c>
      <c r="Y80" s="224">
        <f t="shared" si="74"/>
        <v>438.7291960844268</v>
      </c>
      <c r="Z80" s="225"/>
      <c r="AA80" s="223">
        <f t="shared" si="75"/>
        <v>430.1015336417712</v>
      </c>
      <c r="AB80" s="227">
        <f t="shared" si="66"/>
        <v>1.8295526121017591E-2</v>
      </c>
    </row>
    <row r="81" spans="1:28" ht="12">
      <c r="A81" s="254" t="s">
        <v>282</v>
      </c>
      <c r="B81" s="255"/>
      <c r="C81" s="256">
        <f t="shared" ref="C81:C86" si="76">B81*4.3333</f>
        <v>0</v>
      </c>
      <c r="D81" s="257">
        <v>0.16</v>
      </c>
      <c r="E81" s="258">
        <f t="shared" ref="E81:E83" si="77">C81*D81</f>
        <v>0</v>
      </c>
      <c r="F81" s="265">
        <f t="shared" ref="F81:F83" si="78">C81*12</f>
        <v>0</v>
      </c>
      <c r="G81" s="259">
        <f t="shared" ref="G81:G83" si="79">B81</f>
        <v>0</v>
      </c>
      <c r="H81" s="215">
        <v>52</v>
      </c>
      <c r="I81" s="216">
        <v>7.4</v>
      </c>
      <c r="J81" s="168">
        <f t="shared" ref="J81:J86" si="80">+C81*I81</f>
        <v>0</v>
      </c>
      <c r="K81" s="171">
        <f t="shared" ref="K81:K86" si="81">J81*12</f>
        <v>0</v>
      </c>
      <c r="L81" s="260">
        <f t="shared" ref="L81:L86" si="82">+D81*L$16</f>
        <v>23.2</v>
      </c>
      <c r="M81" s="231">
        <f t="shared" ref="M81:M86" si="83">L81*$O$5</f>
        <v>16.597535875197078</v>
      </c>
      <c r="N81" s="261">
        <f t="shared" ref="N81:N83" si="84">ROUND((C81*L81*12)/2000,2)</f>
        <v>0</v>
      </c>
      <c r="O81" s="262">
        <f t="shared" ref="O81:O83" si="85">$O$5*N81</f>
        <v>0</v>
      </c>
      <c r="P81" s="225"/>
      <c r="Q81" s="221">
        <f t="shared" ref="Q81:Q83" si="86">M81*$R$12</f>
        <v>5.1701324251238814E-2</v>
      </c>
      <c r="R81" s="222">
        <f t="shared" si="72"/>
        <v>0.22386673400786408</v>
      </c>
      <c r="S81" s="222">
        <f t="shared" si="63"/>
        <v>1.0391966174499001E-3</v>
      </c>
      <c r="T81" s="222">
        <f t="shared" si="64"/>
        <v>5.2740520868688717E-2</v>
      </c>
      <c r="V81" s="222">
        <f t="shared" si="65"/>
        <v>7.452740520868689</v>
      </c>
      <c r="W81" s="223">
        <f t="shared" ref="W81:W83" si="87">C81*V81</f>
        <v>0</v>
      </c>
      <c r="X81" s="223">
        <f t="shared" ref="X81:X83" si="88">W81-J81</f>
        <v>0</v>
      </c>
      <c r="Y81" s="224">
        <f t="shared" ref="Y81:Y83" si="89">X81*12</f>
        <v>0</v>
      </c>
      <c r="Z81" s="225"/>
      <c r="AA81" s="223">
        <f t="shared" ref="AA81:AA87" si="90">O81*$R$11</f>
        <v>0</v>
      </c>
      <c r="AB81" s="227">
        <f t="shared" ref="AB81:AB87" si="91">IF(I81=0,"",V81/I81-1)</f>
        <v>7.1270974146877553E-3</v>
      </c>
    </row>
    <row r="82" spans="1:28" ht="12">
      <c r="A82" s="254" t="s">
        <v>283</v>
      </c>
      <c r="B82" s="255"/>
      <c r="C82" s="256">
        <f t="shared" si="76"/>
        <v>0</v>
      </c>
      <c r="D82" s="257">
        <v>0.32</v>
      </c>
      <c r="E82" s="258">
        <f t="shared" si="77"/>
        <v>0</v>
      </c>
      <c r="F82" s="265">
        <f t="shared" si="78"/>
        <v>0</v>
      </c>
      <c r="G82" s="259">
        <f t="shared" si="79"/>
        <v>0</v>
      </c>
      <c r="H82" s="215">
        <v>52</v>
      </c>
      <c r="I82" s="216">
        <v>9.9499999999999993</v>
      </c>
      <c r="J82" s="168">
        <f t="shared" si="80"/>
        <v>0</v>
      </c>
      <c r="K82" s="171">
        <f t="shared" si="81"/>
        <v>0</v>
      </c>
      <c r="L82" s="260">
        <f t="shared" si="82"/>
        <v>46.4</v>
      </c>
      <c r="M82" s="231">
        <f t="shared" si="83"/>
        <v>33.195071750394156</v>
      </c>
      <c r="N82" s="261">
        <f t="shared" si="84"/>
        <v>0</v>
      </c>
      <c r="O82" s="262">
        <f t="shared" si="85"/>
        <v>0</v>
      </c>
      <c r="P82" s="225"/>
      <c r="Q82" s="221">
        <f t="shared" si="86"/>
        <v>0.10340264850247763</v>
      </c>
      <c r="R82" s="222">
        <f t="shared" si="72"/>
        <v>0.44773346801572816</v>
      </c>
      <c r="S82" s="222">
        <f t="shared" si="63"/>
        <v>2.0783932348998001E-3</v>
      </c>
      <c r="T82" s="222">
        <f t="shared" si="64"/>
        <v>0.10548104173737743</v>
      </c>
      <c r="V82" s="222">
        <f t="shared" si="65"/>
        <v>10.055481041737377</v>
      </c>
      <c r="W82" s="223">
        <f t="shared" si="87"/>
        <v>0</v>
      </c>
      <c r="X82" s="223">
        <f t="shared" si="88"/>
        <v>0</v>
      </c>
      <c r="Y82" s="224">
        <f t="shared" si="89"/>
        <v>0</v>
      </c>
      <c r="Z82" s="225"/>
      <c r="AA82" s="223">
        <f t="shared" si="90"/>
        <v>0</v>
      </c>
      <c r="AB82" s="227">
        <f t="shared" si="91"/>
        <v>1.0601109722349511E-2</v>
      </c>
    </row>
    <row r="83" spans="1:28" ht="12">
      <c r="A83" s="254" t="s">
        <v>284</v>
      </c>
      <c r="B83" s="255"/>
      <c r="C83" s="256">
        <f t="shared" si="76"/>
        <v>0</v>
      </c>
      <c r="D83" s="257">
        <v>0.47</v>
      </c>
      <c r="E83" s="258">
        <f t="shared" si="77"/>
        <v>0</v>
      </c>
      <c r="F83" s="265">
        <f t="shared" si="78"/>
        <v>0</v>
      </c>
      <c r="G83" s="259">
        <f t="shared" si="79"/>
        <v>0</v>
      </c>
      <c r="H83" s="215">
        <v>52</v>
      </c>
      <c r="I83" s="216">
        <v>11.17</v>
      </c>
      <c r="J83" s="168">
        <f t="shared" si="80"/>
        <v>0</v>
      </c>
      <c r="K83" s="171">
        <f t="shared" si="81"/>
        <v>0</v>
      </c>
      <c r="L83" s="260">
        <f t="shared" si="82"/>
        <v>68.149999999999991</v>
      </c>
      <c r="M83" s="231">
        <f t="shared" si="83"/>
        <v>48.755261633391413</v>
      </c>
      <c r="N83" s="261">
        <f t="shared" si="84"/>
        <v>0</v>
      </c>
      <c r="O83" s="262">
        <f t="shared" si="85"/>
        <v>0</v>
      </c>
      <c r="P83" s="225"/>
      <c r="Q83" s="221">
        <f t="shared" si="86"/>
        <v>0.15187263998801401</v>
      </c>
      <c r="R83" s="222">
        <f t="shared" si="72"/>
        <v>0.65760853114810069</v>
      </c>
      <c r="S83" s="222">
        <f t="shared" si="63"/>
        <v>3.0526400637590815E-3</v>
      </c>
      <c r="T83" s="222">
        <f t="shared" si="64"/>
        <v>0.15492528005177308</v>
      </c>
      <c r="V83" s="222">
        <f t="shared" si="65"/>
        <v>11.324925280051772</v>
      </c>
      <c r="W83" s="223">
        <f t="shared" si="87"/>
        <v>0</v>
      </c>
      <c r="X83" s="223">
        <f t="shared" si="88"/>
        <v>0</v>
      </c>
      <c r="Y83" s="224">
        <f t="shared" si="89"/>
        <v>0</v>
      </c>
      <c r="Z83" s="225"/>
      <c r="AA83" s="223">
        <f t="shared" si="90"/>
        <v>0</v>
      </c>
      <c r="AB83" s="227">
        <f t="shared" si="91"/>
        <v>1.3869765447786175E-2</v>
      </c>
    </row>
    <row r="84" spans="1:28" ht="12">
      <c r="A84" s="254" t="s">
        <v>319</v>
      </c>
      <c r="B84" s="255"/>
      <c r="C84" s="256">
        <f t="shared" si="76"/>
        <v>0</v>
      </c>
      <c r="D84" s="257">
        <v>0.16</v>
      </c>
      <c r="E84" s="258">
        <f t="shared" ref="E84" si="92">C84*D84</f>
        <v>0</v>
      </c>
      <c r="F84" s="265">
        <f t="shared" ref="F84" si="93">C84*12</f>
        <v>0</v>
      </c>
      <c r="G84" s="259">
        <f t="shared" ref="G84" si="94">B84</f>
        <v>0</v>
      </c>
      <c r="H84" s="215">
        <v>52</v>
      </c>
      <c r="I84" s="216">
        <v>3.5</v>
      </c>
      <c r="J84" s="168">
        <f t="shared" ref="J84" si="95">+C84*I84</f>
        <v>0</v>
      </c>
      <c r="K84" s="171">
        <f t="shared" ref="K84" si="96">J84*12</f>
        <v>0</v>
      </c>
      <c r="L84" s="260">
        <f t="shared" ref="L84" si="97">+D84*L$16</f>
        <v>23.2</v>
      </c>
      <c r="M84" s="231">
        <f t="shared" ref="M84" si="98">L84*$O$5</f>
        <v>16.597535875197078</v>
      </c>
      <c r="N84" s="261">
        <f t="shared" ref="N84" si="99">ROUND((C84*L84*12)/2000,2)</f>
        <v>0</v>
      </c>
      <c r="O84" s="262">
        <f t="shared" ref="O84" si="100">$O$5*N84</f>
        <v>0</v>
      </c>
      <c r="P84" s="225"/>
      <c r="Q84" s="221">
        <f t="shared" ref="Q84" si="101">M84*$R$12</f>
        <v>5.1701324251238814E-2</v>
      </c>
      <c r="R84" s="222">
        <f t="shared" si="72"/>
        <v>0.22386673400786408</v>
      </c>
      <c r="S84" s="222">
        <f t="shared" si="63"/>
        <v>1.0391966174499001E-3</v>
      </c>
      <c r="T84" s="222">
        <f t="shared" si="64"/>
        <v>5.2740520868688717E-2</v>
      </c>
      <c r="V84" s="222">
        <f t="shared" si="65"/>
        <v>3.5527405208686886</v>
      </c>
      <c r="W84" s="223">
        <f t="shared" ref="W84" si="102">C84*V84</f>
        <v>0</v>
      </c>
      <c r="X84" s="223">
        <f t="shared" ref="X84" si="103">W84-J84</f>
        <v>0</v>
      </c>
      <c r="Y84" s="224">
        <f t="shared" ref="Y84" si="104">X84*12</f>
        <v>0</v>
      </c>
      <c r="Z84" s="225"/>
      <c r="AA84" s="223">
        <f t="shared" ref="AA84" si="105">O84*$R$11</f>
        <v>0</v>
      </c>
      <c r="AB84" s="227">
        <f t="shared" ref="AB84" si="106">IF(I84=0,"",V84/I84-1)</f>
        <v>1.5068720248196721E-2</v>
      </c>
    </row>
    <row r="85" spans="1:28" ht="12">
      <c r="A85" s="254" t="s">
        <v>320</v>
      </c>
      <c r="B85" s="255"/>
      <c r="C85" s="256">
        <f t="shared" si="76"/>
        <v>0</v>
      </c>
      <c r="D85" s="257">
        <v>0.16</v>
      </c>
      <c r="E85" s="258">
        <f t="shared" ref="E85" si="107">C85*D85</f>
        <v>0</v>
      </c>
      <c r="F85" s="265">
        <f t="shared" ref="F85" si="108">C85*12</f>
        <v>0</v>
      </c>
      <c r="G85" s="259">
        <f t="shared" ref="G85" si="109">B85</f>
        <v>0</v>
      </c>
      <c r="H85" s="215">
        <v>52</v>
      </c>
      <c r="I85" s="216">
        <v>7.4</v>
      </c>
      <c r="J85" s="168">
        <f t="shared" ref="J85" si="110">+C85*I85</f>
        <v>0</v>
      </c>
      <c r="K85" s="171">
        <f t="shared" ref="K85" si="111">J85*12</f>
        <v>0</v>
      </c>
      <c r="L85" s="260">
        <f t="shared" ref="L85" si="112">+D85*L$16</f>
        <v>23.2</v>
      </c>
      <c r="M85" s="231">
        <f t="shared" ref="M85" si="113">L85*$O$5</f>
        <v>16.597535875197078</v>
      </c>
      <c r="N85" s="261">
        <f t="shared" ref="N85" si="114">ROUND((C85*L85*12)/2000,2)</f>
        <v>0</v>
      </c>
      <c r="O85" s="262">
        <f t="shared" ref="O85" si="115">$O$5*N85</f>
        <v>0</v>
      </c>
      <c r="P85" s="225"/>
      <c r="Q85" s="221">
        <f t="shared" ref="Q85" si="116">M85*$R$12</f>
        <v>5.1701324251238814E-2</v>
      </c>
      <c r="R85" s="222">
        <f t="shared" si="72"/>
        <v>0.22386673400786408</v>
      </c>
      <c r="S85" s="222">
        <f t="shared" si="63"/>
        <v>1.0391966174499001E-3</v>
      </c>
      <c r="T85" s="222">
        <f t="shared" si="64"/>
        <v>5.2740520868688717E-2</v>
      </c>
      <c r="V85" s="222">
        <f t="shared" si="65"/>
        <v>7.452740520868689</v>
      </c>
      <c r="W85" s="223">
        <f t="shared" ref="W85" si="117">C85*V85</f>
        <v>0</v>
      </c>
      <c r="X85" s="223">
        <f t="shared" ref="X85" si="118">W85-J85</f>
        <v>0</v>
      </c>
      <c r="Y85" s="224">
        <f t="shared" ref="Y85" si="119">X85*12</f>
        <v>0</v>
      </c>
      <c r="Z85" s="225"/>
      <c r="AA85" s="223">
        <f t="shared" ref="AA85" si="120">O85*$R$11</f>
        <v>0</v>
      </c>
      <c r="AB85" s="227">
        <f t="shared" ref="AB85" si="121">IF(I85=0,"",V85/I85-1)</f>
        <v>7.1270974146877553E-3</v>
      </c>
    </row>
    <row r="86" spans="1:28" ht="12">
      <c r="A86" s="254" t="s">
        <v>310</v>
      </c>
      <c r="B86" s="255"/>
      <c r="C86" s="256">
        <f t="shared" si="76"/>
        <v>0</v>
      </c>
      <c r="D86" s="257">
        <v>1</v>
      </c>
      <c r="E86" s="258">
        <f t="shared" ref="E86:E87" si="122">C86*D86</f>
        <v>0</v>
      </c>
      <c r="F86" s="265">
        <f t="shared" ref="F86:F87" si="123">C86*12</f>
        <v>0</v>
      </c>
      <c r="G86" s="259">
        <f t="shared" ref="G86:G87" si="124">B86</f>
        <v>0</v>
      </c>
      <c r="H86" s="215">
        <v>52</v>
      </c>
      <c r="I86" s="216">
        <v>27.45</v>
      </c>
      <c r="J86" s="168">
        <f t="shared" si="80"/>
        <v>0</v>
      </c>
      <c r="K86" s="171">
        <f t="shared" si="81"/>
        <v>0</v>
      </c>
      <c r="L86" s="260">
        <f t="shared" si="82"/>
        <v>145</v>
      </c>
      <c r="M86" s="231">
        <f t="shared" si="83"/>
        <v>103.73459921998173</v>
      </c>
      <c r="N86" s="261">
        <f t="shared" ref="N86" si="125">ROUND((C86*L86*12)/2000,2)</f>
        <v>0</v>
      </c>
      <c r="O86" s="262">
        <f t="shared" ref="O86" si="126">$O$5*N86</f>
        <v>0</v>
      </c>
      <c r="P86" s="225"/>
      <c r="Q86" s="221">
        <f t="shared" ref="Q86" si="127">M86*$R$12</f>
        <v>0.32313327657024254</v>
      </c>
      <c r="R86" s="222">
        <f t="shared" si="72"/>
        <v>1.3991670875491502</v>
      </c>
      <c r="S86" s="222">
        <f t="shared" si="63"/>
        <v>6.4949788590618748E-3</v>
      </c>
      <c r="T86" s="222">
        <f t="shared" si="64"/>
        <v>0.32962825542930441</v>
      </c>
      <c r="V86" s="222">
        <f t="shared" si="65"/>
        <v>27.779628255429305</v>
      </c>
      <c r="W86" s="223">
        <f t="shared" ref="W86" si="128">C86*V86</f>
        <v>0</v>
      </c>
      <c r="X86" s="223">
        <f t="shared" ref="X86" si="129">W86-J86</f>
        <v>0</v>
      </c>
      <c r="Y86" s="224">
        <f t="shared" ref="Y86" si="130">X86*12</f>
        <v>0</v>
      </c>
      <c r="Z86" s="225"/>
      <c r="AA86" s="223">
        <f t="shared" ref="AA86" si="131">O86*$R$11</f>
        <v>0</v>
      </c>
      <c r="AB86" s="227">
        <f t="shared" ref="AB86" si="132">IF(I86=0,"",V86/I86-1)</f>
        <v>1.2008315316186069E-2</v>
      </c>
    </row>
    <row r="87" spans="1:28" ht="12">
      <c r="A87" s="254" t="s">
        <v>229</v>
      </c>
      <c r="B87" s="255"/>
      <c r="C87" s="256">
        <f>+B87</f>
        <v>0</v>
      </c>
      <c r="D87" s="257">
        <f>1*5</f>
        <v>5</v>
      </c>
      <c r="E87" s="258">
        <f t="shared" si="122"/>
        <v>0</v>
      </c>
      <c r="F87" s="265">
        <f t="shared" si="123"/>
        <v>0</v>
      </c>
      <c r="G87" s="259">
        <f t="shared" si="124"/>
        <v>0</v>
      </c>
      <c r="H87" s="215">
        <v>52</v>
      </c>
      <c r="I87" s="216">
        <v>0</v>
      </c>
      <c r="J87" s="168">
        <f t="shared" ref="J87:J118" si="133">+C87*I87</f>
        <v>0</v>
      </c>
      <c r="K87" s="171">
        <f t="shared" si="69"/>
        <v>0</v>
      </c>
      <c r="L87" s="260">
        <f t="shared" ref="L87:L118" si="134">+D87*L$16</f>
        <v>725</v>
      </c>
      <c r="M87" s="231">
        <f t="shared" si="70"/>
        <v>518.67299609990869</v>
      </c>
      <c r="N87" s="261">
        <f t="shared" ref="N87:N118" si="135">ROUND((C87*L87*12)/2000,2)</f>
        <v>0</v>
      </c>
      <c r="O87" s="262">
        <f t="shared" si="71"/>
        <v>0</v>
      </c>
      <c r="P87" s="225"/>
      <c r="Q87" s="221">
        <f t="shared" si="62"/>
        <v>1.615666382851213</v>
      </c>
      <c r="R87" s="222">
        <f t="shared" si="72"/>
        <v>6.9958354377457521</v>
      </c>
      <c r="S87" s="222">
        <f t="shared" si="63"/>
        <v>3.2474894295309378E-2</v>
      </c>
      <c r="T87" s="222">
        <f t="shared" si="64"/>
        <v>1.6481412771465225</v>
      </c>
      <c r="V87" s="222">
        <f t="shared" si="65"/>
        <v>1.6481412771465225</v>
      </c>
      <c r="W87" s="223">
        <f t="shared" ref="W87:W118" si="136">C87*V87</f>
        <v>0</v>
      </c>
      <c r="X87" s="223">
        <f t="shared" si="73"/>
        <v>0</v>
      </c>
      <c r="Y87" s="224">
        <f t="shared" si="74"/>
        <v>0</v>
      </c>
      <c r="Z87" s="225"/>
      <c r="AA87" s="223">
        <f t="shared" si="90"/>
        <v>0</v>
      </c>
      <c r="AB87" s="227" t="str">
        <f t="shared" si="91"/>
        <v/>
      </c>
    </row>
    <row r="88" spans="1:28" ht="12">
      <c r="A88" s="254" t="s">
        <v>230</v>
      </c>
      <c r="B88" s="255"/>
      <c r="C88" s="256">
        <f>+B88</f>
        <v>0</v>
      </c>
      <c r="D88" s="257">
        <v>1</v>
      </c>
      <c r="E88" s="258">
        <f t="shared" si="67"/>
        <v>0</v>
      </c>
      <c r="F88" s="265">
        <f t="shared" si="68"/>
        <v>0</v>
      </c>
      <c r="G88" s="259">
        <f t="shared" ref="G88:G119" si="137">B88</f>
        <v>0</v>
      </c>
      <c r="H88" s="215">
        <v>52</v>
      </c>
      <c r="I88" s="216">
        <v>21.48</v>
      </c>
      <c r="J88" s="168">
        <f t="shared" si="133"/>
        <v>0</v>
      </c>
      <c r="K88" s="171">
        <f t="shared" si="69"/>
        <v>0</v>
      </c>
      <c r="L88" s="260">
        <f t="shared" si="134"/>
        <v>145</v>
      </c>
      <c r="M88" s="231">
        <f t="shared" si="70"/>
        <v>103.73459921998173</v>
      </c>
      <c r="N88" s="261">
        <f t="shared" si="135"/>
        <v>0</v>
      </c>
      <c r="O88" s="262">
        <f t="shared" si="71"/>
        <v>0</v>
      </c>
      <c r="P88" s="225"/>
      <c r="Q88" s="221">
        <f t="shared" si="62"/>
        <v>0.32313327657024254</v>
      </c>
      <c r="R88" s="222">
        <f t="shared" si="72"/>
        <v>1.3991670875491502</v>
      </c>
      <c r="S88" s="222">
        <f t="shared" si="63"/>
        <v>6.4949788590618748E-3</v>
      </c>
      <c r="T88" s="222">
        <f t="shared" si="64"/>
        <v>0.32962825542930441</v>
      </c>
      <c r="V88" s="222">
        <f t="shared" si="65"/>
        <v>21.809628255429306</v>
      </c>
      <c r="W88" s="223">
        <f t="shared" si="136"/>
        <v>0</v>
      </c>
      <c r="X88" s="223">
        <f t="shared" si="73"/>
        <v>0</v>
      </c>
      <c r="Y88" s="224">
        <f t="shared" si="74"/>
        <v>0</v>
      </c>
      <c r="Z88" s="225"/>
      <c r="AA88" s="223">
        <f t="shared" si="75"/>
        <v>0</v>
      </c>
      <c r="AB88" s="227">
        <f t="shared" si="66"/>
        <v>1.5345821947360561E-2</v>
      </c>
    </row>
    <row r="89" spans="1:28" ht="12">
      <c r="A89" s="254" t="s">
        <v>136</v>
      </c>
      <c r="B89" s="255">
        <v>17</v>
      </c>
      <c r="C89" s="256">
        <f>+B89*4.3333</f>
        <v>73.6661</v>
      </c>
      <c r="D89" s="257">
        <v>1</v>
      </c>
      <c r="E89" s="258">
        <f t="shared" si="67"/>
        <v>73.6661</v>
      </c>
      <c r="F89" s="265">
        <f t="shared" si="68"/>
        <v>883.9932</v>
      </c>
      <c r="G89" s="259">
        <f t="shared" si="137"/>
        <v>17</v>
      </c>
      <c r="H89" s="215">
        <v>52</v>
      </c>
      <c r="I89" s="216">
        <v>17.87</v>
      </c>
      <c r="J89" s="168">
        <f t="shared" si="133"/>
        <v>1316.4132070000001</v>
      </c>
      <c r="K89" s="171">
        <f t="shared" si="69"/>
        <v>15796.958484000001</v>
      </c>
      <c r="L89" s="260">
        <f t="shared" si="134"/>
        <v>145</v>
      </c>
      <c r="M89" s="231">
        <f t="shared" si="70"/>
        <v>103.73459921998173</v>
      </c>
      <c r="N89" s="261">
        <f t="shared" si="135"/>
        <v>64.09</v>
      </c>
      <c r="O89" s="262">
        <f t="shared" si="71"/>
        <v>45.850692855231934</v>
      </c>
      <c r="P89" s="225"/>
      <c r="Q89" s="221">
        <f t="shared" si="62"/>
        <v>0.32313327657024254</v>
      </c>
      <c r="R89" s="222">
        <f t="shared" si="72"/>
        <v>1.3991670875491502</v>
      </c>
      <c r="S89" s="222">
        <f t="shared" si="63"/>
        <v>6.4949788590618748E-3</v>
      </c>
      <c r="T89" s="222">
        <f t="shared" si="64"/>
        <v>0.32962825542930441</v>
      </c>
      <c r="V89" s="222">
        <f t="shared" si="65"/>
        <v>18.199628255429307</v>
      </c>
      <c r="W89" s="223">
        <f t="shared" si="136"/>
        <v>1340.6956350272808</v>
      </c>
      <c r="X89" s="223">
        <f t="shared" si="73"/>
        <v>24.28242802728073</v>
      </c>
      <c r="Y89" s="224">
        <f t="shared" si="74"/>
        <v>291.38913632736876</v>
      </c>
      <c r="Z89" s="225"/>
      <c r="AA89" s="223">
        <f t="shared" si="75"/>
        <v>285.64981648809447</v>
      </c>
      <c r="AB89" s="227">
        <f t="shared" si="66"/>
        <v>1.8445901255137453E-2</v>
      </c>
    </row>
    <row r="90" spans="1:28" ht="12">
      <c r="A90" s="254" t="s">
        <v>153</v>
      </c>
      <c r="B90" s="255">
        <v>1</v>
      </c>
      <c r="C90" s="256">
        <f>+B90*4.3333*2</f>
        <v>8.6666000000000007</v>
      </c>
      <c r="D90" s="257">
        <v>1</v>
      </c>
      <c r="E90" s="258">
        <f t="shared" si="67"/>
        <v>8.6666000000000007</v>
      </c>
      <c r="F90" s="265">
        <f t="shared" si="68"/>
        <v>103.9992</v>
      </c>
      <c r="G90" s="259">
        <f t="shared" si="137"/>
        <v>1</v>
      </c>
      <c r="H90" s="215">
        <v>52</v>
      </c>
      <c r="I90" s="216">
        <v>17.87</v>
      </c>
      <c r="J90" s="168">
        <f t="shared" si="133"/>
        <v>154.87214200000003</v>
      </c>
      <c r="K90" s="171">
        <f t="shared" si="69"/>
        <v>1858.4657040000002</v>
      </c>
      <c r="L90" s="260">
        <f t="shared" si="134"/>
        <v>145</v>
      </c>
      <c r="M90" s="231">
        <f t="shared" si="70"/>
        <v>103.73459921998173</v>
      </c>
      <c r="N90" s="261">
        <f t="shared" si="135"/>
        <v>7.54</v>
      </c>
      <c r="O90" s="262">
        <f t="shared" si="71"/>
        <v>5.3941991594390499</v>
      </c>
      <c r="P90" s="225"/>
      <c r="Q90" s="221">
        <f t="shared" si="62"/>
        <v>0.32313327657024254</v>
      </c>
      <c r="R90" s="222">
        <f t="shared" si="72"/>
        <v>1.3991670875491502</v>
      </c>
      <c r="S90" s="222">
        <f t="shared" si="63"/>
        <v>6.4949788590618748E-3</v>
      </c>
      <c r="T90" s="222">
        <f t="shared" si="64"/>
        <v>0.32962825542930441</v>
      </c>
      <c r="V90" s="222">
        <f t="shared" si="65"/>
        <v>18.199628255429307</v>
      </c>
      <c r="W90" s="223">
        <f t="shared" si="136"/>
        <v>157.72889823850363</v>
      </c>
      <c r="X90" s="223">
        <f t="shared" si="73"/>
        <v>2.8567562385036069</v>
      </c>
      <c r="Y90" s="224">
        <f t="shared" si="74"/>
        <v>34.281074862043283</v>
      </c>
      <c r="Z90" s="225"/>
      <c r="AA90" s="223">
        <f t="shared" si="75"/>
        <v>33.605860763305223</v>
      </c>
      <c r="AB90" s="227">
        <f t="shared" si="66"/>
        <v>1.8445901255137453E-2</v>
      </c>
    </row>
    <row r="91" spans="1:28" ht="12">
      <c r="A91" s="254" t="s">
        <v>317</v>
      </c>
      <c r="B91" s="255"/>
      <c r="C91" s="256">
        <f>+B91*4.3333*2</f>
        <v>0</v>
      </c>
      <c r="D91" s="257">
        <v>1.25</v>
      </c>
      <c r="E91" s="258">
        <f t="shared" ref="E91" si="138">C91*D91</f>
        <v>0</v>
      </c>
      <c r="F91" s="265">
        <f t="shared" ref="F91" si="139">C91*12</f>
        <v>0</v>
      </c>
      <c r="G91" s="259">
        <f t="shared" si="137"/>
        <v>0</v>
      </c>
      <c r="H91" s="215">
        <v>52</v>
      </c>
      <c r="I91" s="216">
        <v>28.98</v>
      </c>
      <c r="J91" s="168">
        <f t="shared" si="133"/>
        <v>0</v>
      </c>
      <c r="K91" s="171">
        <f t="shared" si="69"/>
        <v>0</v>
      </c>
      <c r="L91" s="260">
        <f t="shared" si="134"/>
        <v>181.25</v>
      </c>
      <c r="M91" s="231">
        <f t="shared" si="70"/>
        <v>129.66824902497717</v>
      </c>
      <c r="N91" s="261">
        <f t="shared" si="135"/>
        <v>0</v>
      </c>
      <c r="O91" s="262">
        <f t="shared" si="71"/>
        <v>0</v>
      </c>
      <c r="P91" s="225"/>
      <c r="Q91" s="221">
        <f t="shared" si="62"/>
        <v>0.40391659571280325</v>
      </c>
      <c r="R91" s="222">
        <f t="shared" si="72"/>
        <v>1.748958859436438</v>
      </c>
      <c r="S91" s="222">
        <f t="shared" si="63"/>
        <v>8.1187235738273446E-3</v>
      </c>
      <c r="T91" s="222">
        <f t="shared" si="64"/>
        <v>0.41203531928663062</v>
      </c>
      <c r="V91" s="222">
        <f t="shared" si="65"/>
        <v>29.392035319286631</v>
      </c>
      <c r="W91" s="223">
        <f t="shared" si="136"/>
        <v>0</v>
      </c>
      <c r="X91" s="223">
        <f t="shared" si="73"/>
        <v>0</v>
      </c>
      <c r="Y91" s="224">
        <f t="shared" si="74"/>
        <v>0</v>
      </c>
      <c r="Z91" s="225"/>
      <c r="AA91" s="223">
        <f t="shared" si="75"/>
        <v>0</v>
      </c>
      <c r="AB91" s="227">
        <f t="shared" si="66"/>
        <v>1.4217919920173516E-2</v>
      </c>
    </row>
    <row r="92" spans="1:28" ht="12">
      <c r="A92" s="254" t="s">
        <v>155</v>
      </c>
      <c r="B92" s="255">
        <v>2</v>
      </c>
      <c r="C92" s="256">
        <f>B92*1</f>
        <v>2</v>
      </c>
      <c r="D92" s="257">
        <v>1.25</v>
      </c>
      <c r="E92" s="258">
        <f t="shared" si="67"/>
        <v>2.5</v>
      </c>
      <c r="F92" s="265">
        <f t="shared" si="68"/>
        <v>24</v>
      </c>
      <c r="G92" s="259">
        <f t="shared" si="137"/>
        <v>2</v>
      </c>
      <c r="H92" s="215">
        <v>52</v>
      </c>
      <c r="I92" s="216">
        <v>24.94</v>
      </c>
      <c r="J92" s="168">
        <f t="shared" si="133"/>
        <v>49.88</v>
      </c>
      <c r="K92" s="171">
        <f t="shared" si="69"/>
        <v>598.56000000000006</v>
      </c>
      <c r="L92" s="260">
        <f t="shared" si="134"/>
        <v>181.25</v>
      </c>
      <c r="M92" s="231">
        <f t="shared" si="70"/>
        <v>129.66824902497717</v>
      </c>
      <c r="N92" s="261">
        <f t="shared" si="135"/>
        <v>2.1800000000000002</v>
      </c>
      <c r="O92" s="262">
        <f t="shared" si="71"/>
        <v>1.5595960434452427</v>
      </c>
      <c r="P92" s="225"/>
      <c r="Q92" s="221">
        <f t="shared" si="62"/>
        <v>0.40391659571280325</v>
      </c>
      <c r="R92" s="222">
        <f t="shared" si="72"/>
        <v>1.748958859436438</v>
      </c>
      <c r="S92" s="222">
        <f t="shared" si="63"/>
        <v>8.1187235738273446E-3</v>
      </c>
      <c r="T92" s="222">
        <f t="shared" si="64"/>
        <v>0.41203531928663062</v>
      </c>
      <c r="V92" s="222">
        <f t="shared" si="65"/>
        <v>25.352035319286632</v>
      </c>
      <c r="W92" s="223">
        <f t="shared" si="136"/>
        <v>50.704070638573263</v>
      </c>
      <c r="X92" s="223">
        <f t="shared" si="73"/>
        <v>0.82407063857326079</v>
      </c>
      <c r="Y92" s="224">
        <f t="shared" si="74"/>
        <v>9.8888476628791295</v>
      </c>
      <c r="Z92" s="225"/>
      <c r="AA92" s="223">
        <f t="shared" si="75"/>
        <v>9.7162833506638453</v>
      </c>
      <c r="AB92" s="227">
        <f t="shared" si="66"/>
        <v>1.6521063323441387E-2</v>
      </c>
    </row>
    <row r="93" spans="1:28" ht="12">
      <c r="A93" s="254" t="s">
        <v>138</v>
      </c>
      <c r="B93" s="255">
        <v>15</v>
      </c>
      <c r="C93" s="256">
        <f>B93*4.3333</f>
        <v>64.999500000000012</v>
      </c>
      <c r="D93" s="257">
        <v>1.25</v>
      </c>
      <c r="E93" s="258">
        <f t="shared" si="67"/>
        <v>81.249375000000015</v>
      </c>
      <c r="F93" s="265">
        <f t="shared" si="68"/>
        <v>779.99400000000014</v>
      </c>
      <c r="G93" s="259">
        <f t="shared" si="137"/>
        <v>15</v>
      </c>
      <c r="H93" s="215">
        <v>52</v>
      </c>
      <c r="I93" s="216">
        <v>21.1</v>
      </c>
      <c r="J93" s="168">
        <f t="shared" si="133"/>
        <v>1371.4894500000003</v>
      </c>
      <c r="K93" s="171">
        <f t="shared" si="69"/>
        <v>16457.873400000004</v>
      </c>
      <c r="L93" s="260">
        <f t="shared" si="134"/>
        <v>181.25</v>
      </c>
      <c r="M93" s="231">
        <f t="shared" si="70"/>
        <v>129.66824902497717</v>
      </c>
      <c r="N93" s="261">
        <f t="shared" si="135"/>
        <v>70.69</v>
      </c>
      <c r="O93" s="262">
        <f t="shared" si="71"/>
        <v>50.57240564731385</v>
      </c>
      <c r="P93" s="225"/>
      <c r="Q93" s="221">
        <f t="shared" si="62"/>
        <v>0.40391659571280325</v>
      </c>
      <c r="R93" s="222">
        <f t="shared" si="72"/>
        <v>1.748958859436438</v>
      </c>
      <c r="S93" s="222">
        <f t="shared" si="63"/>
        <v>8.1187235738273446E-3</v>
      </c>
      <c r="T93" s="222">
        <f t="shared" si="64"/>
        <v>0.41203531928663062</v>
      </c>
      <c r="V93" s="222">
        <f t="shared" si="65"/>
        <v>21.512035319286632</v>
      </c>
      <c r="W93" s="223">
        <f t="shared" si="136"/>
        <v>1398.2715397359716</v>
      </c>
      <c r="X93" s="223">
        <f t="shared" si="73"/>
        <v>26.78208973597134</v>
      </c>
      <c r="Y93" s="224">
        <f t="shared" si="74"/>
        <v>321.38507683165608</v>
      </c>
      <c r="Z93" s="225"/>
      <c r="AA93" s="223">
        <f t="shared" si="75"/>
        <v>315.06608718276476</v>
      </c>
      <c r="AB93" s="227">
        <f t="shared" si="66"/>
        <v>1.9527740250551151E-2</v>
      </c>
    </row>
    <row r="94" spans="1:28" ht="12">
      <c r="A94" s="254" t="s">
        <v>139</v>
      </c>
      <c r="B94" s="255"/>
      <c r="C94" s="256">
        <f>B94*4.3333*2</f>
        <v>0</v>
      </c>
      <c r="D94" s="257">
        <v>1.25</v>
      </c>
      <c r="E94" s="258">
        <f t="shared" si="67"/>
        <v>0</v>
      </c>
      <c r="F94" s="265">
        <f t="shared" si="68"/>
        <v>0</v>
      </c>
      <c r="G94" s="259">
        <f t="shared" si="137"/>
        <v>0</v>
      </c>
      <c r="H94" s="215">
        <v>52</v>
      </c>
      <c r="I94" s="216">
        <v>21.1</v>
      </c>
      <c r="J94" s="168">
        <f t="shared" si="133"/>
        <v>0</v>
      </c>
      <c r="K94" s="171">
        <f t="shared" si="69"/>
        <v>0</v>
      </c>
      <c r="L94" s="260">
        <f t="shared" si="134"/>
        <v>181.25</v>
      </c>
      <c r="M94" s="231">
        <f t="shared" si="70"/>
        <v>129.66824902497717</v>
      </c>
      <c r="N94" s="261">
        <f t="shared" si="135"/>
        <v>0</v>
      </c>
      <c r="O94" s="262">
        <f t="shared" si="71"/>
        <v>0</v>
      </c>
      <c r="P94" s="225"/>
      <c r="Q94" s="221">
        <f t="shared" si="62"/>
        <v>0.40391659571280325</v>
      </c>
      <c r="R94" s="222">
        <f t="shared" si="72"/>
        <v>1.748958859436438</v>
      </c>
      <c r="S94" s="222">
        <f t="shared" si="63"/>
        <v>8.1187235738273446E-3</v>
      </c>
      <c r="T94" s="222">
        <f t="shared" si="64"/>
        <v>0.41203531928663062</v>
      </c>
      <c r="V94" s="222">
        <f t="shared" si="65"/>
        <v>21.512035319286632</v>
      </c>
      <c r="W94" s="223">
        <f t="shared" si="136"/>
        <v>0</v>
      </c>
      <c r="X94" s="223">
        <f t="shared" si="73"/>
        <v>0</v>
      </c>
      <c r="Y94" s="224">
        <f t="shared" si="74"/>
        <v>0</v>
      </c>
      <c r="Z94" s="225"/>
      <c r="AA94" s="223">
        <f t="shared" si="75"/>
        <v>0</v>
      </c>
      <c r="AB94" s="227">
        <f t="shared" si="66"/>
        <v>1.9527740250551151E-2</v>
      </c>
    </row>
    <row r="95" spans="1:28" ht="12">
      <c r="A95" s="254" t="s">
        <v>231</v>
      </c>
      <c r="B95" s="255"/>
      <c r="C95" s="256">
        <f>B95*4.3333*3</f>
        <v>0</v>
      </c>
      <c r="D95" s="257">
        <v>1.25</v>
      </c>
      <c r="E95" s="258">
        <f t="shared" si="67"/>
        <v>0</v>
      </c>
      <c r="F95" s="265">
        <f t="shared" si="68"/>
        <v>0</v>
      </c>
      <c r="G95" s="259">
        <f t="shared" si="137"/>
        <v>0</v>
      </c>
      <c r="H95" s="215">
        <v>52</v>
      </c>
      <c r="I95" s="216">
        <v>21.1</v>
      </c>
      <c r="J95" s="168">
        <f t="shared" si="133"/>
        <v>0</v>
      </c>
      <c r="K95" s="171">
        <f t="shared" si="69"/>
        <v>0</v>
      </c>
      <c r="L95" s="260">
        <f t="shared" si="134"/>
        <v>181.25</v>
      </c>
      <c r="M95" s="231">
        <f t="shared" si="70"/>
        <v>129.66824902497717</v>
      </c>
      <c r="N95" s="261">
        <f t="shared" si="135"/>
        <v>0</v>
      </c>
      <c r="O95" s="262">
        <f t="shared" si="71"/>
        <v>0</v>
      </c>
      <c r="P95" s="225"/>
      <c r="Q95" s="221">
        <f t="shared" si="62"/>
        <v>0.40391659571280325</v>
      </c>
      <c r="R95" s="222">
        <f t="shared" si="72"/>
        <v>1.748958859436438</v>
      </c>
      <c r="S95" s="222">
        <f t="shared" si="63"/>
        <v>8.1187235738273446E-3</v>
      </c>
      <c r="T95" s="222">
        <f t="shared" si="64"/>
        <v>0.41203531928663062</v>
      </c>
      <c r="V95" s="222">
        <f t="shared" si="65"/>
        <v>21.512035319286632</v>
      </c>
      <c r="W95" s="223">
        <f t="shared" si="136"/>
        <v>0</v>
      </c>
      <c r="X95" s="223">
        <f t="shared" si="73"/>
        <v>0</v>
      </c>
      <c r="Y95" s="224">
        <f t="shared" si="74"/>
        <v>0</v>
      </c>
      <c r="Z95" s="225"/>
      <c r="AA95" s="223">
        <f t="shared" si="75"/>
        <v>0</v>
      </c>
      <c r="AB95" s="227">
        <f t="shared" si="66"/>
        <v>1.9527740250551151E-2</v>
      </c>
    </row>
    <row r="96" spans="1:28" ht="12">
      <c r="A96" s="254" t="s">
        <v>318</v>
      </c>
      <c r="B96" s="255">
        <v>0</v>
      </c>
      <c r="C96" s="256"/>
      <c r="D96" s="257">
        <v>2</v>
      </c>
      <c r="E96" s="258">
        <f t="shared" ref="E96" si="140">C96*D96</f>
        <v>0</v>
      </c>
      <c r="F96" s="265">
        <f t="shared" ref="F96" si="141">C96*12</f>
        <v>0</v>
      </c>
      <c r="G96" s="259">
        <f t="shared" si="137"/>
        <v>0</v>
      </c>
      <c r="H96" s="215">
        <v>52</v>
      </c>
      <c r="I96" s="216">
        <v>35.979999999999997</v>
      </c>
      <c r="J96" s="168">
        <f t="shared" si="133"/>
        <v>0</v>
      </c>
      <c r="K96" s="171">
        <f t="shared" ref="K96" si="142">J96*12</f>
        <v>0</v>
      </c>
      <c r="L96" s="260">
        <f t="shared" si="134"/>
        <v>290</v>
      </c>
      <c r="M96" s="231">
        <f t="shared" ref="M96" si="143">L96*$O$5</f>
        <v>207.46919843996346</v>
      </c>
      <c r="N96" s="261">
        <f t="shared" si="135"/>
        <v>0</v>
      </c>
      <c r="O96" s="262">
        <f t="shared" ref="O96" si="144">$O$5*N96</f>
        <v>0</v>
      </c>
      <c r="P96" s="225"/>
      <c r="Q96" s="221">
        <f t="shared" ref="Q96" si="145">M96*$R$12</f>
        <v>0.64626655314048509</v>
      </c>
      <c r="R96" s="222">
        <f t="shared" si="72"/>
        <v>2.7983341750983004</v>
      </c>
      <c r="S96" s="222">
        <f t="shared" si="63"/>
        <v>1.298995771812375E-2</v>
      </c>
      <c r="T96" s="222">
        <f t="shared" si="64"/>
        <v>0.65925651085860881</v>
      </c>
      <c r="V96" s="222">
        <f t="shared" si="65"/>
        <v>36.639256510858608</v>
      </c>
      <c r="W96" s="223">
        <f t="shared" si="136"/>
        <v>0</v>
      </c>
      <c r="X96" s="223">
        <f t="shared" ref="X96" si="146">W96-J96</f>
        <v>0</v>
      </c>
      <c r="Y96" s="224">
        <f t="shared" ref="Y96" si="147">X96*12</f>
        <v>0</v>
      </c>
      <c r="Z96" s="225"/>
      <c r="AA96" s="223">
        <f t="shared" ref="AA96" si="148">O96*$R$11</f>
        <v>0</v>
      </c>
      <c r="AB96" s="227">
        <f t="shared" ref="AB96" si="149">IF(I96=0,"",V96/I96-1)</f>
        <v>1.8322860223974669E-2</v>
      </c>
    </row>
    <row r="97" spans="1:28" ht="12">
      <c r="A97" s="254" t="s">
        <v>232</v>
      </c>
      <c r="B97" s="255"/>
      <c r="C97" s="256">
        <f>+B97</f>
        <v>0</v>
      </c>
      <c r="D97" s="257">
        <f>2*5</f>
        <v>10</v>
      </c>
      <c r="E97" s="258">
        <f t="shared" si="67"/>
        <v>0</v>
      </c>
      <c r="F97" s="265">
        <f t="shared" si="68"/>
        <v>0</v>
      </c>
      <c r="G97" s="263">
        <f t="shared" si="137"/>
        <v>0</v>
      </c>
      <c r="H97" s="215">
        <v>52</v>
      </c>
      <c r="I97" s="216">
        <v>0</v>
      </c>
      <c r="J97" s="168">
        <f t="shared" si="133"/>
        <v>0</v>
      </c>
      <c r="K97" s="171">
        <f t="shared" si="69"/>
        <v>0</v>
      </c>
      <c r="L97" s="260">
        <f t="shared" si="134"/>
        <v>1450</v>
      </c>
      <c r="M97" s="231">
        <f t="shared" si="70"/>
        <v>1037.3459921998174</v>
      </c>
      <c r="N97" s="261">
        <f t="shared" si="135"/>
        <v>0</v>
      </c>
      <c r="O97" s="262">
        <f t="shared" si="71"/>
        <v>0</v>
      </c>
      <c r="P97" s="225"/>
      <c r="Q97" s="221">
        <f t="shared" si="62"/>
        <v>3.231332765702426</v>
      </c>
      <c r="R97" s="222">
        <f t="shared" si="72"/>
        <v>13.991670875491504</v>
      </c>
      <c r="S97" s="222">
        <f t="shared" si="63"/>
        <v>6.4949788590618757E-2</v>
      </c>
      <c r="T97" s="222">
        <f t="shared" si="64"/>
        <v>3.296282554293045</v>
      </c>
      <c r="V97" s="222">
        <f t="shared" si="65"/>
        <v>3.296282554293045</v>
      </c>
      <c r="W97" s="223">
        <f t="shared" si="136"/>
        <v>0</v>
      </c>
      <c r="X97" s="223">
        <f t="shared" si="73"/>
        <v>0</v>
      </c>
      <c r="Y97" s="224">
        <f t="shared" si="74"/>
        <v>0</v>
      </c>
      <c r="Z97" s="225"/>
      <c r="AA97" s="223">
        <f t="shared" si="75"/>
        <v>0</v>
      </c>
      <c r="AB97" s="227" t="str">
        <f t="shared" si="66"/>
        <v/>
      </c>
    </row>
    <row r="98" spans="1:28" ht="12">
      <c r="A98" s="254" t="s">
        <v>140</v>
      </c>
      <c r="B98" s="255">
        <v>5</v>
      </c>
      <c r="C98" s="256">
        <f>B98*1</f>
        <v>5</v>
      </c>
      <c r="D98" s="257">
        <v>2</v>
      </c>
      <c r="E98" s="258">
        <f t="shared" si="67"/>
        <v>10</v>
      </c>
      <c r="F98" s="265">
        <f t="shared" si="68"/>
        <v>60</v>
      </c>
      <c r="G98" s="259">
        <f t="shared" si="137"/>
        <v>5</v>
      </c>
      <c r="H98" s="215">
        <v>52</v>
      </c>
      <c r="I98" s="216">
        <v>36.75</v>
      </c>
      <c r="J98" s="168">
        <f t="shared" si="133"/>
        <v>183.75</v>
      </c>
      <c r="K98" s="171">
        <f t="shared" si="69"/>
        <v>2205</v>
      </c>
      <c r="L98" s="260">
        <f t="shared" si="134"/>
        <v>290</v>
      </c>
      <c r="M98" s="231">
        <f t="shared" si="70"/>
        <v>207.46919843996346</v>
      </c>
      <c r="N98" s="261">
        <f t="shared" si="135"/>
        <v>8.6999999999999993</v>
      </c>
      <c r="O98" s="262">
        <f t="shared" si="71"/>
        <v>6.2240759531989038</v>
      </c>
      <c r="P98" s="225"/>
      <c r="Q98" s="221">
        <f t="shared" si="62"/>
        <v>0.64626655314048509</v>
      </c>
      <c r="R98" s="222">
        <f t="shared" si="72"/>
        <v>2.7983341750983004</v>
      </c>
      <c r="S98" s="222">
        <f t="shared" si="63"/>
        <v>1.298995771812375E-2</v>
      </c>
      <c r="T98" s="222">
        <f t="shared" si="64"/>
        <v>0.65925651085860881</v>
      </c>
      <c r="V98" s="222">
        <f t="shared" si="65"/>
        <v>37.409256510858611</v>
      </c>
      <c r="W98" s="223">
        <f t="shared" si="136"/>
        <v>187.04628255429304</v>
      </c>
      <c r="X98" s="223">
        <f t="shared" si="73"/>
        <v>3.2962825542930432</v>
      </c>
      <c r="Y98" s="224">
        <f t="shared" si="74"/>
        <v>39.555390651516518</v>
      </c>
      <c r="Z98" s="225"/>
      <c r="AA98" s="223">
        <f t="shared" si="75"/>
        <v>38.775993188429105</v>
      </c>
      <c r="AB98" s="227">
        <f t="shared" si="66"/>
        <v>1.7938952676424869E-2</v>
      </c>
    </row>
    <row r="99" spans="1:28" ht="12">
      <c r="A99" s="254" t="s">
        <v>141</v>
      </c>
      <c r="B99" s="255">
        <v>22</v>
      </c>
      <c r="C99" s="256">
        <f>B99*4.3333</f>
        <v>95.332600000000014</v>
      </c>
      <c r="D99" s="257">
        <v>2</v>
      </c>
      <c r="E99" s="258">
        <f t="shared" si="67"/>
        <v>190.66520000000003</v>
      </c>
      <c r="F99" s="265">
        <f t="shared" si="68"/>
        <v>1143.9912000000002</v>
      </c>
      <c r="G99" s="259">
        <f t="shared" si="137"/>
        <v>22</v>
      </c>
      <c r="H99" s="215">
        <v>52</v>
      </c>
      <c r="I99" s="216">
        <v>32.58</v>
      </c>
      <c r="J99" s="168">
        <f t="shared" si="133"/>
        <v>3105.9361080000003</v>
      </c>
      <c r="K99" s="171">
        <f t="shared" si="69"/>
        <v>37271.233296000006</v>
      </c>
      <c r="L99" s="260">
        <f t="shared" si="134"/>
        <v>290</v>
      </c>
      <c r="M99" s="231">
        <f t="shared" si="70"/>
        <v>207.46919843996346</v>
      </c>
      <c r="N99" s="261">
        <f t="shared" si="135"/>
        <v>165.88</v>
      </c>
      <c r="O99" s="262">
        <f t="shared" si="71"/>
        <v>118.67238150765911</v>
      </c>
      <c r="P99" s="225"/>
      <c r="Q99" s="221">
        <f t="shared" si="62"/>
        <v>0.64626655314048509</v>
      </c>
      <c r="R99" s="222">
        <f t="shared" si="72"/>
        <v>2.7983341750983004</v>
      </c>
      <c r="S99" s="222">
        <f t="shared" si="63"/>
        <v>1.298995771812375E-2</v>
      </c>
      <c r="T99" s="222">
        <f t="shared" si="64"/>
        <v>0.65925651085860881</v>
      </c>
      <c r="V99" s="222">
        <f t="shared" si="65"/>
        <v>33.23925651085861</v>
      </c>
      <c r="W99" s="223">
        <f t="shared" si="136"/>
        <v>3168.7847452470801</v>
      </c>
      <c r="X99" s="223">
        <f t="shared" si="73"/>
        <v>62.848637247079751</v>
      </c>
      <c r="Y99" s="224">
        <f t="shared" si="74"/>
        <v>754.18364696495701</v>
      </c>
      <c r="Z99" s="225"/>
      <c r="AA99" s="223">
        <f t="shared" si="75"/>
        <v>739.32893679271501</v>
      </c>
      <c r="AB99" s="227">
        <f t="shared" si="66"/>
        <v>2.0235006472026029E-2</v>
      </c>
    </row>
    <row r="100" spans="1:28" ht="12">
      <c r="A100" s="254" t="s">
        <v>142</v>
      </c>
      <c r="B100" s="255">
        <v>1</v>
      </c>
      <c r="C100" s="256">
        <f>B100*4.3333*2</f>
        <v>8.6666000000000007</v>
      </c>
      <c r="D100" s="257">
        <v>2</v>
      </c>
      <c r="E100" s="258">
        <f t="shared" si="67"/>
        <v>17.333200000000001</v>
      </c>
      <c r="F100" s="265">
        <f t="shared" si="68"/>
        <v>103.9992</v>
      </c>
      <c r="G100" s="259">
        <f t="shared" si="137"/>
        <v>1</v>
      </c>
      <c r="H100" s="215">
        <v>52</v>
      </c>
      <c r="I100" s="216">
        <v>32.58</v>
      </c>
      <c r="J100" s="168">
        <f t="shared" si="133"/>
        <v>282.35782799999998</v>
      </c>
      <c r="K100" s="171">
        <f t="shared" si="69"/>
        <v>3388.293936</v>
      </c>
      <c r="L100" s="260">
        <f t="shared" si="134"/>
        <v>290</v>
      </c>
      <c r="M100" s="231">
        <f t="shared" si="70"/>
        <v>207.46919843996346</v>
      </c>
      <c r="N100" s="261">
        <f t="shared" si="135"/>
        <v>15.08</v>
      </c>
      <c r="O100" s="262">
        <f t="shared" si="71"/>
        <v>10.7883983188781</v>
      </c>
      <c r="P100" s="225"/>
      <c r="Q100" s="221">
        <f t="shared" si="62"/>
        <v>0.64626655314048509</v>
      </c>
      <c r="R100" s="222">
        <f t="shared" si="72"/>
        <v>2.7983341750983004</v>
      </c>
      <c r="S100" s="222">
        <f t="shared" si="63"/>
        <v>1.298995771812375E-2</v>
      </c>
      <c r="T100" s="222">
        <f t="shared" si="64"/>
        <v>0.65925651085860881</v>
      </c>
      <c r="V100" s="222">
        <f t="shared" si="65"/>
        <v>33.23925651085861</v>
      </c>
      <c r="W100" s="223">
        <f t="shared" si="136"/>
        <v>288.07134047700725</v>
      </c>
      <c r="X100" s="223">
        <f t="shared" si="73"/>
        <v>5.7135124770072707</v>
      </c>
      <c r="Y100" s="224">
        <f t="shared" si="74"/>
        <v>68.562149724087249</v>
      </c>
      <c r="Z100" s="225"/>
      <c r="AA100" s="223">
        <f t="shared" si="75"/>
        <v>67.211721526610447</v>
      </c>
      <c r="AB100" s="227">
        <f t="shared" si="66"/>
        <v>2.0235006472026029E-2</v>
      </c>
    </row>
    <row r="101" spans="1:28" ht="12">
      <c r="A101" s="254" t="s">
        <v>233</v>
      </c>
      <c r="B101" s="255"/>
      <c r="C101" s="256">
        <f>B101*4.3333*3</f>
        <v>0</v>
      </c>
      <c r="D101" s="257">
        <v>2</v>
      </c>
      <c r="E101" s="258">
        <f t="shared" si="67"/>
        <v>0</v>
      </c>
      <c r="F101" s="265">
        <f t="shared" si="68"/>
        <v>0</v>
      </c>
      <c r="G101" s="259">
        <f t="shared" si="137"/>
        <v>0</v>
      </c>
      <c r="H101" s="215">
        <v>52</v>
      </c>
      <c r="I101" s="216">
        <v>32.58</v>
      </c>
      <c r="J101" s="168">
        <f t="shared" si="133"/>
        <v>0</v>
      </c>
      <c r="K101" s="171">
        <f t="shared" si="69"/>
        <v>0</v>
      </c>
      <c r="L101" s="260">
        <f t="shared" si="134"/>
        <v>290</v>
      </c>
      <c r="M101" s="231">
        <f t="shared" si="70"/>
        <v>207.46919843996346</v>
      </c>
      <c r="N101" s="261">
        <f t="shared" si="135"/>
        <v>0</v>
      </c>
      <c r="O101" s="262">
        <f t="shared" si="71"/>
        <v>0</v>
      </c>
      <c r="P101" s="225"/>
      <c r="Q101" s="221">
        <f t="shared" si="62"/>
        <v>0.64626655314048509</v>
      </c>
      <c r="R101" s="222">
        <f t="shared" si="72"/>
        <v>2.7983341750983004</v>
      </c>
      <c r="S101" s="222">
        <f t="shared" si="63"/>
        <v>1.298995771812375E-2</v>
      </c>
      <c r="T101" s="222">
        <f t="shared" si="64"/>
        <v>0.65925651085860881</v>
      </c>
      <c r="V101" s="222">
        <f t="shared" si="65"/>
        <v>33.23925651085861</v>
      </c>
      <c r="W101" s="223">
        <f t="shared" si="136"/>
        <v>0</v>
      </c>
      <c r="X101" s="223">
        <f t="shared" si="73"/>
        <v>0</v>
      </c>
      <c r="Y101" s="224">
        <f t="shared" si="74"/>
        <v>0</v>
      </c>
      <c r="Z101" s="225"/>
      <c r="AA101" s="223">
        <f t="shared" si="75"/>
        <v>0</v>
      </c>
      <c r="AB101" s="227">
        <f t="shared" si="66"/>
        <v>2.0235006472026029E-2</v>
      </c>
    </row>
    <row r="102" spans="1:28" ht="12">
      <c r="A102" s="254" t="s">
        <v>234</v>
      </c>
      <c r="B102" s="255"/>
      <c r="C102" s="256">
        <f>B102*4.3333*4</f>
        <v>0</v>
      </c>
      <c r="D102" s="257">
        <v>2</v>
      </c>
      <c r="E102" s="258">
        <f t="shared" si="67"/>
        <v>0</v>
      </c>
      <c r="F102" s="265">
        <f t="shared" si="68"/>
        <v>0</v>
      </c>
      <c r="G102" s="259">
        <f t="shared" si="137"/>
        <v>0</v>
      </c>
      <c r="H102" s="215">
        <v>52</v>
      </c>
      <c r="I102" s="216">
        <v>32.58</v>
      </c>
      <c r="J102" s="168">
        <f t="shared" si="133"/>
        <v>0</v>
      </c>
      <c r="K102" s="171">
        <f t="shared" si="69"/>
        <v>0</v>
      </c>
      <c r="L102" s="260">
        <f t="shared" si="134"/>
        <v>290</v>
      </c>
      <c r="M102" s="231">
        <f t="shared" si="70"/>
        <v>207.46919843996346</v>
      </c>
      <c r="N102" s="261">
        <f t="shared" si="135"/>
        <v>0</v>
      </c>
      <c r="O102" s="262">
        <f t="shared" si="71"/>
        <v>0</v>
      </c>
      <c r="P102" s="225"/>
      <c r="Q102" s="221">
        <f t="shared" si="62"/>
        <v>0.64626655314048509</v>
      </c>
      <c r="R102" s="222">
        <f t="shared" si="72"/>
        <v>2.7983341750983004</v>
      </c>
      <c r="S102" s="222">
        <f t="shared" si="63"/>
        <v>1.298995771812375E-2</v>
      </c>
      <c r="T102" s="222">
        <f t="shared" si="64"/>
        <v>0.65925651085860881</v>
      </c>
      <c r="V102" s="222">
        <f t="shared" si="65"/>
        <v>33.23925651085861</v>
      </c>
      <c r="W102" s="223">
        <f t="shared" si="136"/>
        <v>0</v>
      </c>
      <c r="X102" s="223">
        <f t="shared" si="73"/>
        <v>0</v>
      </c>
      <c r="Y102" s="224">
        <f t="shared" si="74"/>
        <v>0</v>
      </c>
      <c r="Z102" s="225"/>
      <c r="AA102" s="223">
        <f t="shared" si="75"/>
        <v>0</v>
      </c>
      <c r="AB102" s="227">
        <f t="shared" si="66"/>
        <v>2.0235006472026029E-2</v>
      </c>
    </row>
    <row r="103" spans="1:28" ht="12">
      <c r="A103" s="254" t="s">
        <v>235</v>
      </c>
      <c r="B103" s="255"/>
      <c r="C103" s="256">
        <f>B103*4.3333*5</f>
        <v>0</v>
      </c>
      <c r="D103" s="257">
        <v>2</v>
      </c>
      <c r="E103" s="258">
        <f>C103*D103</f>
        <v>0</v>
      </c>
      <c r="F103" s="265">
        <f t="shared" si="68"/>
        <v>0</v>
      </c>
      <c r="G103" s="259">
        <f t="shared" si="137"/>
        <v>0</v>
      </c>
      <c r="H103" s="215">
        <v>52</v>
      </c>
      <c r="I103" s="216">
        <v>32.58</v>
      </c>
      <c r="J103" s="168">
        <f t="shared" si="133"/>
        <v>0</v>
      </c>
      <c r="K103" s="171">
        <f t="shared" si="69"/>
        <v>0</v>
      </c>
      <c r="L103" s="260">
        <f t="shared" si="134"/>
        <v>290</v>
      </c>
      <c r="M103" s="231">
        <f t="shared" si="70"/>
        <v>207.46919843996346</v>
      </c>
      <c r="N103" s="261">
        <f t="shared" si="135"/>
        <v>0</v>
      </c>
      <c r="O103" s="262">
        <f t="shared" si="71"/>
        <v>0</v>
      </c>
      <c r="P103" s="225"/>
      <c r="Q103" s="221">
        <f>M103*$R$12</f>
        <v>0.64626655314048509</v>
      </c>
      <c r="R103" s="222">
        <f t="shared" si="72"/>
        <v>2.7983341750983004</v>
      </c>
      <c r="S103" s="222">
        <f t="shared" si="63"/>
        <v>1.298995771812375E-2</v>
      </c>
      <c r="T103" s="222">
        <f t="shared" si="64"/>
        <v>0.65925651085860881</v>
      </c>
      <c r="V103" s="222">
        <f t="shared" si="65"/>
        <v>33.23925651085861</v>
      </c>
      <c r="W103" s="223">
        <f t="shared" si="136"/>
        <v>0</v>
      </c>
      <c r="X103" s="223">
        <f>W103-J103</f>
        <v>0</v>
      </c>
      <c r="Y103" s="224">
        <f t="shared" si="74"/>
        <v>0</v>
      </c>
      <c r="Z103" s="225"/>
      <c r="AA103" s="223">
        <f>O103*$R$11</f>
        <v>0</v>
      </c>
      <c r="AB103" s="227">
        <f>IF(I103=0,"",V103/I103-1)</f>
        <v>2.0235006472026029E-2</v>
      </c>
    </row>
    <row r="104" spans="1:28" ht="12">
      <c r="A104" s="254" t="s">
        <v>236</v>
      </c>
      <c r="B104" s="255"/>
      <c r="C104" s="256">
        <f>B104*4.3333*6</f>
        <v>0</v>
      </c>
      <c r="D104" s="257">
        <v>2</v>
      </c>
      <c r="E104" s="258">
        <f>C104*D104</f>
        <v>0</v>
      </c>
      <c r="F104" s="265">
        <f t="shared" si="68"/>
        <v>0</v>
      </c>
      <c r="G104" s="259">
        <f t="shared" si="137"/>
        <v>0</v>
      </c>
      <c r="H104" s="215">
        <v>52</v>
      </c>
      <c r="I104" s="216">
        <v>32.58</v>
      </c>
      <c r="J104" s="168">
        <f t="shared" si="133"/>
        <v>0</v>
      </c>
      <c r="K104" s="171">
        <f t="shared" si="69"/>
        <v>0</v>
      </c>
      <c r="L104" s="260">
        <f t="shared" si="134"/>
        <v>290</v>
      </c>
      <c r="M104" s="231">
        <f t="shared" si="70"/>
        <v>207.46919843996346</v>
      </c>
      <c r="N104" s="261">
        <f t="shared" si="135"/>
        <v>0</v>
      </c>
      <c r="O104" s="262">
        <f t="shared" si="71"/>
        <v>0</v>
      </c>
      <c r="P104" s="225"/>
      <c r="Q104" s="221">
        <f>M104*$R$12</f>
        <v>0.64626655314048509</v>
      </c>
      <c r="R104" s="222">
        <f t="shared" si="72"/>
        <v>2.7983341750983004</v>
      </c>
      <c r="S104" s="222">
        <f t="shared" si="63"/>
        <v>1.298995771812375E-2</v>
      </c>
      <c r="T104" s="222">
        <f t="shared" si="64"/>
        <v>0.65925651085860881</v>
      </c>
      <c r="V104" s="222">
        <f t="shared" si="65"/>
        <v>33.23925651085861</v>
      </c>
      <c r="W104" s="223">
        <f t="shared" si="136"/>
        <v>0</v>
      </c>
      <c r="X104" s="223">
        <f>W104-J104</f>
        <v>0</v>
      </c>
      <c r="Y104" s="224">
        <f t="shared" si="74"/>
        <v>0</v>
      </c>
      <c r="Z104" s="225"/>
      <c r="AA104" s="223">
        <f>O104*$R$11</f>
        <v>0</v>
      </c>
      <c r="AB104" s="227">
        <f>IF(I104=0,"",V104/I104-1)</f>
        <v>2.0235006472026029E-2</v>
      </c>
    </row>
    <row r="105" spans="1:28" ht="12">
      <c r="A105" s="254" t="s">
        <v>313</v>
      </c>
      <c r="B105" s="255"/>
      <c r="C105" s="256">
        <f>B105*4.3333*6</f>
        <v>0</v>
      </c>
      <c r="D105" s="257">
        <v>3</v>
      </c>
      <c r="E105" s="258">
        <f>C105*D105</f>
        <v>0</v>
      </c>
      <c r="F105" s="265">
        <f t="shared" ref="F105" si="150">C105*12</f>
        <v>0</v>
      </c>
      <c r="G105" s="259">
        <f t="shared" si="137"/>
        <v>0</v>
      </c>
      <c r="H105" s="215">
        <v>52</v>
      </c>
      <c r="I105" s="216">
        <v>49.34</v>
      </c>
      <c r="J105" s="168">
        <f t="shared" si="133"/>
        <v>0</v>
      </c>
      <c r="K105" s="171">
        <f t="shared" ref="K105" si="151">J105*12</f>
        <v>0</v>
      </c>
      <c r="L105" s="260">
        <f t="shared" si="134"/>
        <v>435</v>
      </c>
      <c r="M105" s="231">
        <f t="shared" ref="M105" si="152">L105*$O$5</f>
        <v>311.20379765994522</v>
      </c>
      <c r="N105" s="261">
        <f t="shared" si="135"/>
        <v>0</v>
      </c>
      <c r="O105" s="262">
        <f t="shared" ref="O105" si="153">$O$5*N105</f>
        <v>0</v>
      </c>
      <c r="P105" s="225"/>
      <c r="Q105" s="221">
        <f>M105*$R$12</f>
        <v>0.9693998297107278</v>
      </c>
      <c r="R105" s="222">
        <f t="shared" si="72"/>
        <v>4.1975012626474513</v>
      </c>
      <c r="S105" s="222">
        <f t="shared" si="63"/>
        <v>1.9484936577185627E-2</v>
      </c>
      <c r="T105" s="222">
        <f t="shared" si="64"/>
        <v>0.98888476628791344</v>
      </c>
      <c r="V105" s="222">
        <f t="shared" si="65"/>
        <v>50.328884766287914</v>
      </c>
      <c r="W105" s="223">
        <f t="shared" si="136"/>
        <v>0</v>
      </c>
      <c r="X105" s="223">
        <f>W105-J105</f>
        <v>0</v>
      </c>
      <c r="Y105" s="224">
        <f t="shared" ref="Y105" si="154">X105*12</f>
        <v>0</v>
      </c>
      <c r="Z105" s="225"/>
      <c r="AA105" s="223">
        <f>O105*$R$11</f>
        <v>0</v>
      </c>
      <c r="AB105" s="227">
        <f>IF(I105=0,"",V105/I105-1)</f>
        <v>2.0042253066232529E-2</v>
      </c>
    </row>
    <row r="106" spans="1:28" ht="12">
      <c r="A106" s="254" t="s">
        <v>237</v>
      </c>
      <c r="B106" s="255"/>
      <c r="C106" s="256">
        <f>B106*4.33</f>
        <v>0</v>
      </c>
      <c r="D106" s="257">
        <f>3*3.5</f>
        <v>10.5</v>
      </c>
      <c r="E106" s="258">
        <f t="shared" si="67"/>
        <v>0</v>
      </c>
      <c r="F106" s="265">
        <f t="shared" si="68"/>
        <v>0</v>
      </c>
      <c r="G106" s="259">
        <f t="shared" si="137"/>
        <v>0</v>
      </c>
      <c r="H106" s="215">
        <v>52</v>
      </c>
      <c r="I106" s="216">
        <v>163.89</v>
      </c>
      <c r="J106" s="168">
        <f t="shared" si="133"/>
        <v>0</v>
      </c>
      <c r="K106" s="171">
        <f t="shared" si="69"/>
        <v>0</v>
      </c>
      <c r="L106" s="260">
        <f t="shared" si="134"/>
        <v>1522.5</v>
      </c>
      <c r="M106" s="231">
        <f t="shared" si="70"/>
        <v>1089.2132918098082</v>
      </c>
      <c r="N106" s="261">
        <f t="shared" si="135"/>
        <v>0</v>
      </c>
      <c r="O106" s="262">
        <f t="shared" si="71"/>
        <v>0</v>
      </c>
      <c r="P106" s="225"/>
      <c r="Q106" s="221">
        <f t="shared" si="62"/>
        <v>3.3928994039875469</v>
      </c>
      <c r="R106" s="222">
        <f t="shared" si="72"/>
        <v>14.691254419266079</v>
      </c>
      <c r="S106" s="222">
        <f t="shared" si="63"/>
        <v>6.8197278020149688E-2</v>
      </c>
      <c r="T106" s="222">
        <f t="shared" si="64"/>
        <v>3.4610966820076965</v>
      </c>
      <c r="V106" s="222">
        <f t="shared" si="65"/>
        <v>167.35109668200769</v>
      </c>
      <c r="W106" s="223">
        <f t="shared" si="136"/>
        <v>0</v>
      </c>
      <c r="X106" s="223">
        <f t="shared" si="73"/>
        <v>0</v>
      </c>
      <c r="Y106" s="224">
        <f t="shared" si="74"/>
        <v>0</v>
      </c>
      <c r="Z106" s="225"/>
      <c r="AA106" s="223">
        <f t="shared" si="75"/>
        <v>0</v>
      </c>
      <c r="AB106" s="227">
        <f t="shared" si="66"/>
        <v>2.1118412850129387E-2</v>
      </c>
    </row>
    <row r="107" spans="1:28" ht="12">
      <c r="A107" s="254" t="s">
        <v>238</v>
      </c>
      <c r="B107" s="255"/>
      <c r="C107" s="256">
        <f>B107*4.33</f>
        <v>0</v>
      </c>
      <c r="D107" s="257">
        <f>3*5</f>
        <v>15</v>
      </c>
      <c r="E107" s="258">
        <f>C107*D107</f>
        <v>0</v>
      </c>
      <c r="F107" s="265">
        <f t="shared" si="68"/>
        <v>0</v>
      </c>
      <c r="G107" s="263">
        <f t="shared" si="137"/>
        <v>0</v>
      </c>
      <c r="H107" s="215">
        <v>52</v>
      </c>
      <c r="I107" s="216">
        <v>0</v>
      </c>
      <c r="J107" s="168">
        <f t="shared" si="133"/>
        <v>0</v>
      </c>
      <c r="K107" s="171">
        <f>J107*12</f>
        <v>0</v>
      </c>
      <c r="L107" s="260">
        <f t="shared" si="134"/>
        <v>2175</v>
      </c>
      <c r="M107" s="231">
        <f t="shared" si="70"/>
        <v>1556.0189882997261</v>
      </c>
      <c r="N107" s="261">
        <f t="shared" si="135"/>
        <v>0</v>
      </c>
      <c r="O107" s="262">
        <f t="shared" si="71"/>
        <v>0</v>
      </c>
      <c r="P107" s="225"/>
      <c r="Q107" s="221">
        <f>M107*$R$12</f>
        <v>4.846999148553639</v>
      </c>
      <c r="R107" s="222">
        <f t="shared" si="72"/>
        <v>20.987506313237258</v>
      </c>
      <c r="S107" s="222">
        <f t="shared" si="63"/>
        <v>9.7424682885928149E-2</v>
      </c>
      <c r="T107" s="222">
        <f t="shared" si="64"/>
        <v>4.9444238314395674</v>
      </c>
      <c r="V107" s="222">
        <f t="shared" si="65"/>
        <v>4.9444238314395674</v>
      </c>
      <c r="W107" s="223">
        <f t="shared" si="136"/>
        <v>0</v>
      </c>
      <c r="X107" s="223">
        <f>W107-J107</f>
        <v>0</v>
      </c>
      <c r="Y107" s="224">
        <f>X107*12</f>
        <v>0</v>
      </c>
      <c r="Z107" s="225"/>
      <c r="AA107" s="223">
        <f>O107*$R$11</f>
        <v>0</v>
      </c>
      <c r="AB107" s="227" t="str">
        <f>IF(I107=0,"",V107/I107-1)</f>
        <v/>
      </c>
    </row>
    <row r="108" spans="1:28" ht="12">
      <c r="A108" s="254" t="s">
        <v>298</v>
      </c>
      <c r="B108" s="255"/>
      <c r="C108" s="256">
        <f>B108*4.33</f>
        <v>0</v>
      </c>
      <c r="D108" s="257">
        <v>10.5</v>
      </c>
      <c r="E108" s="258">
        <f>C108*D108</f>
        <v>0</v>
      </c>
      <c r="F108" s="265">
        <f t="shared" ref="F108" si="155">C108*12</f>
        <v>0</v>
      </c>
      <c r="G108" s="263">
        <f t="shared" si="137"/>
        <v>0</v>
      </c>
      <c r="H108" s="215">
        <v>52</v>
      </c>
      <c r="I108" s="216">
        <v>166.67</v>
      </c>
      <c r="J108" s="168">
        <f t="shared" si="133"/>
        <v>0</v>
      </c>
      <c r="K108" s="171">
        <f>J108*12</f>
        <v>0</v>
      </c>
      <c r="L108" s="260">
        <f t="shared" si="134"/>
        <v>1522.5</v>
      </c>
      <c r="M108" s="231">
        <f t="shared" ref="M108" si="156">L108*$O$5</f>
        <v>1089.2132918098082</v>
      </c>
      <c r="N108" s="261">
        <f t="shared" si="135"/>
        <v>0</v>
      </c>
      <c r="O108" s="262">
        <f t="shared" ref="O108" si="157">$O$5*N108</f>
        <v>0</v>
      </c>
      <c r="P108" s="225"/>
      <c r="Q108" s="221">
        <f>M108*$R$12</f>
        <v>3.3928994039875469</v>
      </c>
      <c r="R108" s="222">
        <f t="shared" si="72"/>
        <v>14.691254419266079</v>
      </c>
      <c r="S108" s="222">
        <f t="shared" si="63"/>
        <v>6.8197278020149688E-2</v>
      </c>
      <c r="T108" s="222">
        <f t="shared" si="64"/>
        <v>3.4610966820076965</v>
      </c>
      <c r="V108" s="222">
        <f t="shared" si="65"/>
        <v>170.13109668200769</v>
      </c>
      <c r="W108" s="223">
        <f t="shared" si="136"/>
        <v>0</v>
      </c>
      <c r="X108" s="223">
        <f>W108-J108</f>
        <v>0</v>
      </c>
      <c r="Y108" s="224">
        <f>X108*12</f>
        <v>0</v>
      </c>
      <c r="Z108" s="225"/>
      <c r="AA108" s="223">
        <f>O108*$R$11</f>
        <v>0</v>
      </c>
      <c r="AB108" s="227">
        <f>IF(I108=0,"",V108/I108-1)</f>
        <v>2.0766164768750928E-2</v>
      </c>
    </row>
    <row r="109" spans="1:28" ht="12">
      <c r="A109" s="254" t="s">
        <v>143</v>
      </c>
      <c r="B109" s="255">
        <v>2</v>
      </c>
      <c r="C109" s="256">
        <f>+B109*1</f>
        <v>2</v>
      </c>
      <c r="D109" s="257">
        <v>3</v>
      </c>
      <c r="E109" s="258">
        <f t="shared" si="67"/>
        <v>6</v>
      </c>
      <c r="F109" s="265">
        <f t="shared" si="68"/>
        <v>24</v>
      </c>
      <c r="G109" s="259">
        <f t="shared" si="137"/>
        <v>2</v>
      </c>
      <c r="H109" s="215">
        <v>52</v>
      </c>
      <c r="I109" s="216">
        <v>51.43</v>
      </c>
      <c r="J109" s="168">
        <f t="shared" si="133"/>
        <v>102.86</v>
      </c>
      <c r="K109" s="171">
        <f t="shared" si="69"/>
        <v>1234.32</v>
      </c>
      <c r="L109" s="260">
        <f t="shared" si="134"/>
        <v>435</v>
      </c>
      <c r="M109" s="231">
        <f t="shared" si="70"/>
        <v>311.20379765994522</v>
      </c>
      <c r="N109" s="261">
        <f t="shared" si="135"/>
        <v>5.22</v>
      </c>
      <c r="O109" s="262">
        <f t="shared" si="71"/>
        <v>3.7344455719193426</v>
      </c>
      <c r="P109" s="225"/>
      <c r="Q109" s="221">
        <f t="shared" si="62"/>
        <v>0.9693998297107278</v>
      </c>
      <c r="R109" s="222">
        <f t="shared" si="72"/>
        <v>4.1975012626474513</v>
      </c>
      <c r="S109" s="222">
        <f t="shared" si="63"/>
        <v>1.9484936577185627E-2</v>
      </c>
      <c r="T109" s="222">
        <f t="shared" si="64"/>
        <v>0.98888476628791344</v>
      </c>
      <c r="V109" s="222">
        <f t="shared" si="65"/>
        <v>52.41888476628791</v>
      </c>
      <c r="W109" s="223">
        <f t="shared" si="136"/>
        <v>104.83776953257582</v>
      </c>
      <c r="X109" s="223">
        <f t="shared" si="73"/>
        <v>1.9777695325758202</v>
      </c>
      <c r="Y109" s="224">
        <f t="shared" si="74"/>
        <v>23.733234390909843</v>
      </c>
      <c r="Z109" s="225"/>
      <c r="AA109" s="223">
        <f t="shared" si="75"/>
        <v>23.265595913057467</v>
      </c>
      <c r="AB109" s="227">
        <f t="shared" si="66"/>
        <v>1.9227780795020522E-2</v>
      </c>
    </row>
    <row r="110" spans="1:28" ht="12">
      <c r="A110" s="254" t="s">
        <v>144</v>
      </c>
      <c r="B110" s="255">
        <v>18</v>
      </c>
      <c r="C110" s="256">
        <f>B110*4.3333</f>
        <v>77.999400000000009</v>
      </c>
      <c r="D110" s="257">
        <v>3</v>
      </c>
      <c r="E110" s="258">
        <f t="shared" si="67"/>
        <v>233.99820000000003</v>
      </c>
      <c r="F110" s="265">
        <f t="shared" si="68"/>
        <v>935.9928000000001</v>
      </c>
      <c r="G110" s="259">
        <f t="shared" si="137"/>
        <v>18</v>
      </c>
      <c r="H110" s="215">
        <v>52</v>
      </c>
      <c r="I110" s="216">
        <v>47.89</v>
      </c>
      <c r="J110" s="168">
        <f t="shared" si="133"/>
        <v>3735.3912660000005</v>
      </c>
      <c r="K110" s="171">
        <f t="shared" si="69"/>
        <v>44824.695192000007</v>
      </c>
      <c r="L110" s="260">
        <f t="shared" si="134"/>
        <v>435</v>
      </c>
      <c r="M110" s="231">
        <f t="shared" si="70"/>
        <v>311.20379765994522</v>
      </c>
      <c r="N110" s="261">
        <f t="shared" si="135"/>
        <v>203.58</v>
      </c>
      <c r="O110" s="262">
        <f t="shared" si="71"/>
        <v>145.64337730485437</v>
      </c>
      <c r="P110" s="225"/>
      <c r="Q110" s="221">
        <f t="shared" si="62"/>
        <v>0.9693998297107278</v>
      </c>
      <c r="R110" s="222">
        <f t="shared" si="72"/>
        <v>4.1975012626474513</v>
      </c>
      <c r="S110" s="222">
        <f t="shared" ref="S110:S142" si="158">Q110*$U$12</f>
        <v>1.9484936577185627E-2</v>
      </c>
      <c r="T110" s="222">
        <f t="shared" ref="T110:T141" si="159">+Q110+S110</f>
        <v>0.98888476628791344</v>
      </c>
      <c r="V110" s="222">
        <f t="shared" ref="V110:V142" si="160">I110+T110</f>
        <v>48.878884766287911</v>
      </c>
      <c r="W110" s="223">
        <f t="shared" si="136"/>
        <v>3812.5236844395977</v>
      </c>
      <c r="X110" s="223">
        <f t="shared" si="73"/>
        <v>77.132418439597132</v>
      </c>
      <c r="Y110" s="224">
        <f t="shared" si="74"/>
        <v>925.58902127516558</v>
      </c>
      <c r="Z110" s="225"/>
      <c r="AA110" s="223">
        <f t="shared" si="75"/>
        <v>907.35824060924119</v>
      </c>
      <c r="AB110" s="227">
        <f t="shared" si="66"/>
        <v>2.0649086788221194E-2</v>
      </c>
    </row>
    <row r="111" spans="1:28" ht="12">
      <c r="A111" s="254" t="s">
        <v>145</v>
      </c>
      <c r="B111" s="255">
        <v>2</v>
      </c>
      <c r="C111" s="256">
        <f>B111*4.3333*2</f>
        <v>17.333200000000001</v>
      </c>
      <c r="D111" s="257">
        <v>3</v>
      </c>
      <c r="E111" s="258">
        <f t="shared" si="67"/>
        <v>51.999600000000001</v>
      </c>
      <c r="F111" s="265">
        <f t="shared" si="68"/>
        <v>207.9984</v>
      </c>
      <c r="G111" s="259">
        <f t="shared" si="137"/>
        <v>2</v>
      </c>
      <c r="H111" s="215">
        <v>52</v>
      </c>
      <c r="I111" s="216">
        <v>47.89</v>
      </c>
      <c r="J111" s="168">
        <f t="shared" si="133"/>
        <v>830.08694800000012</v>
      </c>
      <c r="K111" s="171">
        <f t="shared" si="69"/>
        <v>9961.0433760000014</v>
      </c>
      <c r="L111" s="260">
        <f t="shared" si="134"/>
        <v>435</v>
      </c>
      <c r="M111" s="231">
        <f t="shared" si="70"/>
        <v>311.20379765994522</v>
      </c>
      <c r="N111" s="261">
        <f t="shared" si="135"/>
        <v>45.24</v>
      </c>
      <c r="O111" s="262">
        <f t="shared" si="71"/>
        <v>32.365194956634305</v>
      </c>
      <c r="P111" s="225"/>
      <c r="Q111" s="221">
        <f t="shared" si="62"/>
        <v>0.9693998297107278</v>
      </c>
      <c r="R111" s="222">
        <f t="shared" si="72"/>
        <v>4.1975012626474513</v>
      </c>
      <c r="S111" s="222">
        <f t="shared" si="158"/>
        <v>1.9484936577185627E-2</v>
      </c>
      <c r="T111" s="222">
        <f t="shared" si="159"/>
        <v>0.98888476628791344</v>
      </c>
      <c r="V111" s="222">
        <f t="shared" si="160"/>
        <v>48.878884766287911</v>
      </c>
      <c r="W111" s="223">
        <f t="shared" si="136"/>
        <v>847.22748543102171</v>
      </c>
      <c r="X111" s="223">
        <f t="shared" si="73"/>
        <v>17.140537431021585</v>
      </c>
      <c r="Y111" s="224">
        <f t="shared" si="74"/>
        <v>205.68644917225902</v>
      </c>
      <c r="Z111" s="225"/>
      <c r="AA111" s="223">
        <f t="shared" si="75"/>
        <v>201.63516457983138</v>
      </c>
      <c r="AB111" s="227">
        <f t="shared" si="66"/>
        <v>2.0649086788221194E-2</v>
      </c>
    </row>
    <row r="112" spans="1:28" ht="12">
      <c r="A112" s="254" t="s">
        <v>146</v>
      </c>
      <c r="B112" s="255">
        <v>2</v>
      </c>
      <c r="C112" s="256">
        <f>B112*4.3333*3</f>
        <v>25.9998</v>
      </c>
      <c r="D112" s="257">
        <v>3</v>
      </c>
      <c r="E112" s="258">
        <f>C112*D112</f>
        <v>77.999400000000009</v>
      </c>
      <c r="F112" s="265">
        <f t="shared" si="68"/>
        <v>311.99760000000003</v>
      </c>
      <c r="G112" s="259">
        <f t="shared" si="137"/>
        <v>2</v>
      </c>
      <c r="H112" s="215">
        <v>52</v>
      </c>
      <c r="I112" s="216">
        <v>47.89</v>
      </c>
      <c r="J112" s="168">
        <f t="shared" si="133"/>
        <v>1245.130422</v>
      </c>
      <c r="K112" s="171">
        <f t="shared" si="69"/>
        <v>14941.565063999999</v>
      </c>
      <c r="L112" s="260">
        <f t="shared" si="134"/>
        <v>435</v>
      </c>
      <c r="M112" s="231">
        <f t="shared" si="70"/>
        <v>311.20379765994522</v>
      </c>
      <c r="N112" s="261">
        <f t="shared" si="135"/>
        <v>67.86</v>
      </c>
      <c r="O112" s="262">
        <f t="shared" si="71"/>
        <v>48.547792434951454</v>
      </c>
      <c r="P112" s="225"/>
      <c r="Q112" s="221">
        <f>M112*$R$12</f>
        <v>0.9693998297107278</v>
      </c>
      <c r="R112" s="222">
        <f t="shared" si="72"/>
        <v>4.1975012626474513</v>
      </c>
      <c r="S112" s="222">
        <f t="shared" si="158"/>
        <v>1.9484936577185627E-2</v>
      </c>
      <c r="T112" s="222">
        <f t="shared" si="159"/>
        <v>0.98888476628791344</v>
      </c>
      <c r="V112" s="222">
        <f t="shared" si="160"/>
        <v>48.878884766287911</v>
      </c>
      <c r="W112" s="223">
        <f t="shared" si="136"/>
        <v>1270.8412281465323</v>
      </c>
      <c r="X112" s="223">
        <f>W112-J112</f>
        <v>25.710806146532377</v>
      </c>
      <c r="Y112" s="224">
        <f t="shared" si="74"/>
        <v>308.52967375838853</v>
      </c>
      <c r="Z112" s="225"/>
      <c r="AA112" s="223">
        <f>O112*$R$11</f>
        <v>302.45274686974705</v>
      </c>
      <c r="AB112" s="227">
        <f>IF(I112=0,"",V112/I112-1)</f>
        <v>2.0649086788221194E-2</v>
      </c>
    </row>
    <row r="113" spans="1:28" ht="12">
      <c r="A113" s="254" t="s">
        <v>239</v>
      </c>
      <c r="B113" s="255"/>
      <c r="C113" s="256">
        <f>B113*4.3333*4</f>
        <v>0</v>
      </c>
      <c r="D113" s="257">
        <v>3</v>
      </c>
      <c r="E113" s="258">
        <f t="shared" si="67"/>
        <v>0</v>
      </c>
      <c r="F113" s="265">
        <f t="shared" si="68"/>
        <v>0</v>
      </c>
      <c r="G113" s="259">
        <f t="shared" si="137"/>
        <v>0</v>
      </c>
      <c r="H113" s="215">
        <v>52</v>
      </c>
      <c r="I113" s="216">
        <v>47.89</v>
      </c>
      <c r="J113" s="168">
        <f t="shared" si="133"/>
        <v>0</v>
      </c>
      <c r="K113" s="171">
        <f t="shared" si="69"/>
        <v>0</v>
      </c>
      <c r="L113" s="260">
        <f t="shared" si="134"/>
        <v>435</v>
      </c>
      <c r="M113" s="231">
        <f t="shared" si="70"/>
        <v>311.20379765994522</v>
      </c>
      <c r="N113" s="261">
        <f t="shared" si="135"/>
        <v>0</v>
      </c>
      <c r="O113" s="262">
        <f t="shared" si="71"/>
        <v>0</v>
      </c>
      <c r="P113" s="225"/>
      <c r="Q113" s="221">
        <f t="shared" si="62"/>
        <v>0.9693998297107278</v>
      </c>
      <c r="R113" s="222">
        <f t="shared" si="72"/>
        <v>4.1975012626474513</v>
      </c>
      <c r="S113" s="222">
        <f t="shared" si="158"/>
        <v>1.9484936577185627E-2</v>
      </c>
      <c r="T113" s="222">
        <f t="shared" si="159"/>
        <v>0.98888476628791344</v>
      </c>
      <c r="V113" s="222">
        <f t="shared" si="160"/>
        <v>48.878884766287911</v>
      </c>
      <c r="W113" s="223">
        <f t="shared" si="136"/>
        <v>0</v>
      </c>
      <c r="X113" s="223">
        <f t="shared" si="73"/>
        <v>0</v>
      </c>
      <c r="Y113" s="224">
        <f t="shared" si="74"/>
        <v>0</v>
      </c>
      <c r="Z113" s="225"/>
      <c r="AA113" s="223">
        <f t="shared" si="75"/>
        <v>0</v>
      </c>
      <c r="AB113" s="227">
        <f t="shared" si="66"/>
        <v>2.0649086788221194E-2</v>
      </c>
    </row>
    <row r="114" spans="1:28" ht="12">
      <c r="A114" s="254" t="s">
        <v>314</v>
      </c>
      <c r="B114" s="255"/>
      <c r="C114" s="256">
        <f>B114*4.3333*4</f>
        <v>0</v>
      </c>
      <c r="D114" s="257">
        <v>4</v>
      </c>
      <c r="E114" s="258">
        <f t="shared" ref="E114" si="161">C114*D114</f>
        <v>0</v>
      </c>
      <c r="F114" s="265">
        <f t="shared" ref="F114" si="162">C114*12</f>
        <v>0</v>
      </c>
      <c r="G114" s="259">
        <f t="shared" si="137"/>
        <v>0</v>
      </c>
      <c r="H114" s="215">
        <v>52</v>
      </c>
      <c r="I114" s="216">
        <v>64.569999999999993</v>
      </c>
      <c r="J114" s="168">
        <f t="shared" si="133"/>
        <v>0</v>
      </c>
      <c r="K114" s="171">
        <f t="shared" ref="K114" si="163">J114*12</f>
        <v>0</v>
      </c>
      <c r="L114" s="260">
        <f t="shared" si="134"/>
        <v>580</v>
      </c>
      <c r="M114" s="231">
        <f t="shared" ref="M114" si="164">L114*$O$5</f>
        <v>414.93839687992693</v>
      </c>
      <c r="N114" s="261">
        <f t="shared" si="135"/>
        <v>0</v>
      </c>
      <c r="O114" s="262">
        <f t="shared" ref="O114" si="165">$O$5*N114</f>
        <v>0</v>
      </c>
      <c r="P114" s="225"/>
      <c r="Q114" s="221">
        <f t="shared" ref="Q114" si="166">M114*$R$12</f>
        <v>1.2925331062809702</v>
      </c>
      <c r="R114" s="222">
        <f t="shared" si="72"/>
        <v>5.5966683501966008</v>
      </c>
      <c r="S114" s="222">
        <f t="shared" si="158"/>
        <v>2.5979915436247499E-2</v>
      </c>
      <c r="T114" s="222">
        <f t="shared" si="159"/>
        <v>1.3185130217172176</v>
      </c>
      <c r="V114" s="222">
        <f t="shared" si="160"/>
        <v>65.888513021717216</v>
      </c>
      <c r="W114" s="223">
        <f t="shared" si="136"/>
        <v>0</v>
      </c>
      <c r="X114" s="223">
        <f t="shared" ref="X114" si="167">W114-J114</f>
        <v>0</v>
      </c>
      <c r="Y114" s="224">
        <f t="shared" ref="Y114" si="168">X114*12</f>
        <v>0</v>
      </c>
      <c r="Z114" s="225"/>
      <c r="AA114" s="223">
        <f t="shared" ref="AA114" si="169">O114*$R$11</f>
        <v>0</v>
      </c>
      <c r="AB114" s="227">
        <f t="shared" ref="AB114" si="170">IF(I114=0,"",V114/I114-1)</f>
        <v>2.041990121909909E-2</v>
      </c>
    </row>
    <row r="115" spans="1:28" ht="12">
      <c r="A115" s="254" t="s">
        <v>240</v>
      </c>
      <c r="B115" s="255"/>
      <c r="C115" s="256">
        <f>B115*4.33</f>
        <v>0</v>
      </c>
      <c r="D115" s="257">
        <f>4*3.5</f>
        <v>14</v>
      </c>
      <c r="E115" s="258">
        <f t="shared" si="67"/>
        <v>0</v>
      </c>
      <c r="F115" s="265">
        <f t="shared" si="68"/>
        <v>0</v>
      </c>
      <c r="G115" s="259">
        <f t="shared" si="137"/>
        <v>0</v>
      </c>
      <c r="H115" s="215">
        <v>52</v>
      </c>
      <c r="I115" s="216">
        <v>283</v>
      </c>
      <c r="J115" s="168">
        <f t="shared" si="133"/>
        <v>0</v>
      </c>
      <c r="K115" s="171">
        <f t="shared" si="69"/>
        <v>0</v>
      </c>
      <c r="L115" s="260">
        <f t="shared" si="134"/>
        <v>2030</v>
      </c>
      <c r="M115" s="231">
        <f t="shared" si="70"/>
        <v>1452.2843890797444</v>
      </c>
      <c r="N115" s="261">
        <f t="shared" si="135"/>
        <v>0</v>
      </c>
      <c r="O115" s="262">
        <f t="shared" si="71"/>
        <v>0</v>
      </c>
      <c r="P115" s="225"/>
      <c r="Q115" s="221">
        <f t="shared" si="62"/>
        <v>4.5238658719833964</v>
      </c>
      <c r="R115" s="222">
        <f t="shared" si="72"/>
        <v>19.588339225688106</v>
      </c>
      <c r="S115" s="222">
        <f t="shared" si="158"/>
        <v>9.0929704026866273E-2</v>
      </c>
      <c r="T115" s="222">
        <f t="shared" si="159"/>
        <v>4.6147955760102626</v>
      </c>
      <c r="V115" s="222">
        <f t="shared" si="160"/>
        <v>287.61479557601024</v>
      </c>
      <c r="W115" s="223">
        <f t="shared" si="136"/>
        <v>0</v>
      </c>
      <c r="X115" s="223">
        <f t="shared" si="73"/>
        <v>0</v>
      </c>
      <c r="Y115" s="224">
        <f t="shared" si="74"/>
        <v>0</v>
      </c>
      <c r="Z115" s="225"/>
      <c r="AA115" s="223">
        <f t="shared" si="75"/>
        <v>0</v>
      </c>
      <c r="AB115" s="227">
        <f t="shared" si="66"/>
        <v>1.6306698148446097E-2</v>
      </c>
    </row>
    <row r="116" spans="1:28" ht="12">
      <c r="A116" s="254" t="s">
        <v>299</v>
      </c>
      <c r="B116" s="255"/>
      <c r="C116" s="256">
        <f>B116*4.33</f>
        <v>0</v>
      </c>
      <c r="D116" s="257">
        <v>14</v>
      </c>
      <c r="E116" s="258">
        <f t="shared" ref="E116" si="171">C116*D116</f>
        <v>0</v>
      </c>
      <c r="F116" s="265">
        <f t="shared" ref="F116" si="172">C116*12</f>
        <v>0</v>
      </c>
      <c r="G116" s="259">
        <f t="shared" si="137"/>
        <v>0</v>
      </c>
      <c r="H116" s="215">
        <v>52</v>
      </c>
      <c r="I116" s="216">
        <v>285.49</v>
      </c>
      <c r="J116" s="168">
        <f t="shared" si="133"/>
        <v>0</v>
      </c>
      <c r="K116" s="171">
        <f t="shared" si="69"/>
        <v>0</v>
      </c>
      <c r="L116" s="260">
        <f t="shared" si="134"/>
        <v>2030</v>
      </c>
      <c r="M116" s="231">
        <f t="shared" ref="M116" si="173">L116*$O$5</f>
        <v>1452.2843890797444</v>
      </c>
      <c r="N116" s="261">
        <f t="shared" si="135"/>
        <v>0</v>
      </c>
      <c r="O116" s="262">
        <f t="shared" ref="O116" si="174">$O$5*N116</f>
        <v>0</v>
      </c>
      <c r="P116" s="225"/>
      <c r="Q116" s="221">
        <f t="shared" ref="Q116" si="175">M116*$R$12</f>
        <v>4.5238658719833964</v>
      </c>
      <c r="R116" s="222">
        <f t="shared" si="72"/>
        <v>19.588339225688106</v>
      </c>
      <c r="S116" s="222">
        <f t="shared" si="158"/>
        <v>9.0929704026866273E-2</v>
      </c>
      <c r="T116" s="222">
        <f t="shared" si="159"/>
        <v>4.6147955760102626</v>
      </c>
      <c r="V116" s="222">
        <f t="shared" si="160"/>
        <v>290.10479557601025</v>
      </c>
      <c r="W116" s="223">
        <f t="shared" si="136"/>
        <v>0</v>
      </c>
      <c r="X116" s="223">
        <f t="shared" ref="X116" si="176">W116-J116</f>
        <v>0</v>
      </c>
      <c r="Y116" s="224">
        <f t="shared" ref="Y116" si="177">X116*12</f>
        <v>0</v>
      </c>
      <c r="Z116" s="225"/>
      <c r="AA116" s="223">
        <f t="shared" ref="AA116" si="178">O116*$R$11</f>
        <v>0</v>
      </c>
      <c r="AB116" s="227">
        <f t="shared" ref="AB116" si="179">IF(I116=0,"",V116/I116-1)</f>
        <v>1.6164473627833686E-2</v>
      </c>
    </row>
    <row r="117" spans="1:28" ht="12">
      <c r="A117" s="254" t="s">
        <v>241</v>
      </c>
      <c r="B117" s="255"/>
      <c r="C117" s="256">
        <f>B117*4.33</f>
        <v>0</v>
      </c>
      <c r="D117" s="257">
        <f>4*5</f>
        <v>20</v>
      </c>
      <c r="E117" s="258">
        <f t="shared" si="67"/>
        <v>0</v>
      </c>
      <c r="F117" s="265">
        <f t="shared" si="68"/>
        <v>0</v>
      </c>
      <c r="G117" s="263">
        <f t="shared" si="137"/>
        <v>0</v>
      </c>
      <c r="H117" s="215">
        <v>52</v>
      </c>
      <c r="I117" s="216">
        <v>0</v>
      </c>
      <c r="J117" s="168">
        <f t="shared" si="133"/>
        <v>0</v>
      </c>
      <c r="K117" s="171">
        <f t="shared" si="69"/>
        <v>0</v>
      </c>
      <c r="L117" s="260">
        <f t="shared" si="134"/>
        <v>2900</v>
      </c>
      <c r="M117" s="231">
        <f t="shared" si="70"/>
        <v>2074.6919843996347</v>
      </c>
      <c r="N117" s="261">
        <f t="shared" si="135"/>
        <v>0</v>
      </c>
      <c r="O117" s="262">
        <f t="shared" si="71"/>
        <v>0</v>
      </c>
      <c r="P117" s="225"/>
      <c r="Q117" s="221">
        <f t="shared" si="62"/>
        <v>6.462665531404852</v>
      </c>
      <c r="R117" s="222">
        <f t="shared" si="72"/>
        <v>27.983341750983008</v>
      </c>
      <c r="S117" s="222">
        <f t="shared" si="158"/>
        <v>0.12989957718123751</v>
      </c>
      <c r="T117" s="222">
        <f t="shared" si="159"/>
        <v>6.5925651085860899</v>
      </c>
      <c r="V117" s="222">
        <f t="shared" si="160"/>
        <v>6.5925651085860899</v>
      </c>
      <c r="W117" s="223">
        <f t="shared" si="136"/>
        <v>0</v>
      </c>
      <c r="X117" s="223">
        <f t="shared" si="73"/>
        <v>0</v>
      </c>
      <c r="Y117" s="224">
        <f t="shared" si="74"/>
        <v>0</v>
      </c>
      <c r="Z117" s="225"/>
      <c r="AA117" s="223">
        <f t="shared" si="75"/>
        <v>0</v>
      </c>
      <c r="AB117" s="227" t="str">
        <f t="shared" si="66"/>
        <v/>
      </c>
    </row>
    <row r="118" spans="1:28" ht="12">
      <c r="A118" s="254" t="s">
        <v>147</v>
      </c>
      <c r="B118" s="255">
        <v>8</v>
      </c>
      <c r="C118" s="256">
        <f>+B118*1</f>
        <v>8</v>
      </c>
      <c r="D118" s="257">
        <v>4</v>
      </c>
      <c r="E118" s="258">
        <f t="shared" si="67"/>
        <v>32</v>
      </c>
      <c r="F118" s="265">
        <f t="shared" si="68"/>
        <v>96</v>
      </c>
      <c r="G118" s="259">
        <f t="shared" si="137"/>
        <v>8</v>
      </c>
      <c r="H118" s="215">
        <v>52</v>
      </c>
      <c r="I118" s="216">
        <v>67.28</v>
      </c>
      <c r="J118" s="168">
        <f t="shared" si="133"/>
        <v>538.24</v>
      </c>
      <c r="K118" s="171">
        <f t="shared" si="69"/>
        <v>6458.88</v>
      </c>
      <c r="L118" s="260">
        <f t="shared" si="134"/>
        <v>580</v>
      </c>
      <c r="M118" s="231">
        <f t="shared" si="70"/>
        <v>414.93839687992693</v>
      </c>
      <c r="N118" s="261">
        <f t="shared" si="135"/>
        <v>27.84</v>
      </c>
      <c r="O118" s="262">
        <f t="shared" si="71"/>
        <v>19.917043050236494</v>
      </c>
      <c r="P118" s="225"/>
      <c r="Q118" s="221">
        <f t="shared" si="62"/>
        <v>1.2925331062809702</v>
      </c>
      <c r="R118" s="222">
        <f t="shared" si="72"/>
        <v>5.5966683501966008</v>
      </c>
      <c r="S118" s="222">
        <f t="shared" si="158"/>
        <v>2.5979915436247499E-2</v>
      </c>
      <c r="T118" s="222">
        <f t="shared" si="159"/>
        <v>1.3185130217172176</v>
      </c>
      <c r="V118" s="222">
        <f t="shared" si="160"/>
        <v>68.598513021717224</v>
      </c>
      <c r="W118" s="223">
        <f t="shared" si="136"/>
        <v>548.78810417373779</v>
      </c>
      <c r="X118" s="223">
        <f t="shared" si="73"/>
        <v>10.548104173737784</v>
      </c>
      <c r="Y118" s="224">
        <f t="shared" si="74"/>
        <v>126.5772500848534</v>
      </c>
      <c r="Z118" s="225"/>
      <c r="AA118" s="223">
        <f t="shared" si="75"/>
        <v>124.08317820297316</v>
      </c>
      <c r="AB118" s="227">
        <f t="shared" si="66"/>
        <v>1.9597399252634151E-2</v>
      </c>
    </row>
    <row r="119" spans="1:28" ht="12">
      <c r="A119" s="254" t="s">
        <v>148</v>
      </c>
      <c r="B119" s="255">
        <v>30</v>
      </c>
      <c r="C119" s="256">
        <f>B119*4.3333</f>
        <v>129.99900000000002</v>
      </c>
      <c r="D119" s="257">
        <v>4</v>
      </c>
      <c r="E119" s="258">
        <f t="shared" si="67"/>
        <v>519.99600000000009</v>
      </c>
      <c r="F119" s="265">
        <f t="shared" si="68"/>
        <v>1559.9880000000003</v>
      </c>
      <c r="G119" s="259">
        <f t="shared" si="137"/>
        <v>30</v>
      </c>
      <c r="H119" s="215">
        <v>52</v>
      </c>
      <c r="I119" s="216">
        <v>61.34</v>
      </c>
      <c r="J119" s="168">
        <f t="shared" ref="J119:J141" si="180">+C119*I119</f>
        <v>7974.1386600000023</v>
      </c>
      <c r="K119" s="171">
        <f t="shared" si="69"/>
        <v>95689.663920000021</v>
      </c>
      <c r="L119" s="260">
        <f t="shared" ref="L119:L152" si="181">+D119*L$16</f>
        <v>580</v>
      </c>
      <c r="M119" s="231">
        <f t="shared" si="70"/>
        <v>414.93839687992693</v>
      </c>
      <c r="N119" s="261">
        <f t="shared" ref="N119:N152" si="182">ROUND((C119*L119*12)/2000,2)</f>
        <v>452.4</v>
      </c>
      <c r="O119" s="262">
        <f t="shared" si="71"/>
        <v>323.65194956634298</v>
      </c>
      <c r="P119" s="225"/>
      <c r="Q119" s="221">
        <f t="shared" si="62"/>
        <v>1.2925331062809702</v>
      </c>
      <c r="R119" s="222">
        <f t="shared" si="72"/>
        <v>5.5966683501966008</v>
      </c>
      <c r="S119" s="222">
        <f t="shared" si="158"/>
        <v>2.5979915436247499E-2</v>
      </c>
      <c r="T119" s="222">
        <f t="shared" si="159"/>
        <v>1.3185130217172176</v>
      </c>
      <c r="V119" s="222">
        <f t="shared" si="160"/>
        <v>62.658513021717219</v>
      </c>
      <c r="W119" s="223">
        <f t="shared" ref="W119:W142" si="183">C119*V119</f>
        <v>8145.5440343102182</v>
      </c>
      <c r="X119" s="223">
        <f t="shared" si="73"/>
        <v>171.40537431021585</v>
      </c>
      <c r="Y119" s="224">
        <f t="shared" si="74"/>
        <v>2056.8644917225902</v>
      </c>
      <c r="Z119" s="225"/>
      <c r="AA119" s="223">
        <f t="shared" si="75"/>
        <v>2016.3516457983135</v>
      </c>
      <c r="AB119" s="227">
        <f t="shared" si="66"/>
        <v>2.149515848903194E-2</v>
      </c>
    </row>
    <row r="120" spans="1:28" ht="12">
      <c r="A120" s="254" t="s">
        <v>149</v>
      </c>
      <c r="B120" s="255">
        <v>9</v>
      </c>
      <c r="C120" s="256">
        <f>B120*4.3333*2</f>
        <v>77.999400000000009</v>
      </c>
      <c r="D120" s="257">
        <v>4</v>
      </c>
      <c r="E120" s="258">
        <f t="shared" si="67"/>
        <v>311.99760000000003</v>
      </c>
      <c r="F120" s="265">
        <f t="shared" si="68"/>
        <v>935.9928000000001</v>
      </c>
      <c r="G120" s="259">
        <f t="shared" ref="G120:G152" si="184">B120</f>
        <v>9</v>
      </c>
      <c r="H120" s="215">
        <v>52</v>
      </c>
      <c r="I120" s="216">
        <v>61.34</v>
      </c>
      <c r="J120" s="168">
        <f t="shared" si="180"/>
        <v>4784.483196000001</v>
      </c>
      <c r="K120" s="171">
        <f t="shared" si="69"/>
        <v>57413.798352000013</v>
      </c>
      <c r="L120" s="260">
        <f t="shared" si="181"/>
        <v>580</v>
      </c>
      <c r="M120" s="231">
        <f t="shared" si="70"/>
        <v>414.93839687992693</v>
      </c>
      <c r="N120" s="261">
        <f t="shared" si="182"/>
        <v>271.44</v>
      </c>
      <c r="O120" s="262">
        <f t="shared" si="71"/>
        <v>194.19116973980582</v>
      </c>
      <c r="P120" s="225"/>
      <c r="Q120" s="221">
        <f t="shared" si="62"/>
        <v>1.2925331062809702</v>
      </c>
      <c r="R120" s="222">
        <f t="shared" si="72"/>
        <v>5.5966683501966008</v>
      </c>
      <c r="S120" s="222">
        <f t="shared" si="158"/>
        <v>2.5979915436247499E-2</v>
      </c>
      <c r="T120" s="222">
        <f t="shared" si="159"/>
        <v>1.3185130217172176</v>
      </c>
      <c r="V120" s="222">
        <f t="shared" si="160"/>
        <v>62.658513021717219</v>
      </c>
      <c r="W120" s="223">
        <f t="shared" si="183"/>
        <v>4887.3264205861306</v>
      </c>
      <c r="X120" s="223">
        <f t="shared" si="73"/>
        <v>102.84322458612951</v>
      </c>
      <c r="Y120" s="224">
        <f t="shared" si="74"/>
        <v>1234.1186950335541</v>
      </c>
      <c r="Z120" s="225"/>
      <c r="AA120" s="223">
        <f t="shared" si="75"/>
        <v>1209.8109874789882</v>
      </c>
      <c r="AB120" s="227">
        <f t="shared" si="66"/>
        <v>2.149515848903194E-2</v>
      </c>
    </row>
    <row r="121" spans="1:28" ht="12">
      <c r="A121" s="254" t="s">
        <v>150</v>
      </c>
      <c r="B121" s="255">
        <v>3</v>
      </c>
      <c r="C121" s="256">
        <f>B121*4.3333*3</f>
        <v>38.999700000000004</v>
      </c>
      <c r="D121" s="257">
        <v>4</v>
      </c>
      <c r="E121" s="258">
        <f t="shared" si="67"/>
        <v>155.99880000000002</v>
      </c>
      <c r="F121" s="265">
        <f t="shared" si="68"/>
        <v>467.99640000000005</v>
      </c>
      <c r="G121" s="259">
        <f t="shared" si="184"/>
        <v>3</v>
      </c>
      <c r="H121" s="215">
        <v>52</v>
      </c>
      <c r="I121" s="216">
        <v>61.34</v>
      </c>
      <c r="J121" s="168">
        <f t="shared" si="180"/>
        <v>2392.2415980000005</v>
      </c>
      <c r="K121" s="171">
        <f t="shared" si="69"/>
        <v>28706.899176000006</v>
      </c>
      <c r="L121" s="260">
        <f t="shared" si="181"/>
        <v>580</v>
      </c>
      <c r="M121" s="231">
        <f t="shared" si="70"/>
        <v>414.93839687992693</v>
      </c>
      <c r="N121" s="261">
        <f t="shared" si="182"/>
        <v>135.72</v>
      </c>
      <c r="O121" s="262">
        <f t="shared" si="71"/>
        <v>97.095584869902908</v>
      </c>
      <c r="P121" s="225"/>
      <c r="Q121" s="221">
        <f t="shared" si="62"/>
        <v>1.2925331062809702</v>
      </c>
      <c r="R121" s="222">
        <f t="shared" si="72"/>
        <v>5.5966683501966008</v>
      </c>
      <c r="S121" s="222">
        <f t="shared" si="158"/>
        <v>2.5979915436247499E-2</v>
      </c>
      <c r="T121" s="222">
        <f t="shared" si="159"/>
        <v>1.3185130217172176</v>
      </c>
      <c r="V121" s="222">
        <f t="shared" si="160"/>
        <v>62.658513021717219</v>
      </c>
      <c r="W121" s="223">
        <f t="shared" si="183"/>
        <v>2443.6632102930653</v>
      </c>
      <c r="X121" s="223">
        <f t="shared" si="73"/>
        <v>51.421612293064754</v>
      </c>
      <c r="Y121" s="224">
        <f t="shared" si="74"/>
        <v>617.05934751677705</v>
      </c>
      <c r="Z121" s="225"/>
      <c r="AA121" s="223">
        <f t="shared" si="75"/>
        <v>604.90549373949409</v>
      </c>
      <c r="AB121" s="227">
        <f t="shared" si="66"/>
        <v>2.149515848903194E-2</v>
      </c>
    </row>
    <row r="122" spans="1:28" ht="12">
      <c r="A122" s="254" t="s">
        <v>242</v>
      </c>
      <c r="B122" s="255"/>
      <c r="C122" s="256">
        <f>(B122*4.3333)*4</f>
        <v>0</v>
      </c>
      <c r="D122" s="257">
        <v>4</v>
      </c>
      <c r="E122" s="258">
        <f>C122*D122</f>
        <v>0</v>
      </c>
      <c r="F122" s="265">
        <f t="shared" si="68"/>
        <v>0</v>
      </c>
      <c r="G122" s="259">
        <f t="shared" si="184"/>
        <v>0</v>
      </c>
      <c r="H122" s="215">
        <v>52</v>
      </c>
      <c r="I122" s="216">
        <v>61.34</v>
      </c>
      <c r="J122" s="168">
        <f t="shared" si="180"/>
        <v>0</v>
      </c>
      <c r="K122" s="171">
        <f t="shared" si="69"/>
        <v>0</v>
      </c>
      <c r="L122" s="260">
        <f t="shared" si="181"/>
        <v>580</v>
      </c>
      <c r="M122" s="231">
        <f t="shared" si="70"/>
        <v>414.93839687992693</v>
      </c>
      <c r="N122" s="261">
        <f t="shared" si="182"/>
        <v>0</v>
      </c>
      <c r="O122" s="262">
        <f t="shared" si="71"/>
        <v>0</v>
      </c>
      <c r="P122" s="225"/>
      <c r="Q122" s="221">
        <f>M122*$R$12</f>
        <v>1.2925331062809702</v>
      </c>
      <c r="R122" s="222">
        <f t="shared" si="72"/>
        <v>5.5966683501966008</v>
      </c>
      <c r="S122" s="222">
        <f t="shared" si="158"/>
        <v>2.5979915436247499E-2</v>
      </c>
      <c r="T122" s="222">
        <f t="shared" si="159"/>
        <v>1.3185130217172176</v>
      </c>
      <c r="V122" s="222">
        <f t="shared" si="160"/>
        <v>62.658513021717219</v>
      </c>
      <c r="W122" s="223">
        <f t="shared" si="183"/>
        <v>0</v>
      </c>
      <c r="X122" s="223">
        <f>W122-J122</f>
        <v>0</v>
      </c>
      <c r="Y122" s="224">
        <f t="shared" si="74"/>
        <v>0</v>
      </c>
      <c r="Z122" s="225"/>
      <c r="AA122" s="223">
        <f>O122*$R$11</f>
        <v>0</v>
      </c>
      <c r="AB122" s="227">
        <f>IF(I122=0,"",V122/I122-1)</f>
        <v>2.149515848903194E-2</v>
      </c>
    </row>
    <row r="123" spans="1:28" ht="12">
      <c r="A123" s="254" t="s">
        <v>243</v>
      </c>
      <c r="B123" s="255"/>
      <c r="C123" s="256">
        <f>(B123*4.3333)*6</f>
        <v>0</v>
      </c>
      <c r="D123" s="257">
        <v>4</v>
      </c>
      <c r="E123" s="258">
        <f t="shared" si="67"/>
        <v>0</v>
      </c>
      <c r="F123" s="265">
        <f t="shared" si="68"/>
        <v>0</v>
      </c>
      <c r="G123" s="259">
        <f t="shared" si="184"/>
        <v>0</v>
      </c>
      <c r="H123" s="215">
        <v>52</v>
      </c>
      <c r="I123" s="216">
        <v>61.34</v>
      </c>
      <c r="J123" s="168">
        <f t="shared" si="180"/>
        <v>0</v>
      </c>
      <c r="K123" s="171">
        <f t="shared" si="69"/>
        <v>0</v>
      </c>
      <c r="L123" s="260">
        <f t="shared" si="181"/>
        <v>580</v>
      </c>
      <c r="M123" s="231">
        <f t="shared" si="70"/>
        <v>414.93839687992693</v>
      </c>
      <c r="N123" s="261">
        <f t="shared" si="182"/>
        <v>0</v>
      </c>
      <c r="O123" s="262">
        <f t="shared" si="71"/>
        <v>0</v>
      </c>
      <c r="P123" s="225"/>
      <c r="Q123" s="221">
        <f t="shared" si="62"/>
        <v>1.2925331062809702</v>
      </c>
      <c r="R123" s="222">
        <f t="shared" si="72"/>
        <v>5.5966683501966008</v>
      </c>
      <c r="S123" s="222">
        <f t="shared" si="158"/>
        <v>2.5979915436247499E-2</v>
      </c>
      <c r="T123" s="222">
        <f t="shared" si="159"/>
        <v>1.3185130217172176</v>
      </c>
      <c r="V123" s="222">
        <f t="shared" si="160"/>
        <v>62.658513021717219</v>
      </c>
      <c r="W123" s="223">
        <f t="shared" si="183"/>
        <v>0</v>
      </c>
      <c r="X123" s="223">
        <f t="shared" si="73"/>
        <v>0</v>
      </c>
      <c r="Y123" s="224">
        <f t="shared" si="74"/>
        <v>0</v>
      </c>
      <c r="Z123" s="225"/>
      <c r="AA123" s="223">
        <f t="shared" si="75"/>
        <v>0</v>
      </c>
      <c r="AB123" s="227">
        <f t="shared" si="66"/>
        <v>2.149515848903194E-2</v>
      </c>
    </row>
    <row r="124" spans="1:28" ht="12">
      <c r="A124" s="254" t="s">
        <v>244</v>
      </c>
      <c r="B124" s="255"/>
      <c r="C124" s="256">
        <f t="shared" ref="C124:C129" si="185">B124*4.33</f>
        <v>0</v>
      </c>
      <c r="D124" s="257">
        <f>5*3.5</f>
        <v>17.5</v>
      </c>
      <c r="E124" s="258">
        <f>C124*D124</f>
        <v>0</v>
      </c>
      <c r="F124" s="265">
        <f t="shared" si="68"/>
        <v>0</v>
      </c>
      <c r="G124" s="259">
        <f t="shared" si="184"/>
        <v>0</v>
      </c>
      <c r="H124" s="215">
        <v>52</v>
      </c>
      <c r="I124" s="216">
        <v>0</v>
      </c>
      <c r="J124" s="168">
        <f t="shared" si="180"/>
        <v>0</v>
      </c>
      <c r="K124" s="171">
        <f t="shared" si="69"/>
        <v>0</v>
      </c>
      <c r="L124" s="260">
        <f t="shared" si="181"/>
        <v>2537.5</v>
      </c>
      <c r="M124" s="231">
        <f t="shared" si="70"/>
        <v>1815.3554863496804</v>
      </c>
      <c r="N124" s="261">
        <f t="shared" si="182"/>
        <v>0</v>
      </c>
      <c r="O124" s="262">
        <f t="shared" si="71"/>
        <v>0</v>
      </c>
      <c r="P124" s="225"/>
      <c r="Q124" s="221">
        <f>M124*$R$12</f>
        <v>5.6548323399792455</v>
      </c>
      <c r="R124" s="222">
        <f t="shared" si="72"/>
        <v>24.485424032110135</v>
      </c>
      <c r="S124" s="222">
        <f t="shared" si="158"/>
        <v>0.11366213003358283</v>
      </c>
      <c r="T124" s="222">
        <f t="shared" si="159"/>
        <v>5.7684944700128282</v>
      </c>
      <c r="V124" s="222">
        <f t="shared" si="160"/>
        <v>5.7684944700128282</v>
      </c>
      <c r="W124" s="223">
        <f t="shared" si="183"/>
        <v>0</v>
      </c>
      <c r="X124" s="223">
        <f>W124-J124</f>
        <v>0</v>
      </c>
      <c r="Y124" s="224">
        <f t="shared" si="74"/>
        <v>0</v>
      </c>
      <c r="Z124" s="225"/>
      <c r="AA124" s="223">
        <f>O124*$R$11</f>
        <v>0</v>
      </c>
      <c r="AB124" s="227" t="str">
        <f>IF(I124=0,"",V124/I124-1)</f>
        <v/>
      </c>
    </row>
    <row r="125" spans="1:28" ht="12">
      <c r="A125" s="254" t="s">
        <v>245</v>
      </c>
      <c r="B125" s="255"/>
      <c r="C125" s="256">
        <f t="shared" si="185"/>
        <v>0</v>
      </c>
      <c r="D125" s="257">
        <f>5*5</f>
        <v>25</v>
      </c>
      <c r="E125" s="258">
        <f>C125*D125</f>
        <v>0</v>
      </c>
      <c r="F125" s="265">
        <f t="shared" si="68"/>
        <v>0</v>
      </c>
      <c r="G125" s="263">
        <f t="shared" si="184"/>
        <v>0</v>
      </c>
      <c r="H125" s="215">
        <v>52</v>
      </c>
      <c r="I125" s="216">
        <v>0</v>
      </c>
      <c r="J125" s="168">
        <f t="shared" si="180"/>
        <v>0</v>
      </c>
      <c r="K125" s="171">
        <f t="shared" si="69"/>
        <v>0</v>
      </c>
      <c r="L125" s="260">
        <f t="shared" si="181"/>
        <v>3625</v>
      </c>
      <c r="M125" s="231">
        <f t="shared" si="70"/>
        <v>2593.3649804995434</v>
      </c>
      <c r="N125" s="261">
        <f t="shared" si="182"/>
        <v>0</v>
      </c>
      <c r="O125" s="262">
        <f t="shared" si="71"/>
        <v>0</v>
      </c>
      <c r="P125" s="225"/>
      <c r="Q125" s="221">
        <f>M125*$R$12</f>
        <v>8.078331914256065</v>
      </c>
      <c r="R125" s="222">
        <f t="shared" si="72"/>
        <v>34.979177188728762</v>
      </c>
      <c r="S125" s="222">
        <f t="shared" si="158"/>
        <v>0.16237447147654691</v>
      </c>
      <c r="T125" s="222">
        <f t="shared" si="159"/>
        <v>8.2407063857326115</v>
      </c>
      <c r="V125" s="222">
        <f t="shared" si="160"/>
        <v>8.2407063857326115</v>
      </c>
      <c r="W125" s="223">
        <f t="shared" si="183"/>
        <v>0</v>
      </c>
      <c r="X125" s="223">
        <f>W125-J125</f>
        <v>0</v>
      </c>
      <c r="Y125" s="224">
        <f t="shared" si="74"/>
        <v>0</v>
      </c>
      <c r="Z125" s="225"/>
      <c r="AA125" s="223">
        <f>O125*$R$11</f>
        <v>0</v>
      </c>
      <c r="AB125" s="227" t="str">
        <f>IF(I125=0,"",V125/I125-1)</f>
        <v/>
      </c>
    </row>
    <row r="126" spans="1:28" ht="12">
      <c r="A126" s="254" t="s">
        <v>315</v>
      </c>
      <c r="B126" s="255"/>
      <c r="C126" s="256">
        <f t="shared" si="185"/>
        <v>0</v>
      </c>
      <c r="D126" s="257">
        <v>6</v>
      </c>
      <c r="E126" s="258">
        <f>C126*D126</f>
        <v>0</v>
      </c>
      <c r="F126" s="265">
        <f t="shared" ref="F126" si="186">C126*12</f>
        <v>0</v>
      </c>
      <c r="G126" s="263">
        <f t="shared" si="184"/>
        <v>0</v>
      </c>
      <c r="H126" s="215">
        <v>52</v>
      </c>
      <c r="I126" s="216">
        <v>96.24</v>
      </c>
      <c r="J126" s="168">
        <f t="shared" si="180"/>
        <v>0</v>
      </c>
      <c r="K126" s="171">
        <f t="shared" ref="K126" si="187">J126*12</f>
        <v>0</v>
      </c>
      <c r="L126" s="260">
        <f t="shared" si="181"/>
        <v>870</v>
      </c>
      <c r="M126" s="231">
        <f t="shared" ref="M126" si="188">L126*$O$5</f>
        <v>622.40759531989045</v>
      </c>
      <c r="N126" s="261">
        <f t="shared" si="182"/>
        <v>0</v>
      </c>
      <c r="O126" s="262">
        <f t="shared" ref="O126" si="189">$O$5*N126</f>
        <v>0</v>
      </c>
      <c r="P126" s="225"/>
      <c r="Q126" s="221">
        <f>M126*$R$12</f>
        <v>1.9387996594214556</v>
      </c>
      <c r="R126" s="222">
        <f t="shared" si="72"/>
        <v>8.3950025252949025</v>
      </c>
      <c r="S126" s="222">
        <f t="shared" si="158"/>
        <v>3.8969873154371254E-2</v>
      </c>
      <c r="T126" s="222">
        <f t="shared" si="159"/>
        <v>1.9777695325758269</v>
      </c>
      <c r="V126" s="222">
        <f t="shared" si="160"/>
        <v>98.217769532575815</v>
      </c>
      <c r="W126" s="223">
        <f t="shared" si="183"/>
        <v>0</v>
      </c>
      <c r="X126" s="223">
        <f>W126-J126</f>
        <v>0</v>
      </c>
      <c r="Y126" s="224">
        <f t="shared" ref="Y126" si="190">X126*12</f>
        <v>0</v>
      </c>
      <c r="Z126" s="225"/>
      <c r="AA126" s="223">
        <f>O126*$R$11</f>
        <v>0</v>
      </c>
      <c r="AB126" s="227">
        <f>IF(I126=0,"",V126/I126-1)</f>
        <v>2.0550389989357987E-2</v>
      </c>
    </row>
    <row r="127" spans="1:28" ht="12">
      <c r="A127" s="254" t="s">
        <v>246</v>
      </c>
      <c r="B127" s="255"/>
      <c r="C127" s="256">
        <f t="shared" si="185"/>
        <v>0</v>
      </c>
      <c r="D127" s="257">
        <f>6*3.5</f>
        <v>21</v>
      </c>
      <c r="E127" s="258">
        <f t="shared" si="67"/>
        <v>0</v>
      </c>
      <c r="F127" s="265">
        <f t="shared" si="68"/>
        <v>0</v>
      </c>
      <c r="G127" s="259">
        <f t="shared" si="184"/>
        <v>0</v>
      </c>
      <c r="H127" s="215">
        <v>52</v>
      </c>
      <c r="I127" s="216">
        <v>363.11</v>
      </c>
      <c r="J127" s="168">
        <f t="shared" si="180"/>
        <v>0</v>
      </c>
      <c r="K127" s="171">
        <f t="shared" si="69"/>
        <v>0</v>
      </c>
      <c r="L127" s="260">
        <f t="shared" si="181"/>
        <v>3045</v>
      </c>
      <c r="M127" s="231">
        <f t="shared" si="70"/>
        <v>2178.4265836196164</v>
      </c>
      <c r="N127" s="261">
        <f t="shared" si="182"/>
        <v>0</v>
      </c>
      <c r="O127" s="262">
        <f t="shared" si="71"/>
        <v>0</v>
      </c>
      <c r="P127" s="225"/>
      <c r="Q127" s="221">
        <f t="shared" si="62"/>
        <v>6.7857988079750937</v>
      </c>
      <c r="R127" s="222">
        <f t="shared" si="72"/>
        <v>29.382508838532157</v>
      </c>
      <c r="S127" s="222">
        <f t="shared" si="158"/>
        <v>0.13639455604029938</v>
      </c>
      <c r="T127" s="222">
        <f t="shared" si="159"/>
        <v>6.922193364015393</v>
      </c>
      <c r="V127" s="222">
        <f t="shared" si="160"/>
        <v>370.03219336401543</v>
      </c>
      <c r="W127" s="223">
        <f t="shared" si="183"/>
        <v>0</v>
      </c>
      <c r="X127" s="223">
        <f t="shared" si="73"/>
        <v>0</v>
      </c>
      <c r="Y127" s="224">
        <f t="shared" si="74"/>
        <v>0</v>
      </c>
      <c r="Z127" s="225"/>
      <c r="AA127" s="223">
        <f t="shared" si="75"/>
        <v>0</v>
      </c>
      <c r="AB127" s="227">
        <f t="shared" si="66"/>
        <v>1.9063626350184215E-2</v>
      </c>
    </row>
    <row r="128" spans="1:28" ht="12">
      <c r="A128" s="254" t="s">
        <v>300</v>
      </c>
      <c r="B128" s="255"/>
      <c r="C128" s="256">
        <f t="shared" si="185"/>
        <v>0</v>
      </c>
      <c r="D128" s="257">
        <v>21</v>
      </c>
      <c r="E128" s="258">
        <f t="shared" ref="E128" si="191">C128*D128</f>
        <v>0</v>
      </c>
      <c r="F128" s="265">
        <f t="shared" ref="F128" si="192">C128*12</f>
        <v>0</v>
      </c>
      <c r="G128" s="259">
        <f t="shared" si="184"/>
        <v>0</v>
      </c>
      <c r="H128" s="215">
        <v>52</v>
      </c>
      <c r="I128" s="216">
        <v>365.4</v>
      </c>
      <c r="J128" s="168">
        <f t="shared" si="180"/>
        <v>0</v>
      </c>
      <c r="K128" s="171">
        <f t="shared" si="69"/>
        <v>0</v>
      </c>
      <c r="L128" s="260">
        <f t="shared" si="181"/>
        <v>3045</v>
      </c>
      <c r="M128" s="231">
        <f t="shared" ref="M128" si="193">L128*$O$5</f>
        <v>2178.4265836196164</v>
      </c>
      <c r="N128" s="261">
        <f t="shared" si="182"/>
        <v>0</v>
      </c>
      <c r="O128" s="262">
        <f t="shared" ref="O128" si="194">$O$5*N128</f>
        <v>0</v>
      </c>
      <c r="P128" s="225"/>
      <c r="Q128" s="221">
        <f t="shared" ref="Q128" si="195">M128*$R$12</f>
        <v>6.7857988079750937</v>
      </c>
      <c r="R128" s="222">
        <f t="shared" si="72"/>
        <v>29.382508838532157</v>
      </c>
      <c r="S128" s="222">
        <f t="shared" si="158"/>
        <v>0.13639455604029938</v>
      </c>
      <c r="T128" s="222">
        <f t="shared" si="159"/>
        <v>6.922193364015393</v>
      </c>
      <c r="V128" s="222">
        <f t="shared" si="160"/>
        <v>372.32219336401539</v>
      </c>
      <c r="W128" s="223">
        <f t="shared" si="183"/>
        <v>0</v>
      </c>
      <c r="X128" s="223">
        <f t="shared" ref="X128" si="196">W128-J128</f>
        <v>0</v>
      </c>
      <c r="Y128" s="224">
        <f t="shared" ref="Y128" si="197">X128*12</f>
        <v>0</v>
      </c>
      <c r="Z128" s="225"/>
      <c r="AA128" s="223">
        <f t="shared" ref="AA128" si="198">O128*$R$11</f>
        <v>0</v>
      </c>
      <c r="AB128" s="227">
        <f t="shared" ref="AB128:AB129" si="199">IF(I128=0,"",V128/I128-1)</f>
        <v>1.8944152610879561E-2</v>
      </c>
    </row>
    <row r="129" spans="1:28" ht="12">
      <c r="A129" s="254" t="s">
        <v>247</v>
      </c>
      <c r="B129" s="255"/>
      <c r="C129" s="256">
        <f t="shared" si="185"/>
        <v>0</v>
      </c>
      <c r="D129" s="257">
        <f>6*5</f>
        <v>30</v>
      </c>
      <c r="E129" s="258">
        <f t="shared" si="67"/>
        <v>0</v>
      </c>
      <c r="F129" s="265">
        <f t="shared" si="68"/>
        <v>0</v>
      </c>
      <c r="G129" s="263">
        <f t="shared" si="184"/>
        <v>0</v>
      </c>
      <c r="H129" s="215">
        <v>52</v>
      </c>
      <c r="I129" s="216">
        <v>0</v>
      </c>
      <c r="J129" s="168">
        <f t="shared" si="180"/>
        <v>0</v>
      </c>
      <c r="K129" s="171">
        <f t="shared" si="69"/>
        <v>0</v>
      </c>
      <c r="L129" s="260">
        <f t="shared" si="181"/>
        <v>4350</v>
      </c>
      <c r="M129" s="231">
        <f t="shared" si="70"/>
        <v>3112.0379765994521</v>
      </c>
      <c r="N129" s="261">
        <f t="shared" si="182"/>
        <v>0</v>
      </c>
      <c r="O129" s="262">
        <f t="shared" si="71"/>
        <v>0</v>
      </c>
      <c r="P129" s="225"/>
      <c r="Q129" s="221">
        <f t="shared" si="62"/>
        <v>9.693998297107278</v>
      </c>
      <c r="R129" s="222">
        <f t="shared" si="72"/>
        <v>41.975012626474516</v>
      </c>
      <c r="S129" s="222">
        <f t="shared" si="158"/>
        <v>0.1948493657718563</v>
      </c>
      <c r="T129" s="222">
        <f t="shared" si="159"/>
        <v>9.8888476628791349</v>
      </c>
      <c r="V129" s="222">
        <f t="shared" si="160"/>
        <v>9.8888476628791349</v>
      </c>
      <c r="W129" s="223">
        <f t="shared" si="183"/>
        <v>0</v>
      </c>
      <c r="X129" s="223">
        <f t="shared" si="73"/>
        <v>0</v>
      </c>
      <c r="Y129" s="224">
        <f t="shared" si="74"/>
        <v>0</v>
      </c>
      <c r="Z129" s="225"/>
      <c r="AA129" s="223">
        <f t="shared" si="75"/>
        <v>0</v>
      </c>
      <c r="AB129" s="227" t="str">
        <f t="shared" si="199"/>
        <v/>
      </c>
    </row>
    <row r="130" spans="1:28" ht="12">
      <c r="A130" s="254" t="s">
        <v>127</v>
      </c>
      <c r="B130" s="255">
        <v>8</v>
      </c>
      <c r="C130" s="256">
        <f>+B130*1</f>
        <v>8</v>
      </c>
      <c r="D130" s="257">
        <v>6</v>
      </c>
      <c r="E130" s="258">
        <f t="shared" si="67"/>
        <v>48</v>
      </c>
      <c r="F130" s="265">
        <f t="shared" si="68"/>
        <v>96</v>
      </c>
      <c r="G130" s="259">
        <f t="shared" si="184"/>
        <v>8</v>
      </c>
      <c r="H130" s="215">
        <v>52</v>
      </c>
      <c r="I130" s="216">
        <v>99.95</v>
      </c>
      <c r="J130" s="168">
        <f t="shared" si="180"/>
        <v>799.6</v>
      </c>
      <c r="K130" s="171">
        <f t="shared" si="69"/>
        <v>9595.2000000000007</v>
      </c>
      <c r="L130" s="260">
        <f t="shared" si="181"/>
        <v>870</v>
      </c>
      <c r="M130" s="231">
        <f t="shared" si="70"/>
        <v>622.40759531989045</v>
      </c>
      <c r="N130" s="261">
        <f t="shared" si="182"/>
        <v>41.76</v>
      </c>
      <c r="O130" s="262">
        <f t="shared" si="71"/>
        <v>29.875564575354741</v>
      </c>
      <c r="P130" s="225"/>
      <c r="Q130" s="221">
        <f t="shared" si="62"/>
        <v>1.9387996594214556</v>
      </c>
      <c r="R130" s="222">
        <f t="shared" si="72"/>
        <v>8.3950025252949025</v>
      </c>
      <c r="S130" s="222">
        <f t="shared" si="158"/>
        <v>3.8969873154371254E-2</v>
      </c>
      <c r="T130" s="222">
        <f t="shared" si="159"/>
        <v>1.9777695325758269</v>
      </c>
      <c r="V130" s="222">
        <f t="shared" si="160"/>
        <v>101.92776953257582</v>
      </c>
      <c r="W130" s="223">
        <f t="shared" si="183"/>
        <v>815.42215626060658</v>
      </c>
      <c r="X130" s="223">
        <f t="shared" si="73"/>
        <v>15.822156260606562</v>
      </c>
      <c r="Y130" s="224">
        <f t="shared" si="74"/>
        <v>189.86587512727874</v>
      </c>
      <c r="Z130" s="225"/>
      <c r="AA130" s="223">
        <f t="shared" si="75"/>
        <v>186.12476730445974</v>
      </c>
      <c r="AB130" s="227">
        <f t="shared" si="66"/>
        <v>1.9787589120318305E-2</v>
      </c>
    </row>
    <row r="131" spans="1:28" ht="12">
      <c r="A131" s="254" t="s">
        <v>128</v>
      </c>
      <c r="B131" s="255">
        <v>14</v>
      </c>
      <c r="C131" s="256">
        <f>B131*4.3333</f>
        <v>60.666200000000003</v>
      </c>
      <c r="D131" s="257">
        <v>6</v>
      </c>
      <c r="E131" s="258">
        <f t="shared" si="67"/>
        <v>363.99720000000002</v>
      </c>
      <c r="F131" s="265">
        <f t="shared" si="68"/>
        <v>727.99440000000004</v>
      </c>
      <c r="G131" s="259">
        <f t="shared" si="184"/>
        <v>14</v>
      </c>
      <c r="H131" s="215">
        <v>52</v>
      </c>
      <c r="I131" s="216">
        <v>91.64</v>
      </c>
      <c r="J131" s="168">
        <f t="shared" si="180"/>
        <v>5559.4505680000002</v>
      </c>
      <c r="K131" s="171">
        <f t="shared" si="69"/>
        <v>66713.406816000002</v>
      </c>
      <c r="L131" s="260">
        <f t="shared" si="181"/>
        <v>870</v>
      </c>
      <c r="M131" s="231">
        <f t="shared" si="70"/>
        <v>622.40759531989045</v>
      </c>
      <c r="N131" s="261">
        <f t="shared" si="182"/>
        <v>316.68</v>
      </c>
      <c r="O131" s="262">
        <f t="shared" si="71"/>
        <v>226.55636469644011</v>
      </c>
      <c r="P131" s="225"/>
      <c r="Q131" s="221">
        <f t="shared" si="62"/>
        <v>1.9387996594214556</v>
      </c>
      <c r="R131" s="222">
        <f t="shared" si="72"/>
        <v>8.3950025252949025</v>
      </c>
      <c r="S131" s="222">
        <f t="shared" si="158"/>
        <v>3.8969873154371254E-2</v>
      </c>
      <c r="T131" s="222">
        <f t="shared" si="159"/>
        <v>1.9777695325758269</v>
      </c>
      <c r="V131" s="222">
        <f t="shared" si="160"/>
        <v>93.617769532575821</v>
      </c>
      <c r="W131" s="223">
        <f t="shared" si="183"/>
        <v>5679.4343300171513</v>
      </c>
      <c r="X131" s="223">
        <f t="shared" si="73"/>
        <v>119.98376201715109</v>
      </c>
      <c r="Y131" s="224">
        <f t="shared" si="74"/>
        <v>1439.8051442058131</v>
      </c>
      <c r="Z131" s="225"/>
      <c r="AA131" s="223">
        <f t="shared" si="75"/>
        <v>1411.4461520588195</v>
      </c>
      <c r="AB131" s="227">
        <f t="shared" si="66"/>
        <v>2.1581946012394271E-2</v>
      </c>
    </row>
    <row r="132" spans="1:28" ht="12">
      <c r="A132" s="254" t="s">
        <v>129</v>
      </c>
      <c r="B132" s="255">
        <v>4</v>
      </c>
      <c r="C132" s="256">
        <f>B132*4.3333*2</f>
        <v>34.666400000000003</v>
      </c>
      <c r="D132" s="257">
        <v>6</v>
      </c>
      <c r="E132" s="258">
        <f t="shared" si="67"/>
        <v>207.9984</v>
      </c>
      <c r="F132" s="265">
        <f t="shared" si="68"/>
        <v>415.99680000000001</v>
      </c>
      <c r="G132" s="259">
        <f t="shared" si="184"/>
        <v>4</v>
      </c>
      <c r="H132" s="215">
        <v>52</v>
      </c>
      <c r="I132" s="216">
        <v>91.64</v>
      </c>
      <c r="J132" s="168">
        <f t="shared" si="180"/>
        <v>3176.8288960000004</v>
      </c>
      <c r="K132" s="171">
        <f t="shared" si="69"/>
        <v>38121.946752000003</v>
      </c>
      <c r="L132" s="260">
        <f t="shared" si="181"/>
        <v>870</v>
      </c>
      <c r="M132" s="231">
        <f t="shared" si="70"/>
        <v>622.40759531989045</v>
      </c>
      <c r="N132" s="261">
        <f t="shared" si="182"/>
        <v>180.96</v>
      </c>
      <c r="O132" s="262">
        <f t="shared" si="71"/>
        <v>129.46077982653722</v>
      </c>
      <c r="P132" s="225"/>
      <c r="Q132" s="221">
        <f t="shared" si="62"/>
        <v>1.9387996594214556</v>
      </c>
      <c r="R132" s="222">
        <f t="shared" si="72"/>
        <v>8.3950025252949025</v>
      </c>
      <c r="S132" s="222">
        <f t="shared" si="158"/>
        <v>3.8969873154371254E-2</v>
      </c>
      <c r="T132" s="222">
        <f t="shared" si="159"/>
        <v>1.9777695325758269</v>
      </c>
      <c r="V132" s="222">
        <f t="shared" si="160"/>
        <v>93.617769532575821</v>
      </c>
      <c r="W132" s="223">
        <f t="shared" si="183"/>
        <v>3245.3910457240868</v>
      </c>
      <c r="X132" s="223">
        <f t="shared" si="73"/>
        <v>68.562149724086339</v>
      </c>
      <c r="Y132" s="224">
        <f t="shared" si="74"/>
        <v>822.74579668903607</v>
      </c>
      <c r="Z132" s="225"/>
      <c r="AA132" s="223">
        <f t="shared" si="75"/>
        <v>806.54065831932553</v>
      </c>
      <c r="AB132" s="227">
        <f t="shared" si="66"/>
        <v>2.1581946012394271E-2</v>
      </c>
    </row>
    <row r="133" spans="1:28" ht="12">
      <c r="A133" s="254" t="s">
        <v>248</v>
      </c>
      <c r="B133" s="255"/>
      <c r="C133" s="256">
        <f>B133*4.3333*3</f>
        <v>0</v>
      </c>
      <c r="D133" s="257">
        <v>6</v>
      </c>
      <c r="E133" s="258">
        <f t="shared" si="67"/>
        <v>0</v>
      </c>
      <c r="F133" s="265">
        <f t="shared" si="68"/>
        <v>0</v>
      </c>
      <c r="G133" s="259">
        <f t="shared" si="184"/>
        <v>0</v>
      </c>
      <c r="H133" s="215">
        <v>52</v>
      </c>
      <c r="I133" s="216">
        <v>91.64</v>
      </c>
      <c r="J133" s="168">
        <f t="shared" si="180"/>
        <v>0</v>
      </c>
      <c r="K133" s="171">
        <f t="shared" si="69"/>
        <v>0</v>
      </c>
      <c r="L133" s="260">
        <f t="shared" si="181"/>
        <v>870</v>
      </c>
      <c r="M133" s="231">
        <f t="shared" si="70"/>
        <v>622.40759531989045</v>
      </c>
      <c r="N133" s="261">
        <f t="shared" si="182"/>
        <v>0</v>
      </c>
      <c r="O133" s="262">
        <f t="shared" si="71"/>
        <v>0</v>
      </c>
      <c r="P133" s="225"/>
      <c r="Q133" s="221">
        <f t="shared" si="62"/>
        <v>1.9387996594214556</v>
      </c>
      <c r="R133" s="222">
        <f t="shared" si="72"/>
        <v>8.3950025252949025</v>
      </c>
      <c r="S133" s="222">
        <f t="shared" si="158"/>
        <v>3.8969873154371254E-2</v>
      </c>
      <c r="T133" s="222">
        <f t="shared" si="159"/>
        <v>1.9777695325758269</v>
      </c>
      <c r="V133" s="222">
        <f t="shared" si="160"/>
        <v>93.617769532575821</v>
      </c>
      <c r="W133" s="223">
        <f t="shared" si="183"/>
        <v>0</v>
      </c>
      <c r="X133" s="223">
        <f t="shared" si="73"/>
        <v>0</v>
      </c>
      <c r="Y133" s="224">
        <f t="shared" si="74"/>
        <v>0</v>
      </c>
      <c r="Z133" s="225"/>
      <c r="AA133" s="223">
        <f t="shared" si="75"/>
        <v>0</v>
      </c>
      <c r="AB133" s="227">
        <f t="shared" si="66"/>
        <v>2.1581946012394271E-2</v>
      </c>
    </row>
    <row r="134" spans="1:28" ht="12">
      <c r="A134" s="254" t="s">
        <v>249</v>
      </c>
      <c r="B134" s="255"/>
      <c r="C134" s="256">
        <f>B134*4.3333*4</f>
        <v>0</v>
      </c>
      <c r="D134" s="257">
        <v>6</v>
      </c>
      <c r="E134" s="258">
        <f t="shared" si="67"/>
        <v>0</v>
      </c>
      <c r="F134" s="265">
        <f t="shared" si="68"/>
        <v>0</v>
      </c>
      <c r="G134" s="259">
        <f t="shared" si="184"/>
        <v>0</v>
      </c>
      <c r="H134" s="215">
        <v>52</v>
      </c>
      <c r="I134" s="216">
        <v>91.64</v>
      </c>
      <c r="J134" s="168">
        <f t="shared" si="180"/>
        <v>0</v>
      </c>
      <c r="K134" s="171">
        <f t="shared" si="69"/>
        <v>0</v>
      </c>
      <c r="L134" s="260">
        <f t="shared" si="181"/>
        <v>870</v>
      </c>
      <c r="M134" s="231">
        <f t="shared" si="70"/>
        <v>622.40759531989045</v>
      </c>
      <c r="N134" s="261">
        <f t="shared" si="182"/>
        <v>0</v>
      </c>
      <c r="O134" s="262">
        <f t="shared" si="71"/>
        <v>0</v>
      </c>
      <c r="P134" s="225"/>
      <c r="Q134" s="221">
        <f t="shared" si="62"/>
        <v>1.9387996594214556</v>
      </c>
      <c r="R134" s="222">
        <f t="shared" si="72"/>
        <v>8.3950025252949025</v>
      </c>
      <c r="S134" s="222">
        <f t="shared" si="158"/>
        <v>3.8969873154371254E-2</v>
      </c>
      <c r="T134" s="222">
        <f t="shared" si="159"/>
        <v>1.9777695325758269</v>
      </c>
      <c r="V134" s="222">
        <f t="shared" si="160"/>
        <v>93.617769532575821</v>
      </c>
      <c r="W134" s="223">
        <f t="shared" si="183"/>
        <v>0</v>
      </c>
      <c r="X134" s="223">
        <f t="shared" si="73"/>
        <v>0</v>
      </c>
      <c r="Y134" s="224">
        <f t="shared" si="74"/>
        <v>0</v>
      </c>
      <c r="Z134" s="225"/>
      <c r="AA134" s="223">
        <f t="shared" si="75"/>
        <v>0</v>
      </c>
      <c r="AB134" s="227">
        <f t="shared" si="66"/>
        <v>2.1581946012394271E-2</v>
      </c>
    </row>
    <row r="135" spans="1:28" ht="12">
      <c r="A135" s="254" t="s">
        <v>316</v>
      </c>
      <c r="B135" s="255"/>
      <c r="C135" s="256">
        <f>B135*4.3333*4</f>
        <v>0</v>
      </c>
      <c r="D135" s="257">
        <v>8</v>
      </c>
      <c r="E135" s="258">
        <f t="shared" ref="E135" si="200">C135*D135</f>
        <v>0</v>
      </c>
      <c r="F135" s="265">
        <f t="shared" ref="F135" si="201">C135*12</f>
        <v>0</v>
      </c>
      <c r="G135" s="259">
        <f t="shared" si="184"/>
        <v>0</v>
      </c>
      <c r="H135" s="215">
        <v>52</v>
      </c>
      <c r="I135" s="216">
        <v>116.97</v>
      </c>
      <c r="J135" s="168">
        <f t="shared" si="180"/>
        <v>0</v>
      </c>
      <c r="K135" s="171">
        <f t="shared" ref="K135" si="202">J135*12</f>
        <v>0</v>
      </c>
      <c r="L135" s="260">
        <f t="shared" si="181"/>
        <v>1160</v>
      </c>
      <c r="M135" s="231">
        <f t="shared" ref="M135" si="203">L135*$O$5</f>
        <v>829.87679375985385</v>
      </c>
      <c r="N135" s="261">
        <f t="shared" si="182"/>
        <v>0</v>
      </c>
      <c r="O135" s="262">
        <f t="shared" ref="O135" si="204">$O$5*N135</f>
        <v>0</v>
      </c>
      <c r="P135" s="225"/>
      <c r="Q135" s="221">
        <f t="shared" ref="Q135" si="205">M135*$R$12</f>
        <v>2.5850662125619404</v>
      </c>
      <c r="R135" s="222">
        <f t="shared" si="72"/>
        <v>11.193336700393202</v>
      </c>
      <c r="S135" s="222">
        <f t="shared" si="158"/>
        <v>5.1959830872494998E-2</v>
      </c>
      <c r="T135" s="222">
        <f t="shared" si="159"/>
        <v>2.6370260434344353</v>
      </c>
      <c r="V135" s="222">
        <f t="shared" si="160"/>
        <v>119.60702604343443</v>
      </c>
      <c r="W135" s="223">
        <f t="shared" si="183"/>
        <v>0</v>
      </c>
      <c r="X135" s="223">
        <f t="shared" ref="X135" si="206">W135-J135</f>
        <v>0</v>
      </c>
      <c r="Y135" s="224">
        <f t="shared" ref="Y135" si="207">X135*12</f>
        <v>0</v>
      </c>
      <c r="Z135" s="225"/>
      <c r="AA135" s="223">
        <f t="shared" ref="AA135" si="208">O135*$R$11</f>
        <v>0</v>
      </c>
      <c r="AB135" s="227">
        <f t="shared" ref="AB135" si="209">IF(I135=0,"",V135/I135-1)</f>
        <v>2.2544464763909033E-2</v>
      </c>
    </row>
    <row r="136" spans="1:28" ht="12">
      <c r="A136" s="254" t="s">
        <v>130</v>
      </c>
      <c r="B136" s="255">
        <v>4</v>
      </c>
      <c r="C136" s="256">
        <f>+B136*1</f>
        <v>4</v>
      </c>
      <c r="D136" s="257">
        <v>8</v>
      </c>
      <c r="E136" s="258">
        <f t="shared" si="67"/>
        <v>32</v>
      </c>
      <c r="F136" s="265">
        <f t="shared" si="68"/>
        <v>48</v>
      </c>
      <c r="G136" s="259">
        <f t="shared" si="184"/>
        <v>4</v>
      </c>
      <c r="H136" s="215">
        <v>52</v>
      </c>
      <c r="I136" s="216">
        <v>121.3</v>
      </c>
      <c r="J136" s="168">
        <f t="shared" si="180"/>
        <v>485.2</v>
      </c>
      <c r="K136" s="171">
        <f t="shared" si="69"/>
        <v>5822.4</v>
      </c>
      <c r="L136" s="260">
        <f t="shared" si="181"/>
        <v>1160</v>
      </c>
      <c r="M136" s="231">
        <f t="shared" si="70"/>
        <v>829.87679375985385</v>
      </c>
      <c r="N136" s="261">
        <f t="shared" si="182"/>
        <v>27.84</v>
      </c>
      <c r="O136" s="262">
        <f t="shared" si="71"/>
        <v>19.917043050236494</v>
      </c>
      <c r="P136" s="225"/>
      <c r="Q136" s="221">
        <f t="shared" si="62"/>
        <v>2.5850662125619404</v>
      </c>
      <c r="R136" s="222">
        <f t="shared" si="72"/>
        <v>11.193336700393202</v>
      </c>
      <c r="S136" s="222">
        <f t="shared" si="158"/>
        <v>5.1959830872494998E-2</v>
      </c>
      <c r="T136" s="222">
        <f t="shared" si="159"/>
        <v>2.6370260434344353</v>
      </c>
      <c r="V136" s="222">
        <f t="shared" si="160"/>
        <v>123.93702604343443</v>
      </c>
      <c r="W136" s="223">
        <f t="shared" si="183"/>
        <v>495.74810417373772</v>
      </c>
      <c r="X136" s="223">
        <f t="shared" si="73"/>
        <v>10.548104173737727</v>
      </c>
      <c r="Y136" s="224">
        <f t="shared" si="74"/>
        <v>126.57725008485272</v>
      </c>
      <c r="Z136" s="225"/>
      <c r="AA136" s="223">
        <f t="shared" si="75"/>
        <v>124.08317820297316</v>
      </c>
      <c r="AB136" s="227">
        <f t="shared" si="66"/>
        <v>2.1739703573243396E-2</v>
      </c>
    </row>
    <row r="137" spans="1:28" ht="12">
      <c r="A137" s="254" t="s">
        <v>131</v>
      </c>
      <c r="B137" s="255">
        <v>4</v>
      </c>
      <c r="C137" s="256">
        <f>B137*4.3333</f>
        <v>17.333200000000001</v>
      </c>
      <c r="D137" s="257">
        <v>8</v>
      </c>
      <c r="E137" s="258">
        <f t="shared" si="67"/>
        <v>138.66560000000001</v>
      </c>
      <c r="F137" s="265">
        <f t="shared" si="68"/>
        <v>207.9984</v>
      </c>
      <c r="G137" s="259">
        <f t="shared" si="184"/>
        <v>4</v>
      </c>
      <c r="H137" s="215">
        <v>52</v>
      </c>
      <c r="I137" s="216">
        <v>119.16</v>
      </c>
      <c r="J137" s="168">
        <f t="shared" si="180"/>
        <v>2065.4241120000002</v>
      </c>
      <c r="K137" s="171">
        <f t="shared" si="69"/>
        <v>24785.089344</v>
      </c>
      <c r="L137" s="260">
        <f t="shared" si="181"/>
        <v>1160</v>
      </c>
      <c r="M137" s="231">
        <f t="shared" si="70"/>
        <v>829.87679375985385</v>
      </c>
      <c r="N137" s="261">
        <f t="shared" si="182"/>
        <v>120.64</v>
      </c>
      <c r="O137" s="262">
        <f t="shared" si="71"/>
        <v>86.307186551024799</v>
      </c>
      <c r="P137" s="225"/>
      <c r="Q137" s="221">
        <f t="shared" si="62"/>
        <v>2.5850662125619404</v>
      </c>
      <c r="R137" s="222">
        <f t="shared" si="72"/>
        <v>11.193336700393202</v>
      </c>
      <c r="S137" s="222">
        <f t="shared" si="158"/>
        <v>5.1959830872494998E-2</v>
      </c>
      <c r="T137" s="222">
        <f t="shared" si="159"/>
        <v>2.6370260434344353</v>
      </c>
      <c r="V137" s="222">
        <f t="shared" si="160"/>
        <v>121.79702604343443</v>
      </c>
      <c r="W137" s="223">
        <f t="shared" si="183"/>
        <v>2111.1322118160579</v>
      </c>
      <c r="X137" s="223">
        <f t="shared" si="73"/>
        <v>45.708099816057711</v>
      </c>
      <c r="Y137" s="224">
        <f t="shared" si="74"/>
        <v>548.49719779269253</v>
      </c>
      <c r="Z137" s="225"/>
      <c r="AA137" s="223">
        <f t="shared" si="75"/>
        <v>537.69377221288357</v>
      </c>
      <c r="AB137" s="227">
        <f t="shared" si="66"/>
        <v>2.213012792408886E-2</v>
      </c>
    </row>
    <row r="138" spans="1:28" ht="12">
      <c r="A138" s="254" t="s">
        <v>132</v>
      </c>
      <c r="B138" s="255">
        <v>5</v>
      </c>
      <c r="C138" s="256">
        <f>B138*4.3333*2</f>
        <v>43.333000000000006</v>
      </c>
      <c r="D138" s="257">
        <v>8</v>
      </c>
      <c r="E138" s="258">
        <f t="shared" si="67"/>
        <v>346.66400000000004</v>
      </c>
      <c r="F138" s="265">
        <f t="shared" si="68"/>
        <v>519.99600000000009</v>
      </c>
      <c r="G138" s="259">
        <f t="shared" si="184"/>
        <v>5</v>
      </c>
      <c r="H138" s="215">
        <v>52</v>
      </c>
      <c r="I138" s="216">
        <v>119.16</v>
      </c>
      <c r="J138" s="168">
        <f t="shared" si="180"/>
        <v>5163.5602800000006</v>
      </c>
      <c r="K138" s="171">
        <f t="shared" si="69"/>
        <v>61962.723360000004</v>
      </c>
      <c r="L138" s="260">
        <f t="shared" si="181"/>
        <v>1160</v>
      </c>
      <c r="M138" s="231">
        <f t="shared" si="70"/>
        <v>829.87679375985385</v>
      </c>
      <c r="N138" s="261">
        <f t="shared" si="182"/>
        <v>301.60000000000002</v>
      </c>
      <c r="O138" s="262">
        <f t="shared" si="71"/>
        <v>215.76796637756203</v>
      </c>
      <c r="P138" s="225"/>
      <c r="Q138" s="221">
        <f t="shared" si="62"/>
        <v>2.5850662125619404</v>
      </c>
      <c r="R138" s="222">
        <f t="shared" si="72"/>
        <v>11.193336700393202</v>
      </c>
      <c r="S138" s="222">
        <f t="shared" si="158"/>
        <v>5.1959830872494998E-2</v>
      </c>
      <c r="T138" s="222">
        <f t="shared" si="159"/>
        <v>2.6370260434344353</v>
      </c>
      <c r="V138" s="222">
        <f t="shared" si="160"/>
        <v>121.79702604343443</v>
      </c>
      <c r="W138" s="223">
        <f t="shared" si="183"/>
        <v>5277.8305295401451</v>
      </c>
      <c r="X138" s="223">
        <f t="shared" si="73"/>
        <v>114.2702495401445</v>
      </c>
      <c r="Y138" s="224">
        <f t="shared" si="74"/>
        <v>1371.2429944817341</v>
      </c>
      <c r="Z138" s="225"/>
      <c r="AA138" s="223">
        <f t="shared" si="75"/>
        <v>1344.2344305322092</v>
      </c>
      <c r="AB138" s="227">
        <f t="shared" si="66"/>
        <v>2.213012792408886E-2</v>
      </c>
    </row>
    <row r="139" spans="1:28" ht="12">
      <c r="A139" s="254" t="s">
        <v>250</v>
      </c>
      <c r="B139" s="255"/>
      <c r="C139" s="256">
        <f>B139*4.3333*3</f>
        <v>0</v>
      </c>
      <c r="D139" s="257">
        <v>8</v>
      </c>
      <c r="E139" s="258">
        <f t="shared" si="67"/>
        <v>0</v>
      </c>
      <c r="F139" s="265">
        <f t="shared" si="68"/>
        <v>0</v>
      </c>
      <c r="G139" s="259">
        <f t="shared" si="184"/>
        <v>0</v>
      </c>
      <c r="H139" s="215">
        <v>52</v>
      </c>
      <c r="I139" s="216">
        <v>119.16</v>
      </c>
      <c r="J139" s="168">
        <f t="shared" si="180"/>
        <v>0</v>
      </c>
      <c r="K139" s="171">
        <f t="shared" si="69"/>
        <v>0</v>
      </c>
      <c r="L139" s="260">
        <f t="shared" si="181"/>
        <v>1160</v>
      </c>
      <c r="M139" s="231">
        <f t="shared" si="70"/>
        <v>829.87679375985385</v>
      </c>
      <c r="N139" s="261">
        <f t="shared" si="182"/>
        <v>0</v>
      </c>
      <c r="O139" s="262">
        <f t="shared" si="71"/>
        <v>0</v>
      </c>
      <c r="P139" s="225"/>
      <c r="Q139" s="221">
        <f t="shared" si="62"/>
        <v>2.5850662125619404</v>
      </c>
      <c r="R139" s="222">
        <f t="shared" si="72"/>
        <v>11.193336700393202</v>
      </c>
      <c r="S139" s="222">
        <f t="shared" si="158"/>
        <v>5.1959830872494998E-2</v>
      </c>
      <c r="T139" s="222">
        <f t="shared" si="159"/>
        <v>2.6370260434344353</v>
      </c>
      <c r="V139" s="222">
        <f t="shared" si="160"/>
        <v>121.79702604343443</v>
      </c>
      <c r="W139" s="223">
        <f t="shared" si="183"/>
        <v>0</v>
      </c>
      <c r="X139" s="223">
        <f t="shared" si="73"/>
        <v>0</v>
      </c>
      <c r="Y139" s="224">
        <f t="shared" si="74"/>
        <v>0</v>
      </c>
      <c r="Z139" s="225"/>
      <c r="AA139" s="223">
        <f t="shared" si="75"/>
        <v>0</v>
      </c>
      <c r="AB139" s="227">
        <f t="shared" si="66"/>
        <v>2.213012792408886E-2</v>
      </c>
    </row>
    <row r="140" spans="1:28" ht="12">
      <c r="A140" s="254" t="s">
        <v>251</v>
      </c>
      <c r="B140" s="255"/>
      <c r="C140" s="256">
        <f>B140*4.3333*4</f>
        <v>0</v>
      </c>
      <c r="D140" s="257">
        <v>8</v>
      </c>
      <c r="E140" s="258">
        <f t="shared" si="67"/>
        <v>0</v>
      </c>
      <c r="F140" s="265">
        <f t="shared" si="68"/>
        <v>0</v>
      </c>
      <c r="G140" s="259">
        <f t="shared" si="184"/>
        <v>0</v>
      </c>
      <c r="H140" s="215">
        <v>52</v>
      </c>
      <c r="I140" s="216">
        <v>119.16</v>
      </c>
      <c r="J140" s="168">
        <f t="shared" si="180"/>
        <v>0</v>
      </c>
      <c r="K140" s="171">
        <f t="shared" si="69"/>
        <v>0</v>
      </c>
      <c r="L140" s="260">
        <f t="shared" si="181"/>
        <v>1160</v>
      </c>
      <c r="M140" s="231">
        <f t="shared" si="70"/>
        <v>829.87679375985385</v>
      </c>
      <c r="N140" s="261">
        <f t="shared" si="182"/>
        <v>0</v>
      </c>
      <c r="O140" s="262">
        <f t="shared" si="71"/>
        <v>0</v>
      </c>
      <c r="P140" s="225"/>
      <c r="Q140" s="221">
        <f t="shared" si="62"/>
        <v>2.5850662125619404</v>
      </c>
      <c r="R140" s="222">
        <f t="shared" si="72"/>
        <v>11.193336700393202</v>
      </c>
      <c r="S140" s="222">
        <f t="shared" si="158"/>
        <v>5.1959830872494998E-2</v>
      </c>
      <c r="T140" s="222">
        <f t="shared" si="159"/>
        <v>2.6370260434344353</v>
      </c>
      <c r="V140" s="222">
        <f t="shared" si="160"/>
        <v>121.79702604343443</v>
      </c>
      <c r="W140" s="223">
        <f t="shared" si="183"/>
        <v>0</v>
      </c>
      <c r="X140" s="223">
        <f t="shared" si="73"/>
        <v>0</v>
      </c>
      <c r="Y140" s="224">
        <f t="shared" si="74"/>
        <v>0</v>
      </c>
      <c r="Z140" s="225"/>
      <c r="AA140" s="223">
        <f t="shared" si="75"/>
        <v>0</v>
      </c>
      <c r="AB140" s="227">
        <f t="shared" si="66"/>
        <v>2.213012792408886E-2</v>
      </c>
    </row>
    <row r="141" spans="1:28" ht="12">
      <c r="A141" s="254" t="s">
        <v>252</v>
      </c>
      <c r="B141" s="255"/>
      <c r="C141" s="256">
        <f>B141*4.3333*5</f>
        <v>0</v>
      </c>
      <c r="D141" s="257">
        <v>8</v>
      </c>
      <c r="E141" s="258">
        <f t="shared" si="67"/>
        <v>0</v>
      </c>
      <c r="F141" s="265">
        <f t="shared" si="68"/>
        <v>0</v>
      </c>
      <c r="G141" s="259">
        <f t="shared" si="184"/>
        <v>0</v>
      </c>
      <c r="H141" s="215">
        <v>52</v>
      </c>
      <c r="I141" s="216">
        <v>119.16</v>
      </c>
      <c r="J141" s="168">
        <f t="shared" si="180"/>
        <v>0</v>
      </c>
      <c r="K141" s="171">
        <f t="shared" si="69"/>
        <v>0</v>
      </c>
      <c r="L141" s="260">
        <f t="shared" si="181"/>
        <v>1160</v>
      </c>
      <c r="M141" s="231">
        <f t="shared" si="70"/>
        <v>829.87679375985385</v>
      </c>
      <c r="N141" s="261">
        <f t="shared" si="182"/>
        <v>0</v>
      </c>
      <c r="O141" s="262">
        <f t="shared" si="71"/>
        <v>0</v>
      </c>
      <c r="P141" s="225"/>
      <c r="Q141" s="221">
        <f t="shared" si="62"/>
        <v>2.5850662125619404</v>
      </c>
      <c r="R141" s="222">
        <f t="shared" si="72"/>
        <v>11.193336700393202</v>
      </c>
      <c r="S141" s="222">
        <f t="shared" si="158"/>
        <v>5.1959830872494998E-2</v>
      </c>
      <c r="T141" s="222">
        <f t="shared" si="159"/>
        <v>2.6370260434344353</v>
      </c>
      <c r="V141" s="222">
        <f t="shared" si="160"/>
        <v>121.79702604343443</v>
      </c>
      <c r="W141" s="223">
        <f t="shared" si="183"/>
        <v>0</v>
      </c>
      <c r="X141" s="223">
        <f>W141-J141</f>
        <v>0</v>
      </c>
      <c r="Y141" s="224">
        <f t="shared" si="74"/>
        <v>0</v>
      </c>
      <c r="Z141" s="225"/>
      <c r="AA141" s="223">
        <f t="shared" si="75"/>
        <v>0</v>
      </c>
      <c r="AB141" s="227">
        <f t="shared" si="66"/>
        <v>2.213012792408886E-2</v>
      </c>
    </row>
    <row r="142" spans="1:28" ht="12">
      <c r="A142" s="213" t="s">
        <v>32</v>
      </c>
      <c r="B142" s="264"/>
      <c r="C142" s="256">
        <f t="shared" ref="C142:C152" si="210">B142</f>
        <v>0</v>
      </c>
      <c r="D142" s="257">
        <v>1</v>
      </c>
      <c r="E142" s="265">
        <f t="shared" si="67"/>
        <v>0</v>
      </c>
      <c r="F142" s="265">
        <f t="shared" si="68"/>
        <v>0</v>
      </c>
      <c r="G142" s="259">
        <f t="shared" si="184"/>
        <v>0</v>
      </c>
      <c r="H142" s="215">
        <v>12</v>
      </c>
      <c r="I142" s="216">
        <v>17.5</v>
      </c>
      <c r="J142" s="168">
        <f>G142*I142</f>
        <v>0</v>
      </c>
      <c r="K142" s="171">
        <f t="shared" si="69"/>
        <v>0</v>
      </c>
      <c r="L142" s="260">
        <f t="shared" si="181"/>
        <v>145</v>
      </c>
      <c r="M142" s="231">
        <f t="shared" si="70"/>
        <v>103.73459921998173</v>
      </c>
      <c r="N142" s="261">
        <f t="shared" si="182"/>
        <v>0</v>
      </c>
      <c r="O142" s="262">
        <f t="shared" si="71"/>
        <v>0</v>
      </c>
      <c r="P142" s="225"/>
      <c r="Q142" s="221">
        <f>M142*$R$12</f>
        <v>0.32313327657024254</v>
      </c>
      <c r="R142" s="222">
        <f t="shared" si="72"/>
        <v>1.3991670875491502</v>
      </c>
      <c r="S142" s="222">
        <f t="shared" si="158"/>
        <v>6.4949788590618748E-3</v>
      </c>
      <c r="T142" s="222">
        <f t="shared" ref="T142" si="211">+Q142+S142</f>
        <v>0.32962825542930441</v>
      </c>
      <c r="V142" s="222">
        <f t="shared" si="160"/>
        <v>17.829628255429306</v>
      </c>
      <c r="W142" s="223">
        <f t="shared" si="183"/>
        <v>0</v>
      </c>
      <c r="X142" s="223">
        <f>W142-J142</f>
        <v>0</v>
      </c>
      <c r="Y142" s="224">
        <f>X142*12</f>
        <v>0</v>
      </c>
      <c r="Z142" s="225"/>
      <c r="AA142" s="223">
        <f>O142*$R$11</f>
        <v>0</v>
      </c>
      <c r="AB142" s="225"/>
    </row>
    <row r="143" spans="1:28" ht="12">
      <c r="A143" s="254" t="s">
        <v>253</v>
      </c>
      <c r="B143" s="266"/>
      <c r="C143" s="256">
        <f t="shared" si="210"/>
        <v>0</v>
      </c>
      <c r="D143" s="257"/>
      <c r="E143" s="258">
        <f t="shared" si="67"/>
        <v>0</v>
      </c>
      <c r="F143" s="265">
        <f t="shared" si="68"/>
        <v>0</v>
      </c>
      <c r="G143" s="259">
        <f t="shared" si="184"/>
        <v>0</v>
      </c>
      <c r="H143" s="215">
        <v>12</v>
      </c>
      <c r="I143" s="216">
        <v>1.21</v>
      </c>
      <c r="J143" s="168">
        <f t="shared" ref="J143:J152" si="212">+C143*I143</f>
        <v>0</v>
      </c>
      <c r="K143" s="171">
        <f t="shared" si="69"/>
        <v>0</v>
      </c>
      <c r="L143" s="260">
        <f t="shared" si="181"/>
        <v>0</v>
      </c>
      <c r="M143" s="231">
        <f t="shared" si="70"/>
        <v>0</v>
      </c>
      <c r="N143" s="261">
        <f t="shared" si="182"/>
        <v>0</v>
      </c>
      <c r="O143" s="262">
        <f t="shared" si="71"/>
        <v>0</v>
      </c>
      <c r="P143" s="225"/>
      <c r="Q143" s="225"/>
      <c r="R143" s="225"/>
      <c r="S143" s="225"/>
      <c r="T143" s="225"/>
      <c r="V143" s="222"/>
      <c r="W143" s="223"/>
      <c r="X143" s="223"/>
      <c r="Y143" s="224"/>
      <c r="Z143" s="225"/>
      <c r="AA143" s="223"/>
      <c r="AB143" s="225"/>
    </row>
    <row r="144" spans="1:28" ht="12">
      <c r="A144" s="254" t="s">
        <v>254</v>
      </c>
      <c r="B144" s="266"/>
      <c r="C144" s="256">
        <f t="shared" si="210"/>
        <v>0</v>
      </c>
      <c r="D144" s="257"/>
      <c r="E144" s="258">
        <f t="shared" si="67"/>
        <v>0</v>
      </c>
      <c r="F144" s="265">
        <f t="shared" si="68"/>
        <v>0</v>
      </c>
      <c r="G144" s="259">
        <f t="shared" si="184"/>
        <v>0</v>
      </c>
      <c r="H144" s="215">
        <v>12</v>
      </c>
      <c r="I144" s="216">
        <v>1.86</v>
      </c>
      <c r="J144" s="168">
        <f t="shared" si="212"/>
        <v>0</v>
      </c>
      <c r="K144" s="171">
        <f t="shared" si="69"/>
        <v>0</v>
      </c>
      <c r="L144" s="260">
        <f t="shared" si="181"/>
        <v>0</v>
      </c>
      <c r="M144" s="231">
        <f t="shared" si="70"/>
        <v>0</v>
      </c>
      <c r="N144" s="261">
        <f t="shared" si="182"/>
        <v>0</v>
      </c>
      <c r="O144" s="262">
        <f t="shared" si="71"/>
        <v>0</v>
      </c>
      <c r="P144" s="225"/>
      <c r="Q144" s="225"/>
      <c r="R144" s="225"/>
      <c r="S144" s="225"/>
      <c r="T144" s="225"/>
      <c r="V144" s="225"/>
      <c r="W144" s="225"/>
      <c r="X144" s="225"/>
      <c r="Y144" s="225"/>
      <c r="Z144" s="225"/>
      <c r="AA144" s="225"/>
      <c r="AB144" s="225"/>
    </row>
    <row r="145" spans="1:30" ht="12">
      <c r="A145" s="254" t="s">
        <v>255</v>
      </c>
      <c r="B145" s="266"/>
      <c r="C145" s="256">
        <f t="shared" si="210"/>
        <v>0</v>
      </c>
      <c r="D145" s="257"/>
      <c r="E145" s="258">
        <f t="shared" si="67"/>
        <v>0</v>
      </c>
      <c r="F145" s="265">
        <f t="shared" si="68"/>
        <v>0</v>
      </c>
      <c r="G145" s="259">
        <f t="shared" si="184"/>
        <v>0</v>
      </c>
      <c r="H145" s="215">
        <v>12</v>
      </c>
      <c r="I145" s="216">
        <v>1.86</v>
      </c>
      <c r="J145" s="168">
        <f t="shared" si="212"/>
        <v>0</v>
      </c>
      <c r="K145" s="171">
        <f t="shared" si="69"/>
        <v>0</v>
      </c>
      <c r="L145" s="260">
        <f t="shared" si="181"/>
        <v>0</v>
      </c>
      <c r="M145" s="231">
        <f t="shared" si="70"/>
        <v>0</v>
      </c>
      <c r="N145" s="261">
        <f t="shared" si="182"/>
        <v>0</v>
      </c>
      <c r="O145" s="262">
        <f t="shared" si="71"/>
        <v>0</v>
      </c>
      <c r="P145" s="225"/>
      <c r="Q145" s="225"/>
      <c r="R145" s="225"/>
      <c r="S145" s="225"/>
      <c r="T145" s="225"/>
      <c r="V145" s="225"/>
      <c r="W145" s="225"/>
      <c r="X145" s="225"/>
      <c r="Y145" s="225"/>
      <c r="Z145" s="225"/>
      <c r="AA145" s="225"/>
      <c r="AB145" s="225"/>
    </row>
    <row r="146" spans="1:30" ht="12">
      <c r="A146" s="254" t="s">
        <v>256</v>
      </c>
      <c r="B146" s="266"/>
      <c r="C146" s="256">
        <f t="shared" si="210"/>
        <v>0</v>
      </c>
      <c r="D146" s="257"/>
      <c r="E146" s="258">
        <f t="shared" si="67"/>
        <v>0</v>
      </c>
      <c r="F146" s="265">
        <f t="shared" si="68"/>
        <v>0</v>
      </c>
      <c r="G146" s="259">
        <f t="shared" si="184"/>
        <v>0</v>
      </c>
      <c r="H146" s="215">
        <v>12</v>
      </c>
      <c r="I146" s="216">
        <v>7.1</v>
      </c>
      <c r="J146" s="168">
        <f t="shared" si="212"/>
        <v>0</v>
      </c>
      <c r="K146" s="171">
        <f t="shared" si="69"/>
        <v>0</v>
      </c>
      <c r="L146" s="260">
        <f t="shared" si="181"/>
        <v>0</v>
      </c>
      <c r="M146" s="231">
        <f t="shared" si="70"/>
        <v>0</v>
      </c>
      <c r="N146" s="261">
        <f t="shared" si="182"/>
        <v>0</v>
      </c>
      <c r="O146" s="262">
        <f t="shared" si="71"/>
        <v>0</v>
      </c>
      <c r="P146" s="225"/>
      <c r="Q146" s="225"/>
      <c r="R146" s="225"/>
      <c r="S146" s="225"/>
      <c r="T146" s="225"/>
      <c r="V146" s="225"/>
      <c r="W146" s="225"/>
      <c r="X146" s="225"/>
      <c r="Y146" s="225"/>
      <c r="Z146" s="225"/>
      <c r="AA146" s="225"/>
      <c r="AB146" s="225"/>
    </row>
    <row r="147" spans="1:30" ht="12">
      <c r="A147" s="254" t="s">
        <v>257</v>
      </c>
      <c r="B147" s="266"/>
      <c r="C147" s="256">
        <f t="shared" si="210"/>
        <v>0</v>
      </c>
      <c r="D147" s="257"/>
      <c r="E147" s="258">
        <f t="shared" si="67"/>
        <v>0</v>
      </c>
      <c r="F147" s="265">
        <f t="shared" si="68"/>
        <v>0</v>
      </c>
      <c r="G147" s="259">
        <f t="shared" si="184"/>
        <v>0</v>
      </c>
      <c r="H147" s="215">
        <v>12</v>
      </c>
      <c r="I147" s="216">
        <v>8.1999999999999993</v>
      </c>
      <c r="J147" s="168">
        <f t="shared" si="212"/>
        <v>0</v>
      </c>
      <c r="K147" s="171">
        <f t="shared" si="69"/>
        <v>0</v>
      </c>
      <c r="L147" s="260">
        <f t="shared" si="181"/>
        <v>0</v>
      </c>
      <c r="M147" s="231">
        <f t="shared" si="70"/>
        <v>0</v>
      </c>
      <c r="N147" s="261">
        <f t="shared" si="182"/>
        <v>0</v>
      </c>
      <c r="O147" s="262">
        <f t="shared" si="71"/>
        <v>0</v>
      </c>
      <c r="P147" s="225"/>
      <c r="Q147" s="225"/>
      <c r="R147" s="225"/>
      <c r="S147" s="225"/>
      <c r="T147" s="225"/>
      <c r="V147" s="225"/>
      <c r="W147" s="225"/>
      <c r="X147" s="225"/>
      <c r="Y147" s="225"/>
      <c r="Z147" s="225"/>
      <c r="AA147" s="225"/>
      <c r="AB147" s="225"/>
    </row>
    <row r="148" spans="1:30" ht="12">
      <c r="A148" s="254" t="s">
        <v>258</v>
      </c>
      <c r="B148" s="266"/>
      <c r="C148" s="256">
        <f t="shared" si="210"/>
        <v>0</v>
      </c>
      <c r="D148" s="257"/>
      <c r="E148" s="258">
        <f t="shared" si="67"/>
        <v>0</v>
      </c>
      <c r="F148" s="265">
        <f t="shared" si="68"/>
        <v>0</v>
      </c>
      <c r="G148" s="259">
        <f t="shared" si="184"/>
        <v>0</v>
      </c>
      <c r="H148" s="215">
        <v>12</v>
      </c>
      <c r="I148" s="216">
        <v>11.48</v>
      </c>
      <c r="J148" s="168">
        <f t="shared" si="212"/>
        <v>0</v>
      </c>
      <c r="K148" s="171">
        <f t="shared" si="69"/>
        <v>0</v>
      </c>
      <c r="L148" s="260">
        <f t="shared" si="181"/>
        <v>0</v>
      </c>
      <c r="M148" s="231">
        <f t="shared" si="70"/>
        <v>0</v>
      </c>
      <c r="N148" s="261">
        <f t="shared" si="182"/>
        <v>0</v>
      </c>
      <c r="O148" s="262">
        <f t="shared" si="71"/>
        <v>0</v>
      </c>
      <c r="P148" s="225"/>
      <c r="Q148" s="225"/>
      <c r="R148" s="225"/>
      <c r="S148" s="225"/>
      <c r="T148" s="225"/>
      <c r="V148" s="225"/>
      <c r="W148" s="225"/>
      <c r="X148" s="225"/>
      <c r="Y148" s="225"/>
      <c r="Z148" s="225"/>
      <c r="AA148" s="225"/>
      <c r="AB148" s="225"/>
    </row>
    <row r="149" spans="1:30" ht="12">
      <c r="A149" s="254" t="s">
        <v>259</v>
      </c>
      <c r="B149" s="266"/>
      <c r="C149" s="256">
        <f t="shared" si="210"/>
        <v>0</v>
      </c>
      <c r="D149" s="257"/>
      <c r="E149" s="258">
        <f t="shared" si="67"/>
        <v>0</v>
      </c>
      <c r="F149" s="265">
        <f t="shared" si="68"/>
        <v>0</v>
      </c>
      <c r="G149" s="259">
        <f t="shared" si="184"/>
        <v>0</v>
      </c>
      <c r="H149" s="215">
        <v>12</v>
      </c>
      <c r="I149" s="216">
        <v>14.21</v>
      </c>
      <c r="J149" s="168">
        <f t="shared" si="212"/>
        <v>0</v>
      </c>
      <c r="K149" s="171">
        <f t="shared" si="69"/>
        <v>0</v>
      </c>
      <c r="L149" s="260">
        <f t="shared" si="181"/>
        <v>0</v>
      </c>
      <c r="M149" s="231">
        <f t="shared" si="70"/>
        <v>0</v>
      </c>
      <c r="N149" s="261">
        <f t="shared" si="182"/>
        <v>0</v>
      </c>
      <c r="O149" s="262">
        <f t="shared" si="71"/>
        <v>0</v>
      </c>
      <c r="P149" s="225"/>
      <c r="Q149" s="225"/>
      <c r="R149" s="225"/>
      <c r="S149" s="225"/>
      <c r="T149" s="225"/>
      <c r="V149" s="225"/>
      <c r="W149" s="225"/>
      <c r="X149" s="225"/>
      <c r="Y149" s="225"/>
      <c r="Z149" s="225"/>
      <c r="AA149" s="225"/>
      <c r="AB149" s="225"/>
    </row>
    <row r="150" spans="1:30" ht="12">
      <c r="A150" s="254" t="s">
        <v>260</v>
      </c>
      <c r="B150" s="266"/>
      <c r="C150" s="256">
        <f t="shared" si="210"/>
        <v>0</v>
      </c>
      <c r="D150" s="257"/>
      <c r="E150" s="258">
        <f t="shared" si="67"/>
        <v>0</v>
      </c>
      <c r="F150" s="265">
        <f t="shared" si="68"/>
        <v>0</v>
      </c>
      <c r="G150" s="259">
        <f t="shared" si="184"/>
        <v>0</v>
      </c>
      <c r="H150" s="215">
        <v>12</v>
      </c>
      <c r="I150" s="216">
        <v>16.12</v>
      </c>
      <c r="J150" s="168">
        <f t="shared" si="212"/>
        <v>0</v>
      </c>
      <c r="K150" s="171">
        <f t="shared" si="69"/>
        <v>0</v>
      </c>
      <c r="L150" s="260">
        <f t="shared" si="181"/>
        <v>0</v>
      </c>
      <c r="M150" s="231">
        <f t="shared" si="70"/>
        <v>0</v>
      </c>
      <c r="N150" s="261">
        <f t="shared" si="182"/>
        <v>0</v>
      </c>
      <c r="O150" s="262">
        <f t="shared" si="71"/>
        <v>0</v>
      </c>
      <c r="P150" s="225"/>
      <c r="Q150" s="225"/>
      <c r="R150" s="225"/>
      <c r="S150" s="225"/>
      <c r="T150" s="225"/>
      <c r="V150" s="225"/>
      <c r="W150" s="225"/>
      <c r="X150" s="225"/>
      <c r="Y150" s="225"/>
      <c r="Z150" s="225"/>
      <c r="AA150" s="225"/>
      <c r="AB150" s="225"/>
    </row>
    <row r="151" spans="1:30" ht="12">
      <c r="A151" s="254" t="s">
        <v>261</v>
      </c>
      <c r="B151" s="266"/>
      <c r="C151" s="256">
        <f t="shared" si="210"/>
        <v>0</v>
      </c>
      <c r="D151" s="257"/>
      <c r="E151" s="258">
        <f t="shared" si="67"/>
        <v>0</v>
      </c>
      <c r="F151" s="265">
        <f t="shared" si="68"/>
        <v>0</v>
      </c>
      <c r="G151" s="259">
        <f t="shared" si="184"/>
        <v>0</v>
      </c>
      <c r="H151" s="215">
        <v>12</v>
      </c>
      <c r="I151" s="216">
        <v>24.05</v>
      </c>
      <c r="J151" s="168">
        <f t="shared" si="212"/>
        <v>0</v>
      </c>
      <c r="K151" s="171">
        <f t="shared" si="69"/>
        <v>0</v>
      </c>
      <c r="L151" s="260">
        <f t="shared" si="181"/>
        <v>0</v>
      </c>
      <c r="M151" s="231">
        <f t="shared" si="70"/>
        <v>0</v>
      </c>
      <c r="N151" s="261">
        <f t="shared" si="182"/>
        <v>0</v>
      </c>
      <c r="O151" s="262">
        <f t="shared" si="71"/>
        <v>0</v>
      </c>
      <c r="P151" s="225"/>
      <c r="Q151" s="225"/>
      <c r="R151" s="225"/>
      <c r="S151" s="225"/>
      <c r="T151" s="225"/>
      <c r="V151" s="225"/>
      <c r="W151" s="225"/>
      <c r="X151" s="225"/>
      <c r="Y151" s="225"/>
      <c r="Z151" s="225"/>
      <c r="AA151" s="225"/>
      <c r="AB151" s="225"/>
    </row>
    <row r="152" spans="1:30" ht="12">
      <c r="A152" s="254" t="s">
        <v>262</v>
      </c>
      <c r="B152" s="266"/>
      <c r="C152" s="256">
        <f t="shared" si="210"/>
        <v>0</v>
      </c>
      <c r="D152" s="257"/>
      <c r="E152" s="258">
        <f t="shared" si="67"/>
        <v>0</v>
      </c>
      <c r="F152" s="265">
        <f t="shared" si="68"/>
        <v>0</v>
      </c>
      <c r="G152" s="259">
        <f t="shared" si="184"/>
        <v>0</v>
      </c>
      <c r="H152" s="215">
        <v>12</v>
      </c>
      <c r="I152" s="216">
        <v>27.33</v>
      </c>
      <c r="J152" s="267">
        <f t="shared" si="212"/>
        <v>0</v>
      </c>
      <c r="K152" s="268">
        <f t="shared" si="69"/>
        <v>0</v>
      </c>
      <c r="L152" s="269">
        <f t="shared" si="181"/>
        <v>0</v>
      </c>
      <c r="M152" s="231">
        <f t="shared" si="70"/>
        <v>0</v>
      </c>
      <c r="N152" s="270">
        <f t="shared" si="182"/>
        <v>0</v>
      </c>
      <c r="O152" s="262">
        <f t="shared" si="71"/>
        <v>0</v>
      </c>
      <c r="P152" s="271"/>
      <c r="Q152" s="271"/>
      <c r="R152" s="271"/>
      <c r="S152" s="271"/>
      <c r="T152" s="271"/>
      <c r="V152" s="225"/>
      <c r="W152" s="225"/>
      <c r="X152" s="225"/>
      <c r="Y152" s="225"/>
      <c r="Z152" s="225"/>
      <c r="AA152" s="225"/>
      <c r="AB152" s="225"/>
    </row>
    <row r="153" spans="1:30">
      <c r="B153" s="242"/>
      <c r="C153" s="272"/>
      <c r="G153" s="242"/>
      <c r="J153" s="273"/>
      <c r="K153" s="274"/>
      <c r="L153" s="274"/>
      <c r="M153" s="275"/>
      <c r="N153" s="276"/>
      <c r="O153" s="274"/>
      <c r="P153" s="277"/>
      <c r="Q153" s="278"/>
      <c r="R153" s="278"/>
      <c r="S153" s="278"/>
      <c r="T153" s="278"/>
      <c r="U153" s="278"/>
      <c r="W153" s="278"/>
      <c r="X153" s="278"/>
      <c r="Y153" s="278"/>
      <c r="Z153" s="278"/>
      <c r="AA153" s="278"/>
      <c r="AB153" s="278"/>
      <c r="AC153" s="278"/>
    </row>
    <row r="154" spans="1:30">
      <c r="A154" s="279" t="s">
        <v>305</v>
      </c>
      <c r="B154" s="280">
        <f>SUM(B78:B152)</f>
        <v>269.33</v>
      </c>
      <c r="C154" s="281"/>
      <c r="E154" s="368">
        <f>SUM(E78:E153)</f>
        <v>3055.4001072620003</v>
      </c>
      <c r="F154" s="245">
        <f>SUM(F78:F153)</f>
        <v>14509.051068000001</v>
      </c>
      <c r="G154" s="242"/>
      <c r="J154" s="246"/>
      <c r="K154" s="168">
        <f>SUM(J78:J152)</f>
        <v>48044.041606170002</v>
      </c>
      <c r="L154" s="168">
        <f>SUM(K78:K152)</f>
        <v>576528.49927404011</v>
      </c>
      <c r="M154" s="282"/>
      <c r="N154" s="168"/>
      <c r="O154" s="168">
        <f>SUM(N78:N152)</f>
        <v>2658.23</v>
      </c>
      <c r="P154" s="168">
        <f>SUM(O78:O152)</f>
        <v>1901.7270598933246</v>
      </c>
      <c r="Q154" s="225"/>
      <c r="R154" s="225"/>
      <c r="S154" s="225"/>
      <c r="T154" s="225"/>
      <c r="U154" s="225"/>
      <c r="W154" s="225"/>
      <c r="X154" s="223">
        <f>SUM(X78:X153)</f>
        <v>1007.1462069952802</v>
      </c>
      <c r="Y154" s="223">
        <f>SUM(Y78:Y153)</f>
        <v>12085.754483943361</v>
      </c>
      <c r="Z154" s="223">
        <f>SUM(Z78:Z153)</f>
        <v>0</v>
      </c>
      <c r="AA154" s="225"/>
      <c r="AB154" s="283">
        <f>SUM(AB78:AB153)</f>
        <v>1.0767699893513045</v>
      </c>
      <c r="AC154" s="225"/>
    </row>
    <row r="155" spans="1:30">
      <c r="A155" s="279"/>
      <c r="B155" s="242"/>
      <c r="C155" s="272"/>
      <c r="G155" s="242"/>
      <c r="J155" s="246"/>
      <c r="K155" s="158"/>
      <c r="L155" s="158"/>
      <c r="M155" s="284"/>
      <c r="N155" s="154"/>
      <c r="O155" s="158"/>
      <c r="P155" s="230"/>
      <c r="AB155" s="227">
        <f>Z154/AB154-1</f>
        <v>-1</v>
      </c>
    </row>
    <row r="156" spans="1:30">
      <c r="A156" s="285" t="s">
        <v>303</v>
      </c>
      <c r="B156" s="242"/>
      <c r="C156" s="272"/>
      <c r="G156" s="242"/>
      <c r="J156" s="246"/>
      <c r="K156" s="158"/>
      <c r="L156" s="158"/>
      <c r="M156" s="284"/>
      <c r="N156" s="154"/>
      <c r="O156" s="158"/>
      <c r="P156" s="230"/>
      <c r="AB156" s="177"/>
    </row>
    <row r="157" spans="1:30">
      <c r="A157" s="286"/>
      <c r="B157" s="242"/>
      <c r="C157" s="272"/>
      <c r="D157" s="272"/>
      <c r="E157" s="272"/>
      <c r="F157" s="272" t="s">
        <v>294</v>
      </c>
      <c r="I157" s="242"/>
      <c r="L157" s="246"/>
      <c r="M157" s="158"/>
      <c r="N157" s="158"/>
      <c r="O157" s="284"/>
      <c r="P157" s="154"/>
      <c r="Q157" s="158"/>
      <c r="R157" s="230"/>
      <c r="AB157" s="153"/>
      <c r="AC157" s="153"/>
      <c r="AD157" s="177"/>
    </row>
    <row r="158" spans="1:30" ht="12">
      <c r="A158" s="254" t="s">
        <v>263</v>
      </c>
      <c r="B158" s="255"/>
      <c r="C158" s="256">
        <f>B158*4.3333</f>
        <v>0</v>
      </c>
      <c r="D158" s="256"/>
      <c r="E158" s="257">
        <v>0.1</v>
      </c>
      <c r="F158" s="357">
        <f>C158*12</f>
        <v>0</v>
      </c>
      <c r="G158" s="359">
        <f>C158*E158</f>
        <v>0</v>
      </c>
      <c r="H158" s="215">
        <v>52</v>
      </c>
      <c r="I158" s="216">
        <v>0</v>
      </c>
      <c r="J158" s="168">
        <f t="shared" ref="J158:J189" si="213">+C158*I158</f>
        <v>0</v>
      </c>
      <c r="K158" s="168">
        <f t="shared" ref="K158:K230" si="214">J158*12</f>
        <v>0</v>
      </c>
      <c r="L158" s="287">
        <f>+E158*L$16</f>
        <v>14.5</v>
      </c>
      <c r="M158" s="231">
        <f>L158*$O$5</f>
        <v>10.373459921998174</v>
      </c>
      <c r="N158" s="261">
        <f>ROUND((C158*L158*12)/2000,2)</f>
        <v>0</v>
      </c>
      <c r="O158" s="219">
        <f>$O$5*N158</f>
        <v>0</v>
      </c>
      <c r="P158" s="225"/>
      <c r="Q158" s="221">
        <f t="shared" ref="Q158:Q221" si="215">M158*$R$12</f>
        <v>3.2313327657024257E-2</v>
      </c>
      <c r="R158" s="222">
        <f t="shared" ref="R158:R221" si="216">Q158*4.33</f>
        <v>0.13991670875491505</v>
      </c>
      <c r="S158" s="222">
        <f t="shared" ref="S158:S189" si="217">Q158*$U$12</f>
        <v>6.4949788590618757E-4</v>
      </c>
      <c r="T158" s="222">
        <f t="shared" ref="T158:T189" si="218">+Q158+S158</f>
        <v>3.2962825542930445E-2</v>
      </c>
      <c r="V158" s="222">
        <f t="shared" ref="V158:V189" si="219">I158+T158</f>
        <v>3.2962825542930445E-2</v>
      </c>
      <c r="W158" s="223">
        <f>C158*V158</f>
        <v>0</v>
      </c>
      <c r="X158" s="223">
        <f>W158-J158</f>
        <v>0</v>
      </c>
      <c r="Y158" s="224">
        <f t="shared" ref="Y158:Y220" si="220">X158*12</f>
        <v>0</v>
      </c>
      <c r="Z158" s="225"/>
      <c r="AA158" s="223">
        <f>O158*$R$11</f>
        <v>0</v>
      </c>
      <c r="AB158" s="227" t="str">
        <f t="shared" ref="AB158:AB220" si="221">IF(I158=0,"",V158/I158-1)</f>
        <v/>
      </c>
    </row>
    <row r="159" spans="1:30" ht="12">
      <c r="A159" s="254" t="s">
        <v>133</v>
      </c>
      <c r="B159" s="255">
        <v>184</v>
      </c>
      <c r="C159" s="256">
        <f>B159*4.3333</f>
        <v>797.32720000000006</v>
      </c>
      <c r="D159" s="256"/>
      <c r="E159" s="257">
        <v>0.158</v>
      </c>
      <c r="F159" s="357">
        <f t="shared" ref="F159:F231" si="222">C159*12</f>
        <v>9567.9264000000003</v>
      </c>
      <c r="G159" s="359">
        <f>C159*E159</f>
        <v>125.97769760000001</v>
      </c>
      <c r="H159" s="215">
        <v>52</v>
      </c>
      <c r="I159" s="216">
        <v>3.93</v>
      </c>
      <c r="J159" s="168">
        <f t="shared" si="213"/>
        <v>3133.4958960000004</v>
      </c>
      <c r="K159" s="168">
        <f t="shared" si="214"/>
        <v>37601.950752000004</v>
      </c>
      <c r="L159" s="287">
        <f>+E159*L$16</f>
        <v>22.91</v>
      </c>
      <c r="M159" s="231">
        <f t="shared" ref="M159:M235" si="223">L159*$O$5</f>
        <v>16.390066676757115</v>
      </c>
      <c r="N159" s="261">
        <f>ROUND((C159*L159*12)/2000,2)</f>
        <v>109.6</v>
      </c>
      <c r="O159" s="219">
        <f t="shared" ref="O159:O230" si="224">$O$5*N159</f>
        <v>78.409048789724125</v>
      </c>
      <c r="P159" s="225"/>
      <c r="Q159" s="221">
        <f>M159*$R$12</f>
        <v>5.105505769809833E-2</v>
      </c>
      <c r="R159" s="222">
        <f t="shared" si="216"/>
        <v>0.22106839983276577</v>
      </c>
      <c r="S159" s="222">
        <f t="shared" si="217"/>
        <v>1.0262066597317764E-3</v>
      </c>
      <c r="T159" s="222">
        <f t="shared" si="218"/>
        <v>5.2081264357830108E-2</v>
      </c>
      <c r="V159" s="222">
        <f t="shared" si="219"/>
        <v>3.9820812643578303</v>
      </c>
      <c r="W159" s="223">
        <f>C159*V159</f>
        <v>3175.0217046828889</v>
      </c>
      <c r="X159" s="223">
        <f>W159-J159</f>
        <v>41.52580868288851</v>
      </c>
      <c r="Y159" s="224">
        <f t="shared" si="220"/>
        <v>498.30970419466212</v>
      </c>
      <c r="Z159" s="225"/>
      <c r="AA159" s="223">
        <f>O159*$R$11</f>
        <v>488.48837395998049</v>
      </c>
      <c r="AB159" s="227">
        <f>IF(I159=0,"",V159/I159-1)</f>
        <v>1.3252230116496122E-2</v>
      </c>
    </row>
    <row r="160" spans="1:30" ht="12">
      <c r="A160" s="254" t="s">
        <v>134</v>
      </c>
      <c r="B160" s="255"/>
      <c r="C160" s="256">
        <f>B160*4.3333</f>
        <v>0</v>
      </c>
      <c r="D160" s="256"/>
      <c r="E160" s="257">
        <v>0.316</v>
      </c>
      <c r="F160" s="357">
        <f t="shared" si="222"/>
        <v>0</v>
      </c>
      <c r="G160" s="359">
        <f>C160*E160</f>
        <v>0</v>
      </c>
      <c r="H160" s="215">
        <v>52</v>
      </c>
      <c r="I160" s="216">
        <v>8.27</v>
      </c>
      <c r="J160" s="168">
        <f t="shared" si="213"/>
        <v>0</v>
      </c>
      <c r="K160" s="168">
        <f t="shared" si="214"/>
        <v>0</v>
      </c>
      <c r="L160" s="287">
        <f>+E160*L$16</f>
        <v>45.82</v>
      </c>
      <c r="M160" s="231">
        <f t="shared" si="223"/>
        <v>32.780133353514231</v>
      </c>
      <c r="N160" s="261">
        <f>ROUND((C160*L160*12)/2000,2)</f>
        <v>0</v>
      </c>
      <c r="O160" s="219">
        <f t="shared" si="224"/>
        <v>0</v>
      </c>
      <c r="P160" s="225"/>
      <c r="Q160" s="221">
        <f t="shared" si="215"/>
        <v>0.10211011539619666</v>
      </c>
      <c r="R160" s="222">
        <f t="shared" si="216"/>
        <v>0.44213679966553154</v>
      </c>
      <c r="S160" s="222">
        <f t="shared" si="217"/>
        <v>2.0524133194635527E-3</v>
      </c>
      <c r="T160" s="222">
        <f t="shared" si="218"/>
        <v>0.10416252871566022</v>
      </c>
      <c r="V160" s="222">
        <f t="shared" si="219"/>
        <v>8.3741625287156598</v>
      </c>
      <c r="W160" s="223">
        <f>C160*V160</f>
        <v>0</v>
      </c>
      <c r="X160" s="223">
        <f t="shared" ref="X160:X220" si="225">W160-J160</f>
        <v>0</v>
      </c>
      <c r="Y160" s="224">
        <f t="shared" si="220"/>
        <v>0</v>
      </c>
      <c r="Z160" s="225"/>
      <c r="AA160" s="223">
        <f t="shared" ref="AA160:AA220" si="226">O160*$R$11</f>
        <v>0</v>
      </c>
      <c r="AB160" s="227">
        <f t="shared" si="221"/>
        <v>1.2595227172389478E-2</v>
      </c>
    </row>
    <row r="161" spans="1:28" ht="12">
      <c r="A161" s="254" t="s">
        <v>135</v>
      </c>
      <c r="B161" s="255">
        <v>24</v>
      </c>
      <c r="C161" s="256">
        <f>B161*4.3333</f>
        <v>103.9992</v>
      </c>
      <c r="D161" s="256"/>
      <c r="E161" s="257">
        <v>0.47399999999999998</v>
      </c>
      <c r="F161" s="357">
        <f t="shared" si="222"/>
        <v>1247.9904000000001</v>
      </c>
      <c r="G161" s="359">
        <f>C161*E161</f>
        <v>49.295620800000002</v>
      </c>
      <c r="H161" s="215">
        <v>52</v>
      </c>
      <c r="I161" s="216">
        <v>9.76</v>
      </c>
      <c r="J161" s="168">
        <f t="shared" si="213"/>
        <v>1015.032192</v>
      </c>
      <c r="K161" s="168">
        <f t="shared" si="214"/>
        <v>12180.386304</v>
      </c>
      <c r="L161" s="287">
        <f>+E161*L$16</f>
        <v>68.72999999999999</v>
      </c>
      <c r="M161" s="231">
        <f t="shared" si="223"/>
        <v>49.170200030271339</v>
      </c>
      <c r="N161" s="261">
        <f>ROUND((C161*L161*12)/2000,2)</f>
        <v>42.89</v>
      </c>
      <c r="O161" s="219">
        <f t="shared" si="224"/>
        <v>30.683979038241496</v>
      </c>
      <c r="P161" s="225"/>
      <c r="Q161" s="221">
        <f t="shared" si="215"/>
        <v>0.15316517309429498</v>
      </c>
      <c r="R161" s="222">
        <f t="shared" si="216"/>
        <v>0.66320519949829726</v>
      </c>
      <c r="S161" s="222">
        <f t="shared" si="217"/>
        <v>3.0786199791953289E-3</v>
      </c>
      <c r="T161" s="222">
        <f t="shared" si="218"/>
        <v>0.15624379307349032</v>
      </c>
      <c r="V161" s="222">
        <f t="shared" si="219"/>
        <v>9.9162437930734892</v>
      </c>
      <c r="W161" s="223">
        <f>C161*V161</f>
        <v>1031.2814214846085</v>
      </c>
      <c r="X161" s="223">
        <f t="shared" si="225"/>
        <v>16.249229484608463</v>
      </c>
      <c r="Y161" s="224">
        <f t="shared" si="220"/>
        <v>194.99075381530156</v>
      </c>
      <c r="Z161" s="225"/>
      <c r="AA161" s="223">
        <f t="shared" si="226"/>
        <v>191.16118940824421</v>
      </c>
      <c r="AB161" s="227">
        <f t="shared" si="221"/>
        <v>1.6008585355890226E-2</v>
      </c>
    </row>
    <row r="162" spans="1:28" ht="12">
      <c r="A162" s="254" t="s">
        <v>307</v>
      </c>
      <c r="B162" s="255"/>
      <c r="C162" s="256">
        <f>B162*4.3333</f>
        <v>0</v>
      </c>
      <c r="D162" s="256"/>
      <c r="E162" s="257">
        <v>0.1</v>
      </c>
      <c r="F162" s="357">
        <f t="shared" ref="F162" si="227">C162*12</f>
        <v>0</v>
      </c>
      <c r="G162" s="359">
        <f>C162*E162</f>
        <v>0</v>
      </c>
      <c r="H162" s="215">
        <v>52</v>
      </c>
      <c r="I162" s="216">
        <v>7.27</v>
      </c>
      <c r="J162" s="168">
        <f t="shared" si="213"/>
        <v>0</v>
      </c>
      <c r="K162" s="168">
        <f t="shared" si="214"/>
        <v>0</v>
      </c>
      <c r="L162" s="287">
        <f t="shared" ref="L162:L165" si="228">+E162*L$16</f>
        <v>14.5</v>
      </c>
      <c r="M162" s="231">
        <f t="shared" ref="M162:M165" si="229">L162*$O$5</f>
        <v>10.373459921998174</v>
      </c>
      <c r="N162" s="261">
        <f t="shared" ref="N162:N164" si="230">ROUND((C162*L162*12)/2000,2)</f>
        <v>0</v>
      </c>
      <c r="O162" s="219">
        <f t="shared" ref="O162:O164" si="231">$O$5*N162</f>
        <v>0</v>
      </c>
      <c r="P162" s="225"/>
      <c r="Q162" s="221">
        <f t="shared" ref="Q162:Q164" si="232">M162*$R$12</f>
        <v>3.2313327657024257E-2</v>
      </c>
      <c r="R162" s="222">
        <f t="shared" si="216"/>
        <v>0.13991670875491505</v>
      </c>
      <c r="S162" s="222">
        <f t="shared" si="217"/>
        <v>6.4949788590618757E-4</v>
      </c>
      <c r="T162" s="222">
        <f t="shared" si="218"/>
        <v>3.2962825542930445E-2</v>
      </c>
      <c r="V162" s="222">
        <f t="shared" si="219"/>
        <v>7.30296282554293</v>
      </c>
      <c r="W162" s="223">
        <f t="shared" ref="W162:W164" si="233">C162*V162</f>
        <v>0</v>
      </c>
      <c r="X162" s="223">
        <f t="shared" ref="X162:X164" si="234">W162-J162</f>
        <v>0</v>
      </c>
      <c r="Y162" s="224">
        <f t="shared" ref="Y162:Y164" si="235">X162*12</f>
        <v>0</v>
      </c>
      <c r="Z162" s="225"/>
      <c r="AA162" s="223">
        <f t="shared" ref="AA162:AA164" si="236">O162*$R$11</f>
        <v>0</v>
      </c>
      <c r="AB162" s="227">
        <f t="shared" ref="AB162:AB164" si="237">IF(I162=0,"",V162/I162-1)</f>
        <v>4.5340887954512521E-3</v>
      </c>
    </row>
    <row r="163" spans="1:28" ht="12">
      <c r="A163" s="254" t="s">
        <v>308</v>
      </c>
      <c r="B163" s="255"/>
      <c r="C163" s="256">
        <f t="shared" ref="C163:C165" si="238">B163*4.3333</f>
        <v>0</v>
      </c>
      <c r="D163" s="256"/>
      <c r="E163" s="257">
        <v>0.158</v>
      </c>
      <c r="F163" s="357">
        <f t="shared" ref="F163:F164" si="239">C163*12</f>
        <v>0</v>
      </c>
      <c r="G163" s="359">
        <f t="shared" ref="G163:G164" si="240">C163*E163</f>
        <v>0</v>
      </c>
      <c r="H163" s="215">
        <v>52</v>
      </c>
      <c r="I163" s="216">
        <v>9.74</v>
      </c>
      <c r="J163" s="168">
        <f t="shared" si="213"/>
        <v>0</v>
      </c>
      <c r="K163" s="168">
        <f t="shared" si="214"/>
        <v>0</v>
      </c>
      <c r="L163" s="287">
        <f t="shared" si="228"/>
        <v>22.91</v>
      </c>
      <c r="M163" s="231">
        <f t="shared" si="229"/>
        <v>16.390066676757115</v>
      </c>
      <c r="N163" s="261">
        <f t="shared" si="230"/>
        <v>0</v>
      </c>
      <c r="O163" s="219">
        <f t="shared" si="231"/>
        <v>0</v>
      </c>
      <c r="P163" s="225"/>
      <c r="Q163" s="221">
        <f t="shared" si="232"/>
        <v>5.105505769809833E-2</v>
      </c>
      <c r="R163" s="222">
        <f t="shared" si="216"/>
        <v>0.22106839983276577</v>
      </c>
      <c r="S163" s="222">
        <f t="shared" si="217"/>
        <v>1.0262066597317764E-3</v>
      </c>
      <c r="T163" s="222">
        <f t="shared" si="218"/>
        <v>5.2081264357830108E-2</v>
      </c>
      <c r="V163" s="222">
        <f t="shared" si="219"/>
        <v>9.7920812643578294</v>
      </c>
      <c r="W163" s="223">
        <f t="shared" si="233"/>
        <v>0</v>
      </c>
      <c r="X163" s="223">
        <f t="shared" si="234"/>
        <v>0</v>
      </c>
      <c r="Y163" s="224">
        <f t="shared" si="235"/>
        <v>0</v>
      </c>
      <c r="Z163" s="225"/>
      <c r="AA163" s="223">
        <f t="shared" si="236"/>
        <v>0</v>
      </c>
      <c r="AB163" s="227">
        <f t="shared" si="237"/>
        <v>5.347152398134325E-3</v>
      </c>
    </row>
    <row r="164" spans="1:28" ht="12">
      <c r="A164" s="254" t="s">
        <v>309</v>
      </c>
      <c r="B164" s="255"/>
      <c r="C164" s="256">
        <f t="shared" si="238"/>
        <v>0</v>
      </c>
      <c r="D164" s="256"/>
      <c r="E164" s="257">
        <v>0.316</v>
      </c>
      <c r="F164" s="357">
        <f t="shared" si="239"/>
        <v>0</v>
      </c>
      <c r="G164" s="359">
        <f t="shared" si="240"/>
        <v>0</v>
      </c>
      <c r="H164" s="215">
        <v>52</v>
      </c>
      <c r="I164" s="216">
        <v>10.87</v>
      </c>
      <c r="J164" s="168">
        <f t="shared" si="213"/>
        <v>0</v>
      </c>
      <c r="K164" s="168">
        <f t="shared" si="214"/>
        <v>0</v>
      </c>
      <c r="L164" s="287">
        <f t="shared" si="228"/>
        <v>45.82</v>
      </c>
      <c r="M164" s="231">
        <f t="shared" si="229"/>
        <v>32.780133353514231</v>
      </c>
      <c r="N164" s="261">
        <f t="shared" si="230"/>
        <v>0</v>
      </c>
      <c r="O164" s="219">
        <f t="shared" si="231"/>
        <v>0</v>
      </c>
      <c r="P164" s="225"/>
      <c r="Q164" s="221">
        <f t="shared" si="232"/>
        <v>0.10211011539619666</v>
      </c>
      <c r="R164" s="222">
        <f t="shared" si="216"/>
        <v>0.44213679966553154</v>
      </c>
      <c r="S164" s="222">
        <f t="shared" si="217"/>
        <v>2.0524133194635527E-3</v>
      </c>
      <c r="T164" s="222">
        <f t="shared" si="218"/>
        <v>0.10416252871566022</v>
      </c>
      <c r="V164" s="222">
        <f t="shared" si="219"/>
        <v>10.974162528715659</v>
      </c>
      <c r="W164" s="223">
        <f t="shared" si="233"/>
        <v>0</v>
      </c>
      <c r="X164" s="223">
        <f t="shared" si="234"/>
        <v>0</v>
      </c>
      <c r="Y164" s="224">
        <f t="shared" si="235"/>
        <v>0</v>
      </c>
      <c r="Z164" s="225"/>
      <c r="AA164" s="223">
        <f t="shared" si="236"/>
        <v>0</v>
      </c>
      <c r="AB164" s="227">
        <f t="shared" si="237"/>
        <v>9.582569339067204E-3</v>
      </c>
    </row>
    <row r="165" spans="1:28" ht="12">
      <c r="A165" s="254" t="s">
        <v>310</v>
      </c>
      <c r="B165" s="255"/>
      <c r="C165" s="256">
        <f t="shared" si="238"/>
        <v>0</v>
      </c>
      <c r="D165" s="256"/>
      <c r="E165" s="257">
        <v>1</v>
      </c>
      <c r="F165" s="357">
        <f t="shared" ref="F165" si="241">C165*12</f>
        <v>0</v>
      </c>
      <c r="G165" s="359">
        <f t="shared" ref="G165" si="242">C165*E165</f>
        <v>0</v>
      </c>
      <c r="H165" s="215">
        <v>52</v>
      </c>
      <c r="I165" s="216">
        <v>29.84</v>
      </c>
      <c r="J165" s="168">
        <f t="shared" si="213"/>
        <v>0</v>
      </c>
      <c r="K165" s="168">
        <f t="shared" ref="K165" si="243">J165*12</f>
        <v>0</v>
      </c>
      <c r="L165" s="287">
        <f t="shared" si="228"/>
        <v>145</v>
      </c>
      <c r="M165" s="231">
        <f t="shared" si="229"/>
        <v>103.73459921998173</v>
      </c>
      <c r="N165" s="261">
        <f t="shared" ref="N165:N166" si="244">ROUND((C165*L165*12)/2000,2)</f>
        <v>0</v>
      </c>
      <c r="O165" s="219">
        <f t="shared" ref="O165:O166" si="245">$O$5*N165</f>
        <v>0</v>
      </c>
      <c r="P165" s="225"/>
      <c r="Q165" s="221">
        <f t="shared" ref="Q165:Q166" si="246">M165*$R$12</f>
        <v>0.32313327657024254</v>
      </c>
      <c r="R165" s="222">
        <f t="shared" si="216"/>
        <v>1.3991670875491502</v>
      </c>
      <c r="S165" s="222">
        <f t="shared" si="217"/>
        <v>6.4949788590618748E-3</v>
      </c>
      <c r="T165" s="222">
        <f t="shared" si="218"/>
        <v>0.32962825542930441</v>
      </c>
      <c r="V165" s="222">
        <f t="shared" si="219"/>
        <v>30.169628255429306</v>
      </c>
      <c r="W165" s="223">
        <f t="shared" ref="W165:W166" si="247">C165*V165</f>
        <v>0</v>
      </c>
      <c r="X165" s="223">
        <f t="shared" ref="X165:X166" si="248">W165-J165</f>
        <v>0</v>
      </c>
      <c r="Y165" s="224">
        <f t="shared" ref="Y165:Y166" si="249">X165*12</f>
        <v>0</v>
      </c>
      <c r="Z165" s="225"/>
      <c r="AA165" s="223">
        <f t="shared" ref="AA165:AA166" si="250">O165*$R$11</f>
        <v>0</v>
      </c>
      <c r="AB165" s="227">
        <f t="shared" ref="AB165:AB166" si="251">IF(I165=0,"",V165/I165-1)</f>
        <v>1.1046523305271672E-2</v>
      </c>
    </row>
    <row r="166" spans="1:28" ht="12">
      <c r="A166" s="254" t="s">
        <v>229</v>
      </c>
      <c r="B166" s="255"/>
      <c r="C166" s="256">
        <f>+B166</f>
        <v>0</v>
      </c>
      <c r="D166" s="256"/>
      <c r="E166" s="257">
        <f>1*5</f>
        <v>5</v>
      </c>
      <c r="F166" s="357">
        <f t="shared" si="222"/>
        <v>0</v>
      </c>
      <c r="G166" s="359">
        <f t="shared" ref="G166:G197" si="252">C166*E166</f>
        <v>0</v>
      </c>
      <c r="H166" s="215">
        <v>52</v>
      </c>
      <c r="I166" s="216">
        <v>0</v>
      </c>
      <c r="J166" s="168">
        <f t="shared" si="213"/>
        <v>0</v>
      </c>
      <c r="K166" s="168">
        <f t="shared" si="214"/>
        <v>0</v>
      </c>
      <c r="L166" s="287">
        <f t="shared" ref="L166:L206" si="253">+E166*L$16</f>
        <v>725</v>
      </c>
      <c r="M166" s="231">
        <f t="shared" si="223"/>
        <v>518.67299609990869</v>
      </c>
      <c r="N166" s="261">
        <f t="shared" si="244"/>
        <v>0</v>
      </c>
      <c r="O166" s="219">
        <f t="shared" si="245"/>
        <v>0</v>
      </c>
      <c r="P166" s="225"/>
      <c r="Q166" s="221">
        <f t="shared" si="246"/>
        <v>1.615666382851213</v>
      </c>
      <c r="R166" s="222">
        <f t="shared" si="216"/>
        <v>6.9958354377457521</v>
      </c>
      <c r="S166" s="222">
        <f t="shared" si="217"/>
        <v>3.2474894295309378E-2</v>
      </c>
      <c r="T166" s="222">
        <f t="shared" si="218"/>
        <v>1.6481412771465225</v>
      </c>
      <c r="V166" s="222">
        <f t="shared" si="219"/>
        <v>1.6481412771465225</v>
      </c>
      <c r="W166" s="223">
        <f t="shared" si="247"/>
        <v>0</v>
      </c>
      <c r="X166" s="223">
        <f t="shared" si="248"/>
        <v>0</v>
      </c>
      <c r="Y166" s="224">
        <f t="shared" si="249"/>
        <v>0</v>
      </c>
      <c r="Z166" s="225"/>
      <c r="AA166" s="223">
        <f t="shared" si="250"/>
        <v>0</v>
      </c>
      <c r="AB166" s="227" t="str">
        <f t="shared" si="251"/>
        <v/>
      </c>
    </row>
    <row r="167" spans="1:28" ht="12">
      <c r="A167" s="254" t="s">
        <v>230</v>
      </c>
      <c r="B167" s="255"/>
      <c r="C167" s="256">
        <f>+B167</f>
        <v>0</v>
      </c>
      <c r="D167" s="256"/>
      <c r="E167" s="257">
        <v>1</v>
      </c>
      <c r="F167" s="357">
        <f t="shared" si="222"/>
        <v>0</v>
      </c>
      <c r="G167" s="359">
        <f t="shared" si="252"/>
        <v>0</v>
      </c>
      <c r="H167" s="257">
        <v>52</v>
      </c>
      <c r="I167" s="216">
        <v>23.24</v>
      </c>
      <c r="J167" s="168">
        <f t="shared" si="213"/>
        <v>0</v>
      </c>
      <c r="K167" s="168">
        <f t="shared" si="214"/>
        <v>0</v>
      </c>
      <c r="L167" s="287">
        <f t="shared" si="253"/>
        <v>145</v>
      </c>
      <c r="M167" s="231">
        <f t="shared" si="223"/>
        <v>103.73459921998173</v>
      </c>
      <c r="N167" s="261">
        <f t="shared" ref="N167:N206" si="254">ROUND((C167*L167*12)/2000,2)</f>
        <v>0</v>
      </c>
      <c r="O167" s="219">
        <f t="shared" si="224"/>
        <v>0</v>
      </c>
      <c r="P167" s="225"/>
      <c r="Q167" s="221">
        <f t="shared" si="215"/>
        <v>0.32313327657024254</v>
      </c>
      <c r="R167" s="222">
        <f t="shared" si="216"/>
        <v>1.3991670875491502</v>
      </c>
      <c r="S167" s="222">
        <f t="shared" si="217"/>
        <v>6.4949788590618748E-3</v>
      </c>
      <c r="T167" s="222">
        <f t="shared" si="218"/>
        <v>0.32962825542930441</v>
      </c>
      <c r="V167" s="222">
        <f t="shared" si="219"/>
        <v>23.569628255429304</v>
      </c>
      <c r="W167" s="223">
        <f t="shared" ref="W167:W206" si="255">C167*V167</f>
        <v>0</v>
      </c>
      <c r="X167" s="223">
        <f t="shared" si="225"/>
        <v>0</v>
      </c>
      <c r="Y167" s="224">
        <f t="shared" si="220"/>
        <v>0</v>
      </c>
      <c r="Z167" s="225"/>
      <c r="AA167" s="223">
        <f t="shared" si="226"/>
        <v>0</v>
      </c>
      <c r="AB167" s="227">
        <f t="shared" si="221"/>
        <v>1.4183659872173182E-2</v>
      </c>
    </row>
    <row r="168" spans="1:28" ht="12">
      <c r="A168" s="254" t="s">
        <v>136</v>
      </c>
      <c r="B168" s="255">
        <v>4</v>
      </c>
      <c r="C168" s="256">
        <f>+B168*4.3333</f>
        <v>17.333200000000001</v>
      </c>
      <c r="D168" s="256"/>
      <c r="E168" s="257">
        <v>1</v>
      </c>
      <c r="F168" s="357">
        <f t="shared" si="222"/>
        <v>207.9984</v>
      </c>
      <c r="G168" s="359">
        <f t="shared" si="252"/>
        <v>17.333200000000001</v>
      </c>
      <c r="H168" s="215">
        <v>52</v>
      </c>
      <c r="I168" s="216">
        <v>20.39</v>
      </c>
      <c r="J168" s="168">
        <f t="shared" si="213"/>
        <v>353.42394800000005</v>
      </c>
      <c r="K168" s="168">
        <f t="shared" si="214"/>
        <v>4241.0873760000004</v>
      </c>
      <c r="L168" s="287">
        <f t="shared" si="253"/>
        <v>145</v>
      </c>
      <c r="M168" s="231">
        <f t="shared" si="223"/>
        <v>103.73459921998173</v>
      </c>
      <c r="N168" s="261">
        <f t="shared" si="254"/>
        <v>15.08</v>
      </c>
      <c r="O168" s="219">
        <f t="shared" si="224"/>
        <v>10.7883983188781</v>
      </c>
      <c r="P168" s="225"/>
      <c r="Q168" s="221">
        <f t="shared" si="215"/>
        <v>0.32313327657024254</v>
      </c>
      <c r="R168" s="222">
        <f t="shared" si="216"/>
        <v>1.3991670875491502</v>
      </c>
      <c r="S168" s="222">
        <f t="shared" si="217"/>
        <v>6.4949788590618748E-3</v>
      </c>
      <c r="T168" s="222">
        <f t="shared" si="218"/>
        <v>0.32962825542930441</v>
      </c>
      <c r="V168" s="222">
        <f t="shared" si="219"/>
        <v>20.719628255429306</v>
      </c>
      <c r="W168" s="223">
        <f t="shared" si="255"/>
        <v>359.13746047700727</v>
      </c>
      <c r="X168" s="223">
        <f t="shared" si="225"/>
        <v>5.7135124770072139</v>
      </c>
      <c r="Y168" s="224">
        <f t="shared" si="220"/>
        <v>68.562149724086566</v>
      </c>
      <c r="Z168" s="225"/>
      <c r="AA168" s="223">
        <f t="shared" si="226"/>
        <v>67.211721526610447</v>
      </c>
      <c r="AB168" s="227">
        <f t="shared" si="221"/>
        <v>1.6166172409480373E-2</v>
      </c>
    </row>
    <row r="169" spans="1:28" ht="12">
      <c r="A169" s="254" t="s">
        <v>153</v>
      </c>
      <c r="B169" s="255"/>
      <c r="C169" s="256">
        <f>+B169*4.3333*2</f>
        <v>0</v>
      </c>
      <c r="D169" s="256"/>
      <c r="E169" s="257">
        <v>1</v>
      </c>
      <c r="F169" s="357">
        <f t="shared" si="222"/>
        <v>0</v>
      </c>
      <c r="G169" s="359">
        <f t="shared" si="252"/>
        <v>0</v>
      </c>
      <c r="H169" s="215">
        <v>52</v>
      </c>
      <c r="I169" s="216">
        <v>20.39</v>
      </c>
      <c r="J169" s="168">
        <f t="shared" si="213"/>
        <v>0</v>
      </c>
      <c r="K169" s="168">
        <f t="shared" si="214"/>
        <v>0</v>
      </c>
      <c r="L169" s="287">
        <f t="shared" si="253"/>
        <v>145</v>
      </c>
      <c r="M169" s="231">
        <f t="shared" si="223"/>
        <v>103.73459921998173</v>
      </c>
      <c r="N169" s="261">
        <f t="shared" si="254"/>
        <v>0</v>
      </c>
      <c r="O169" s="219">
        <f t="shared" si="224"/>
        <v>0</v>
      </c>
      <c r="P169" s="225"/>
      <c r="Q169" s="221">
        <f t="shared" si="215"/>
        <v>0.32313327657024254</v>
      </c>
      <c r="R169" s="222">
        <f t="shared" si="216"/>
        <v>1.3991670875491502</v>
      </c>
      <c r="S169" s="222">
        <f t="shared" si="217"/>
        <v>6.4949788590618748E-3</v>
      </c>
      <c r="T169" s="222">
        <f t="shared" si="218"/>
        <v>0.32962825542930441</v>
      </c>
      <c r="V169" s="222">
        <f t="shared" si="219"/>
        <v>20.719628255429306</v>
      </c>
      <c r="W169" s="223">
        <f t="shared" si="255"/>
        <v>0</v>
      </c>
      <c r="X169" s="223">
        <f>W169-J169</f>
        <v>0</v>
      </c>
      <c r="Y169" s="224">
        <f t="shared" si="220"/>
        <v>0</v>
      </c>
      <c r="Z169" s="225"/>
      <c r="AA169" s="223">
        <f>O169*$R$11</f>
        <v>0</v>
      </c>
      <c r="AB169" s="227">
        <f>IF(I169=0,"",V169/I169-1)</f>
        <v>1.6166172409480373E-2</v>
      </c>
    </row>
    <row r="170" spans="1:28" ht="12">
      <c r="A170" s="254" t="s">
        <v>311</v>
      </c>
      <c r="B170" s="255"/>
      <c r="C170" s="256">
        <f>+B170*4.3333*2</f>
        <v>0</v>
      </c>
      <c r="D170" s="256"/>
      <c r="E170" s="257">
        <v>1.25</v>
      </c>
      <c r="F170" s="357">
        <f t="shared" si="222"/>
        <v>0</v>
      </c>
      <c r="G170" s="359">
        <f t="shared" si="252"/>
        <v>0</v>
      </c>
      <c r="H170" s="215">
        <v>52</v>
      </c>
      <c r="I170" s="216">
        <v>31.97</v>
      </c>
      <c r="J170" s="168">
        <f t="shared" si="213"/>
        <v>0</v>
      </c>
      <c r="K170" s="168">
        <f t="shared" si="214"/>
        <v>0</v>
      </c>
      <c r="L170" s="287">
        <f t="shared" si="253"/>
        <v>181.25</v>
      </c>
      <c r="M170" s="231">
        <f t="shared" si="223"/>
        <v>129.66824902497717</v>
      </c>
      <c r="N170" s="261">
        <f t="shared" si="254"/>
        <v>0</v>
      </c>
      <c r="O170" s="219">
        <f t="shared" si="224"/>
        <v>0</v>
      </c>
      <c r="P170" s="225"/>
      <c r="Q170" s="221">
        <f t="shared" si="215"/>
        <v>0.40391659571280325</v>
      </c>
      <c r="R170" s="222">
        <f t="shared" si="216"/>
        <v>1.748958859436438</v>
      </c>
      <c r="S170" s="222">
        <f t="shared" si="217"/>
        <v>8.1187235738273446E-3</v>
      </c>
      <c r="T170" s="222">
        <f t="shared" si="218"/>
        <v>0.41203531928663062</v>
      </c>
      <c r="V170" s="222">
        <f t="shared" si="219"/>
        <v>32.382035319286629</v>
      </c>
      <c r="W170" s="223">
        <f t="shared" si="255"/>
        <v>0</v>
      </c>
      <c r="X170" s="223">
        <f>W170-J170</f>
        <v>0</v>
      </c>
      <c r="Y170" s="224">
        <f t="shared" si="220"/>
        <v>0</v>
      </c>
      <c r="Z170" s="225"/>
      <c r="AA170" s="223">
        <f>O170*$R$11</f>
        <v>0</v>
      </c>
      <c r="AB170" s="227">
        <f>IF(I170=0,"",V170/I170-1)</f>
        <v>1.2888186402459478E-2</v>
      </c>
    </row>
    <row r="171" spans="1:28" ht="12">
      <c r="A171" s="254" t="s">
        <v>155</v>
      </c>
      <c r="B171" s="255"/>
      <c r="C171" s="256">
        <f>B171*1</f>
        <v>0</v>
      </c>
      <c r="D171" s="256"/>
      <c r="E171" s="257">
        <v>1.25</v>
      </c>
      <c r="F171" s="357">
        <f t="shared" si="222"/>
        <v>0</v>
      </c>
      <c r="G171" s="359">
        <f t="shared" si="252"/>
        <v>0</v>
      </c>
      <c r="H171" s="215">
        <v>52</v>
      </c>
      <c r="I171" s="216">
        <v>23.27</v>
      </c>
      <c r="J171" s="168">
        <f t="shared" si="213"/>
        <v>0</v>
      </c>
      <c r="K171" s="168">
        <f t="shared" si="214"/>
        <v>0</v>
      </c>
      <c r="L171" s="287">
        <f t="shared" si="253"/>
        <v>181.25</v>
      </c>
      <c r="M171" s="231">
        <f t="shared" si="223"/>
        <v>129.66824902497717</v>
      </c>
      <c r="N171" s="261">
        <f t="shared" si="254"/>
        <v>0</v>
      </c>
      <c r="O171" s="219">
        <f t="shared" si="224"/>
        <v>0</v>
      </c>
      <c r="P171" s="225"/>
      <c r="Q171" s="221">
        <f t="shared" si="215"/>
        <v>0.40391659571280325</v>
      </c>
      <c r="R171" s="222">
        <f t="shared" si="216"/>
        <v>1.748958859436438</v>
      </c>
      <c r="S171" s="222">
        <f t="shared" si="217"/>
        <v>8.1187235738273446E-3</v>
      </c>
      <c r="T171" s="222">
        <f t="shared" si="218"/>
        <v>0.41203531928663062</v>
      </c>
      <c r="V171" s="222">
        <f>I171+T171+2.75</f>
        <v>26.43203531928663</v>
      </c>
      <c r="W171" s="223">
        <f t="shared" si="255"/>
        <v>0</v>
      </c>
      <c r="X171" s="223">
        <f t="shared" si="225"/>
        <v>0</v>
      </c>
      <c r="Y171" s="224">
        <f t="shared" si="220"/>
        <v>0</v>
      </c>
      <c r="Z171" s="225"/>
      <c r="AA171" s="223">
        <f t="shared" si="226"/>
        <v>0</v>
      </c>
      <c r="AB171" s="227">
        <f t="shared" si="221"/>
        <v>0.13588462910557064</v>
      </c>
    </row>
    <row r="172" spans="1:28" ht="12">
      <c r="A172" s="254" t="s">
        <v>138</v>
      </c>
      <c r="B172" s="255">
        <v>4</v>
      </c>
      <c r="C172" s="256">
        <f>B172*4.3333</f>
        <v>17.333200000000001</v>
      </c>
      <c r="D172" s="256"/>
      <c r="E172" s="257">
        <v>1.25</v>
      </c>
      <c r="F172" s="357">
        <f t="shared" si="222"/>
        <v>207.9984</v>
      </c>
      <c r="G172" s="359">
        <f t="shared" si="252"/>
        <v>21.666500000000003</v>
      </c>
      <c r="H172" s="215">
        <v>52</v>
      </c>
      <c r="I172" s="216">
        <v>24.25</v>
      </c>
      <c r="J172" s="168">
        <f t="shared" si="213"/>
        <v>420.33010000000002</v>
      </c>
      <c r="K172" s="168">
        <f t="shared" si="214"/>
        <v>5043.9611999999997</v>
      </c>
      <c r="L172" s="287">
        <f t="shared" si="253"/>
        <v>181.25</v>
      </c>
      <c r="M172" s="231">
        <f t="shared" si="223"/>
        <v>129.66824902497717</v>
      </c>
      <c r="N172" s="261">
        <f t="shared" si="254"/>
        <v>18.850000000000001</v>
      </c>
      <c r="O172" s="219">
        <f t="shared" si="224"/>
        <v>13.485497898597627</v>
      </c>
      <c r="P172" s="225"/>
      <c r="Q172" s="221">
        <f t="shared" si="215"/>
        <v>0.40391659571280325</v>
      </c>
      <c r="R172" s="222">
        <f t="shared" si="216"/>
        <v>1.748958859436438</v>
      </c>
      <c r="S172" s="222">
        <f t="shared" si="217"/>
        <v>8.1187235738273446E-3</v>
      </c>
      <c r="T172" s="222">
        <f t="shared" si="218"/>
        <v>0.41203531928663062</v>
      </c>
      <c r="V172" s="222">
        <f t="shared" si="219"/>
        <v>24.66203531928663</v>
      </c>
      <c r="W172" s="223">
        <f t="shared" si="255"/>
        <v>427.47199059625905</v>
      </c>
      <c r="X172" s="223">
        <f t="shared" si="225"/>
        <v>7.1418905962590316</v>
      </c>
      <c r="Y172" s="224">
        <f t="shared" si="220"/>
        <v>85.702687155108379</v>
      </c>
      <c r="Z172" s="225"/>
      <c r="AA172" s="223">
        <f t="shared" si="226"/>
        <v>84.014651908263076</v>
      </c>
      <c r="AB172" s="227">
        <f t="shared" si="221"/>
        <v>1.6991147187077615E-2</v>
      </c>
    </row>
    <row r="173" spans="1:28" ht="12">
      <c r="A173" s="254" t="s">
        <v>139</v>
      </c>
      <c r="B173" s="255">
        <v>1</v>
      </c>
      <c r="C173" s="256">
        <f>B173*4.3333*2</f>
        <v>8.6666000000000007</v>
      </c>
      <c r="D173" s="256"/>
      <c r="E173" s="257">
        <v>1.25</v>
      </c>
      <c r="F173" s="357">
        <f t="shared" si="222"/>
        <v>103.9992</v>
      </c>
      <c r="G173" s="359">
        <f t="shared" si="252"/>
        <v>10.833250000000001</v>
      </c>
      <c r="H173" s="215">
        <v>52</v>
      </c>
      <c r="I173" s="216">
        <v>24.25</v>
      </c>
      <c r="J173" s="168">
        <f t="shared" si="213"/>
        <v>210.16505000000001</v>
      </c>
      <c r="K173" s="168">
        <f t="shared" si="214"/>
        <v>2521.9805999999999</v>
      </c>
      <c r="L173" s="287">
        <f t="shared" si="253"/>
        <v>181.25</v>
      </c>
      <c r="M173" s="231">
        <f t="shared" si="223"/>
        <v>129.66824902497717</v>
      </c>
      <c r="N173" s="261">
        <f t="shared" si="254"/>
        <v>9.42</v>
      </c>
      <c r="O173" s="219">
        <f t="shared" si="224"/>
        <v>6.7391718941532961</v>
      </c>
      <c r="P173" s="225"/>
      <c r="Q173" s="221">
        <f t="shared" si="215"/>
        <v>0.40391659571280325</v>
      </c>
      <c r="R173" s="222">
        <f t="shared" si="216"/>
        <v>1.748958859436438</v>
      </c>
      <c r="S173" s="222">
        <f t="shared" si="217"/>
        <v>8.1187235738273446E-3</v>
      </c>
      <c r="T173" s="222">
        <f t="shared" si="218"/>
        <v>0.41203531928663062</v>
      </c>
      <c r="V173" s="222">
        <f t="shared" si="219"/>
        <v>24.66203531928663</v>
      </c>
      <c r="W173" s="223">
        <f t="shared" si="255"/>
        <v>213.73599529812952</v>
      </c>
      <c r="X173" s="223">
        <f t="shared" si="225"/>
        <v>3.5709452981295158</v>
      </c>
      <c r="Y173" s="224">
        <f t="shared" si="220"/>
        <v>42.851343577554189</v>
      </c>
      <c r="Z173" s="225"/>
      <c r="AA173" s="223">
        <f t="shared" si="226"/>
        <v>41.985040900574965</v>
      </c>
      <c r="AB173" s="227">
        <f t="shared" si="221"/>
        <v>1.6991147187077615E-2</v>
      </c>
    </row>
    <row r="174" spans="1:28" ht="12">
      <c r="A174" s="254" t="s">
        <v>231</v>
      </c>
      <c r="B174" s="255"/>
      <c r="C174" s="256">
        <f>B174*4.3333*3</f>
        <v>0</v>
      </c>
      <c r="D174" s="256"/>
      <c r="E174" s="257">
        <v>1.25</v>
      </c>
      <c r="F174" s="357">
        <f t="shared" si="222"/>
        <v>0</v>
      </c>
      <c r="G174" s="359">
        <f t="shared" si="252"/>
        <v>0</v>
      </c>
      <c r="H174" s="215">
        <v>52</v>
      </c>
      <c r="I174" s="216">
        <v>24.25</v>
      </c>
      <c r="J174" s="168">
        <f t="shared" si="213"/>
        <v>0</v>
      </c>
      <c r="K174" s="168">
        <f t="shared" si="214"/>
        <v>0</v>
      </c>
      <c r="L174" s="287">
        <f t="shared" si="253"/>
        <v>181.25</v>
      </c>
      <c r="M174" s="231">
        <f t="shared" si="223"/>
        <v>129.66824902497717</v>
      </c>
      <c r="N174" s="261">
        <f t="shared" si="254"/>
        <v>0</v>
      </c>
      <c r="O174" s="219">
        <f t="shared" si="224"/>
        <v>0</v>
      </c>
      <c r="P174" s="225"/>
      <c r="Q174" s="221">
        <f t="shared" si="215"/>
        <v>0.40391659571280325</v>
      </c>
      <c r="R174" s="222">
        <f t="shared" si="216"/>
        <v>1.748958859436438</v>
      </c>
      <c r="S174" s="222">
        <f t="shared" si="217"/>
        <v>8.1187235738273446E-3</v>
      </c>
      <c r="T174" s="222">
        <f t="shared" si="218"/>
        <v>0.41203531928663062</v>
      </c>
      <c r="V174" s="222">
        <f t="shared" si="219"/>
        <v>24.66203531928663</v>
      </c>
      <c r="W174" s="223">
        <f t="shared" si="255"/>
        <v>0</v>
      </c>
      <c r="X174" s="223">
        <f t="shared" si="225"/>
        <v>0</v>
      </c>
      <c r="Y174" s="224">
        <f t="shared" si="220"/>
        <v>0</v>
      </c>
      <c r="Z174" s="225"/>
      <c r="AA174" s="223">
        <f t="shared" si="226"/>
        <v>0</v>
      </c>
      <c r="AB174" s="227">
        <f t="shared" si="221"/>
        <v>1.6991147187077615E-2</v>
      </c>
    </row>
    <row r="175" spans="1:28" ht="12">
      <c r="A175" s="254" t="s">
        <v>312</v>
      </c>
      <c r="B175" s="255"/>
      <c r="C175" s="256">
        <f>B175*4.3333*3</f>
        <v>0</v>
      </c>
      <c r="D175" s="256"/>
      <c r="E175" s="257">
        <v>2</v>
      </c>
      <c r="F175" s="357">
        <f t="shared" ref="F175" si="256">C175*12</f>
        <v>0</v>
      </c>
      <c r="G175" s="359">
        <f t="shared" si="252"/>
        <v>0</v>
      </c>
      <c r="H175" s="215">
        <v>52</v>
      </c>
      <c r="I175" s="216">
        <v>40.75</v>
      </c>
      <c r="J175" s="168">
        <f t="shared" si="213"/>
        <v>0</v>
      </c>
      <c r="K175" s="168">
        <f t="shared" si="214"/>
        <v>0</v>
      </c>
      <c r="L175" s="287">
        <f t="shared" si="253"/>
        <v>290</v>
      </c>
      <c r="M175" s="231">
        <f t="shared" si="223"/>
        <v>207.46919843996346</v>
      </c>
      <c r="N175" s="261">
        <f t="shared" si="254"/>
        <v>0</v>
      </c>
      <c r="O175" s="219">
        <f t="shared" si="224"/>
        <v>0</v>
      </c>
      <c r="P175" s="225"/>
      <c r="Q175" s="221">
        <f t="shared" si="215"/>
        <v>0.64626655314048509</v>
      </c>
      <c r="R175" s="222">
        <f t="shared" si="216"/>
        <v>2.7983341750983004</v>
      </c>
      <c r="S175" s="222">
        <f t="shared" si="217"/>
        <v>1.298995771812375E-2</v>
      </c>
      <c r="T175" s="222">
        <f t="shared" si="218"/>
        <v>0.65925651085860881</v>
      </c>
      <c r="V175" s="222">
        <f t="shared" si="219"/>
        <v>41.409256510858611</v>
      </c>
      <c r="W175" s="223">
        <f t="shared" si="255"/>
        <v>0</v>
      </c>
      <c r="X175" s="223">
        <f t="shared" si="225"/>
        <v>0</v>
      </c>
      <c r="Y175" s="224">
        <f t="shared" si="220"/>
        <v>0</v>
      </c>
      <c r="Z175" s="225"/>
      <c r="AA175" s="223">
        <f t="shared" si="226"/>
        <v>0</v>
      </c>
      <c r="AB175" s="227">
        <f t="shared" si="221"/>
        <v>1.6178073886100819E-2</v>
      </c>
    </row>
    <row r="176" spans="1:28" ht="12">
      <c r="A176" s="254" t="s">
        <v>232</v>
      </c>
      <c r="B176" s="255"/>
      <c r="C176" s="256">
        <f>+B176</f>
        <v>0</v>
      </c>
      <c r="D176" s="256"/>
      <c r="E176" s="257">
        <f>2*5</f>
        <v>10</v>
      </c>
      <c r="F176" s="357">
        <f t="shared" si="222"/>
        <v>0</v>
      </c>
      <c r="G176" s="359">
        <f t="shared" si="252"/>
        <v>0</v>
      </c>
      <c r="H176" s="215">
        <v>52</v>
      </c>
      <c r="I176" s="216">
        <v>0</v>
      </c>
      <c r="J176" s="168">
        <f t="shared" si="213"/>
        <v>0</v>
      </c>
      <c r="K176" s="168">
        <f t="shared" si="214"/>
        <v>0</v>
      </c>
      <c r="L176" s="287">
        <f t="shared" si="253"/>
        <v>1450</v>
      </c>
      <c r="M176" s="231">
        <f t="shared" si="223"/>
        <v>1037.3459921998174</v>
      </c>
      <c r="N176" s="261">
        <f t="shared" si="254"/>
        <v>0</v>
      </c>
      <c r="O176" s="219">
        <f t="shared" si="224"/>
        <v>0</v>
      </c>
      <c r="P176" s="225"/>
      <c r="Q176" s="221">
        <f t="shared" si="215"/>
        <v>3.231332765702426</v>
      </c>
      <c r="R176" s="222">
        <f t="shared" si="216"/>
        <v>13.991670875491504</v>
      </c>
      <c r="S176" s="222">
        <f t="shared" si="217"/>
        <v>6.4949788590618757E-2</v>
      </c>
      <c r="T176" s="222">
        <f t="shared" si="218"/>
        <v>3.296282554293045</v>
      </c>
      <c r="V176" s="222">
        <f t="shared" si="219"/>
        <v>3.296282554293045</v>
      </c>
      <c r="W176" s="223">
        <f t="shared" si="255"/>
        <v>0</v>
      </c>
      <c r="X176" s="223">
        <f t="shared" si="225"/>
        <v>0</v>
      </c>
      <c r="Y176" s="224">
        <f t="shared" si="220"/>
        <v>0</v>
      </c>
      <c r="Z176" s="225"/>
      <c r="AA176" s="223">
        <f t="shared" si="226"/>
        <v>0</v>
      </c>
      <c r="AB176" s="227" t="str">
        <f t="shared" si="221"/>
        <v/>
      </c>
    </row>
    <row r="177" spans="1:28" ht="12">
      <c r="A177" s="254" t="s">
        <v>140</v>
      </c>
      <c r="B177" s="255"/>
      <c r="C177" s="256">
        <f>B177*1</f>
        <v>0</v>
      </c>
      <c r="D177" s="256"/>
      <c r="E177" s="257">
        <v>2</v>
      </c>
      <c r="F177" s="357">
        <f t="shared" si="222"/>
        <v>0</v>
      </c>
      <c r="G177" s="359">
        <f t="shared" si="252"/>
        <v>0</v>
      </c>
      <c r="H177" s="215">
        <v>52</v>
      </c>
      <c r="I177" s="216">
        <v>40.39</v>
      </c>
      <c r="J177" s="168">
        <f t="shared" si="213"/>
        <v>0</v>
      </c>
      <c r="K177" s="168">
        <f t="shared" si="214"/>
        <v>0</v>
      </c>
      <c r="L177" s="287">
        <f t="shared" si="253"/>
        <v>290</v>
      </c>
      <c r="M177" s="231">
        <f t="shared" si="223"/>
        <v>207.46919843996346</v>
      </c>
      <c r="N177" s="261">
        <f t="shared" si="254"/>
        <v>0</v>
      </c>
      <c r="O177" s="219">
        <f t="shared" si="224"/>
        <v>0</v>
      </c>
      <c r="P177" s="225"/>
      <c r="Q177" s="221">
        <f t="shared" si="215"/>
        <v>0.64626655314048509</v>
      </c>
      <c r="R177" s="222">
        <f t="shared" si="216"/>
        <v>2.7983341750983004</v>
      </c>
      <c r="S177" s="222">
        <f t="shared" si="217"/>
        <v>1.298995771812375E-2</v>
      </c>
      <c r="T177" s="222">
        <f t="shared" si="218"/>
        <v>0.65925651085860881</v>
      </c>
      <c r="V177" s="222">
        <f t="shared" si="219"/>
        <v>41.049256510858612</v>
      </c>
      <c r="W177" s="223">
        <f t="shared" si="255"/>
        <v>0</v>
      </c>
      <c r="X177" s="223">
        <f t="shared" si="225"/>
        <v>0</v>
      </c>
      <c r="Y177" s="224">
        <f t="shared" si="220"/>
        <v>0</v>
      </c>
      <c r="Z177" s="225"/>
      <c r="AA177" s="223">
        <f t="shared" si="226"/>
        <v>0</v>
      </c>
      <c r="AB177" s="227">
        <f t="shared" si="221"/>
        <v>1.6322270632795455E-2</v>
      </c>
    </row>
    <row r="178" spans="1:28" ht="12">
      <c r="A178" s="254" t="s">
        <v>141</v>
      </c>
      <c r="B178" s="255">
        <v>14</v>
      </c>
      <c r="C178" s="256">
        <f>B178*4.3333</f>
        <v>60.666200000000003</v>
      </c>
      <c r="D178" s="256"/>
      <c r="E178" s="257">
        <v>2</v>
      </c>
      <c r="F178" s="357">
        <f t="shared" si="222"/>
        <v>727.99440000000004</v>
      </c>
      <c r="G178" s="359">
        <f t="shared" si="252"/>
        <v>121.33240000000001</v>
      </c>
      <c r="H178" s="215">
        <v>52</v>
      </c>
      <c r="I178" s="216">
        <v>37.61</v>
      </c>
      <c r="J178" s="168">
        <f t="shared" si="213"/>
        <v>2281.6557820000003</v>
      </c>
      <c r="K178" s="168">
        <f t="shared" si="214"/>
        <v>27379.869384000005</v>
      </c>
      <c r="L178" s="287">
        <f t="shared" si="253"/>
        <v>290</v>
      </c>
      <c r="M178" s="231">
        <f t="shared" si="223"/>
        <v>207.46919843996346</v>
      </c>
      <c r="N178" s="261">
        <f t="shared" si="254"/>
        <v>105.56</v>
      </c>
      <c r="O178" s="219">
        <f t="shared" si="224"/>
        <v>75.518788232146704</v>
      </c>
      <c r="P178" s="225"/>
      <c r="Q178" s="221">
        <f t="shared" si="215"/>
        <v>0.64626655314048509</v>
      </c>
      <c r="R178" s="222">
        <f t="shared" si="216"/>
        <v>2.7983341750983004</v>
      </c>
      <c r="S178" s="222">
        <f t="shared" si="217"/>
        <v>1.298995771812375E-2</v>
      </c>
      <c r="T178" s="222">
        <f t="shared" si="218"/>
        <v>0.65925651085860881</v>
      </c>
      <c r="V178" s="222">
        <f t="shared" si="219"/>
        <v>38.269256510858611</v>
      </c>
      <c r="W178" s="223">
        <f t="shared" si="255"/>
        <v>2321.6503693390509</v>
      </c>
      <c r="X178" s="223">
        <f t="shared" si="225"/>
        <v>39.994587339050668</v>
      </c>
      <c r="Y178" s="224">
        <f t="shared" si="220"/>
        <v>479.93504806860801</v>
      </c>
      <c r="Z178" s="225"/>
      <c r="AA178" s="223">
        <f t="shared" si="226"/>
        <v>470.48205068627317</v>
      </c>
      <c r="AB178" s="227">
        <f t="shared" si="221"/>
        <v>1.7528755938809093E-2</v>
      </c>
    </row>
    <row r="179" spans="1:28" ht="12">
      <c r="A179" s="254" t="s">
        <v>142</v>
      </c>
      <c r="B179" s="255">
        <v>1</v>
      </c>
      <c r="C179" s="256">
        <f>B179*4.3333*2</f>
        <v>8.6666000000000007</v>
      </c>
      <c r="D179" s="256"/>
      <c r="E179" s="257">
        <v>2</v>
      </c>
      <c r="F179" s="357">
        <f t="shared" si="222"/>
        <v>103.9992</v>
      </c>
      <c r="G179" s="359">
        <f t="shared" si="252"/>
        <v>17.333200000000001</v>
      </c>
      <c r="H179" s="215">
        <v>52</v>
      </c>
      <c r="I179" s="216">
        <v>37.61</v>
      </c>
      <c r="J179" s="168">
        <f t="shared" si="213"/>
        <v>325.95082600000001</v>
      </c>
      <c r="K179" s="168">
        <f t="shared" si="214"/>
        <v>3911.4099120000001</v>
      </c>
      <c r="L179" s="287">
        <f t="shared" si="253"/>
        <v>290</v>
      </c>
      <c r="M179" s="231">
        <f t="shared" si="223"/>
        <v>207.46919843996346</v>
      </c>
      <c r="N179" s="261">
        <f t="shared" si="254"/>
        <v>15.08</v>
      </c>
      <c r="O179" s="219">
        <f t="shared" si="224"/>
        <v>10.7883983188781</v>
      </c>
      <c r="P179" s="225"/>
      <c r="Q179" s="221">
        <f t="shared" si="215"/>
        <v>0.64626655314048509</v>
      </c>
      <c r="R179" s="222">
        <f t="shared" si="216"/>
        <v>2.7983341750983004</v>
      </c>
      <c r="S179" s="222">
        <f t="shared" si="217"/>
        <v>1.298995771812375E-2</v>
      </c>
      <c r="T179" s="222">
        <f t="shared" si="218"/>
        <v>0.65925651085860881</v>
      </c>
      <c r="V179" s="222">
        <f t="shared" si="219"/>
        <v>38.269256510858611</v>
      </c>
      <c r="W179" s="223">
        <f t="shared" si="255"/>
        <v>331.66433847700728</v>
      </c>
      <c r="X179" s="223">
        <f t="shared" si="225"/>
        <v>5.7135124770072707</v>
      </c>
      <c r="Y179" s="224">
        <f t="shared" si="220"/>
        <v>68.562149724087249</v>
      </c>
      <c r="Z179" s="225"/>
      <c r="AA179" s="223">
        <f t="shared" si="226"/>
        <v>67.211721526610447</v>
      </c>
      <c r="AB179" s="227">
        <f t="shared" si="221"/>
        <v>1.7528755938809093E-2</v>
      </c>
    </row>
    <row r="180" spans="1:28" ht="12">
      <c r="A180" s="254" t="s">
        <v>233</v>
      </c>
      <c r="B180" s="255"/>
      <c r="C180" s="256">
        <f>B180*4.3333*3</f>
        <v>0</v>
      </c>
      <c r="D180" s="256"/>
      <c r="E180" s="257">
        <v>2</v>
      </c>
      <c r="F180" s="357">
        <f t="shared" si="222"/>
        <v>0</v>
      </c>
      <c r="G180" s="359">
        <f t="shared" si="252"/>
        <v>0</v>
      </c>
      <c r="H180" s="215">
        <v>52</v>
      </c>
      <c r="I180" s="216">
        <v>37.61</v>
      </c>
      <c r="J180" s="168">
        <f t="shared" si="213"/>
        <v>0</v>
      </c>
      <c r="K180" s="168">
        <f t="shared" si="214"/>
        <v>0</v>
      </c>
      <c r="L180" s="287">
        <f t="shared" si="253"/>
        <v>290</v>
      </c>
      <c r="M180" s="231">
        <f t="shared" si="223"/>
        <v>207.46919843996346</v>
      </c>
      <c r="N180" s="261">
        <f t="shared" si="254"/>
        <v>0</v>
      </c>
      <c r="O180" s="219">
        <f t="shared" si="224"/>
        <v>0</v>
      </c>
      <c r="P180" s="225"/>
      <c r="Q180" s="221">
        <f t="shared" si="215"/>
        <v>0.64626655314048509</v>
      </c>
      <c r="R180" s="222">
        <f t="shared" si="216"/>
        <v>2.7983341750983004</v>
      </c>
      <c r="S180" s="222">
        <f t="shared" si="217"/>
        <v>1.298995771812375E-2</v>
      </c>
      <c r="T180" s="222">
        <f t="shared" si="218"/>
        <v>0.65925651085860881</v>
      </c>
      <c r="V180" s="222">
        <f t="shared" si="219"/>
        <v>38.269256510858611</v>
      </c>
      <c r="W180" s="223">
        <f t="shared" si="255"/>
        <v>0</v>
      </c>
      <c r="X180" s="223">
        <f t="shared" si="225"/>
        <v>0</v>
      </c>
      <c r="Y180" s="224">
        <f t="shared" si="220"/>
        <v>0</v>
      </c>
      <c r="Z180" s="225"/>
      <c r="AA180" s="223">
        <f t="shared" si="226"/>
        <v>0</v>
      </c>
      <c r="AB180" s="227">
        <f t="shared" si="221"/>
        <v>1.7528755938809093E-2</v>
      </c>
    </row>
    <row r="181" spans="1:28" ht="12">
      <c r="A181" s="254" t="s">
        <v>234</v>
      </c>
      <c r="B181" s="255"/>
      <c r="C181" s="256">
        <f>B181*4.3333*4</f>
        <v>0</v>
      </c>
      <c r="D181" s="256"/>
      <c r="E181" s="257">
        <v>2</v>
      </c>
      <c r="F181" s="357">
        <f t="shared" si="222"/>
        <v>0</v>
      </c>
      <c r="G181" s="359">
        <f t="shared" si="252"/>
        <v>0</v>
      </c>
      <c r="H181" s="215">
        <v>52</v>
      </c>
      <c r="I181" s="216">
        <v>37.61</v>
      </c>
      <c r="J181" s="168">
        <f t="shared" si="213"/>
        <v>0</v>
      </c>
      <c r="K181" s="168">
        <f t="shared" si="214"/>
        <v>0</v>
      </c>
      <c r="L181" s="287">
        <f t="shared" si="253"/>
        <v>290</v>
      </c>
      <c r="M181" s="231">
        <f t="shared" si="223"/>
        <v>207.46919843996346</v>
      </c>
      <c r="N181" s="261">
        <f t="shared" si="254"/>
        <v>0</v>
      </c>
      <c r="O181" s="219">
        <f t="shared" si="224"/>
        <v>0</v>
      </c>
      <c r="P181" s="225"/>
      <c r="Q181" s="221">
        <f t="shared" si="215"/>
        <v>0.64626655314048509</v>
      </c>
      <c r="R181" s="222">
        <f t="shared" si="216"/>
        <v>2.7983341750983004</v>
      </c>
      <c r="S181" s="222">
        <f t="shared" si="217"/>
        <v>1.298995771812375E-2</v>
      </c>
      <c r="T181" s="222">
        <f t="shared" si="218"/>
        <v>0.65925651085860881</v>
      </c>
      <c r="V181" s="222">
        <f t="shared" si="219"/>
        <v>38.269256510858611</v>
      </c>
      <c r="W181" s="223">
        <f t="shared" si="255"/>
        <v>0</v>
      </c>
      <c r="X181" s="223">
        <f t="shared" si="225"/>
        <v>0</v>
      </c>
      <c r="Y181" s="224">
        <f t="shared" si="220"/>
        <v>0</v>
      </c>
      <c r="Z181" s="225"/>
      <c r="AA181" s="223">
        <f t="shared" si="226"/>
        <v>0</v>
      </c>
      <c r="AB181" s="227">
        <f t="shared" si="221"/>
        <v>1.7528755938809093E-2</v>
      </c>
    </row>
    <row r="182" spans="1:28" ht="12">
      <c r="A182" s="254" t="s">
        <v>235</v>
      </c>
      <c r="B182" s="255"/>
      <c r="C182" s="256">
        <f>B182*4.3333*5</f>
        <v>0</v>
      </c>
      <c r="D182" s="256"/>
      <c r="E182" s="257">
        <v>2</v>
      </c>
      <c r="F182" s="357">
        <f t="shared" si="222"/>
        <v>0</v>
      </c>
      <c r="G182" s="359">
        <f t="shared" si="252"/>
        <v>0</v>
      </c>
      <c r="H182" s="215">
        <v>52</v>
      </c>
      <c r="I182" s="216">
        <v>37.61</v>
      </c>
      <c r="J182" s="168">
        <f t="shared" si="213"/>
        <v>0</v>
      </c>
      <c r="K182" s="168">
        <f t="shared" si="214"/>
        <v>0</v>
      </c>
      <c r="L182" s="287">
        <f t="shared" si="253"/>
        <v>290</v>
      </c>
      <c r="M182" s="231">
        <f t="shared" si="223"/>
        <v>207.46919843996346</v>
      </c>
      <c r="N182" s="261">
        <f t="shared" si="254"/>
        <v>0</v>
      </c>
      <c r="O182" s="219">
        <f t="shared" si="224"/>
        <v>0</v>
      </c>
      <c r="P182" s="225"/>
      <c r="Q182" s="221">
        <f t="shared" si="215"/>
        <v>0.64626655314048509</v>
      </c>
      <c r="R182" s="222">
        <f t="shared" si="216"/>
        <v>2.7983341750983004</v>
      </c>
      <c r="S182" s="222">
        <f t="shared" si="217"/>
        <v>1.298995771812375E-2</v>
      </c>
      <c r="T182" s="222">
        <f t="shared" si="218"/>
        <v>0.65925651085860881</v>
      </c>
      <c r="V182" s="222">
        <f t="shared" si="219"/>
        <v>38.269256510858611</v>
      </c>
      <c r="W182" s="223">
        <f t="shared" si="255"/>
        <v>0</v>
      </c>
      <c r="X182" s="223">
        <f t="shared" si="225"/>
        <v>0</v>
      </c>
      <c r="Y182" s="224">
        <f t="shared" si="220"/>
        <v>0</v>
      </c>
      <c r="Z182" s="225"/>
      <c r="AA182" s="223">
        <f t="shared" si="226"/>
        <v>0</v>
      </c>
      <c r="AB182" s="227">
        <f t="shared" si="221"/>
        <v>1.7528755938809093E-2</v>
      </c>
    </row>
    <row r="183" spans="1:28" ht="12">
      <c r="A183" s="254" t="s">
        <v>236</v>
      </c>
      <c r="B183" s="255"/>
      <c r="C183" s="256">
        <f>B183*4.3333*6</f>
        <v>0</v>
      </c>
      <c r="D183" s="256"/>
      <c r="E183" s="257">
        <v>2</v>
      </c>
      <c r="F183" s="357">
        <f t="shared" si="222"/>
        <v>0</v>
      </c>
      <c r="G183" s="359">
        <f t="shared" si="252"/>
        <v>0</v>
      </c>
      <c r="H183" s="215">
        <v>52</v>
      </c>
      <c r="I183" s="216">
        <v>37.61</v>
      </c>
      <c r="J183" s="168">
        <f t="shared" si="213"/>
        <v>0</v>
      </c>
      <c r="K183" s="168">
        <f t="shared" si="214"/>
        <v>0</v>
      </c>
      <c r="L183" s="287">
        <f t="shared" si="253"/>
        <v>290</v>
      </c>
      <c r="M183" s="231">
        <f t="shared" si="223"/>
        <v>207.46919843996346</v>
      </c>
      <c r="N183" s="261">
        <f t="shared" si="254"/>
        <v>0</v>
      </c>
      <c r="O183" s="219">
        <f t="shared" si="224"/>
        <v>0</v>
      </c>
      <c r="P183" s="225"/>
      <c r="Q183" s="221">
        <f t="shared" si="215"/>
        <v>0.64626655314048509</v>
      </c>
      <c r="R183" s="222">
        <f t="shared" si="216"/>
        <v>2.7983341750983004</v>
      </c>
      <c r="S183" s="222">
        <f t="shared" si="217"/>
        <v>1.298995771812375E-2</v>
      </c>
      <c r="T183" s="222">
        <f t="shared" si="218"/>
        <v>0.65925651085860881</v>
      </c>
      <c r="V183" s="222">
        <f t="shared" si="219"/>
        <v>38.269256510858611</v>
      </c>
      <c r="W183" s="223">
        <f t="shared" si="255"/>
        <v>0</v>
      </c>
      <c r="X183" s="223">
        <f t="shared" si="225"/>
        <v>0</v>
      </c>
      <c r="Y183" s="224">
        <f t="shared" si="220"/>
        <v>0</v>
      </c>
      <c r="Z183" s="225"/>
      <c r="AA183" s="223">
        <f t="shared" si="226"/>
        <v>0</v>
      </c>
      <c r="AB183" s="227">
        <f t="shared" si="221"/>
        <v>1.7528755938809093E-2</v>
      </c>
    </row>
    <row r="184" spans="1:28" ht="12">
      <c r="A184" s="254" t="s">
        <v>313</v>
      </c>
      <c r="B184" s="255"/>
      <c r="C184" s="256">
        <f>B184*4.3333*6</f>
        <v>0</v>
      </c>
      <c r="D184" s="256"/>
      <c r="E184" s="257">
        <v>3</v>
      </c>
      <c r="F184" s="357">
        <f t="shared" ref="F184" si="257">C184*12</f>
        <v>0</v>
      </c>
      <c r="G184" s="359">
        <f t="shared" si="252"/>
        <v>0</v>
      </c>
      <c r="H184" s="215">
        <v>52</v>
      </c>
      <c r="I184" s="216">
        <v>56.88</v>
      </c>
      <c r="J184" s="168">
        <f t="shared" si="213"/>
        <v>0</v>
      </c>
      <c r="K184" s="168">
        <f t="shared" si="214"/>
        <v>0</v>
      </c>
      <c r="L184" s="287">
        <f t="shared" si="253"/>
        <v>435</v>
      </c>
      <c r="M184" s="231">
        <f t="shared" si="223"/>
        <v>311.20379765994522</v>
      </c>
      <c r="N184" s="261">
        <f t="shared" si="254"/>
        <v>0</v>
      </c>
      <c r="O184" s="219">
        <f t="shared" si="224"/>
        <v>0</v>
      </c>
      <c r="P184" s="225"/>
      <c r="Q184" s="221">
        <f t="shared" si="215"/>
        <v>0.9693998297107278</v>
      </c>
      <c r="R184" s="222">
        <f t="shared" si="216"/>
        <v>4.1975012626474513</v>
      </c>
      <c r="S184" s="222">
        <f t="shared" si="217"/>
        <v>1.9484936577185627E-2</v>
      </c>
      <c r="T184" s="222">
        <f t="shared" si="218"/>
        <v>0.98888476628791344</v>
      </c>
      <c r="V184" s="222">
        <f t="shared" si="219"/>
        <v>57.868884766287913</v>
      </c>
      <c r="W184" s="223">
        <f t="shared" si="255"/>
        <v>0</v>
      </c>
      <c r="X184" s="223">
        <f t="shared" si="225"/>
        <v>0</v>
      </c>
      <c r="Y184" s="224">
        <f t="shared" si="220"/>
        <v>0</v>
      </c>
      <c r="Z184" s="225"/>
      <c r="AA184" s="223">
        <f t="shared" si="226"/>
        <v>0</v>
      </c>
      <c r="AB184" s="227">
        <f t="shared" si="221"/>
        <v>1.7385456509984465E-2</v>
      </c>
    </row>
    <row r="185" spans="1:28" ht="12">
      <c r="A185" s="254" t="s">
        <v>237</v>
      </c>
      <c r="B185" s="255"/>
      <c r="C185" s="256">
        <f>B185*4.33</f>
        <v>0</v>
      </c>
      <c r="D185" s="256"/>
      <c r="E185" s="257">
        <f>3*3.5</f>
        <v>10.5</v>
      </c>
      <c r="F185" s="357">
        <f t="shared" si="222"/>
        <v>0</v>
      </c>
      <c r="G185" s="359">
        <f t="shared" si="252"/>
        <v>0</v>
      </c>
      <c r="H185" s="215">
        <v>52</v>
      </c>
      <c r="I185" s="216">
        <v>190.35</v>
      </c>
      <c r="J185" s="168">
        <f t="shared" si="213"/>
        <v>0</v>
      </c>
      <c r="K185" s="168">
        <f t="shared" si="214"/>
        <v>0</v>
      </c>
      <c r="L185" s="287">
        <f t="shared" si="253"/>
        <v>1522.5</v>
      </c>
      <c r="M185" s="231">
        <f t="shared" si="223"/>
        <v>1089.2132918098082</v>
      </c>
      <c r="N185" s="261">
        <f t="shared" si="254"/>
        <v>0</v>
      </c>
      <c r="O185" s="219">
        <f t="shared" si="224"/>
        <v>0</v>
      </c>
      <c r="P185" s="225"/>
      <c r="Q185" s="221">
        <f t="shared" si="215"/>
        <v>3.3928994039875469</v>
      </c>
      <c r="R185" s="222">
        <f t="shared" si="216"/>
        <v>14.691254419266079</v>
      </c>
      <c r="S185" s="222">
        <f t="shared" si="217"/>
        <v>6.8197278020149688E-2</v>
      </c>
      <c r="T185" s="222">
        <f t="shared" si="218"/>
        <v>3.4610966820076965</v>
      </c>
      <c r="V185" s="222">
        <f t="shared" si="219"/>
        <v>193.8110966820077</v>
      </c>
      <c r="W185" s="223">
        <f t="shared" si="255"/>
        <v>0</v>
      </c>
      <c r="X185" s="223">
        <f t="shared" si="225"/>
        <v>0</v>
      </c>
      <c r="Y185" s="224">
        <f t="shared" si="220"/>
        <v>0</v>
      </c>
      <c r="Z185" s="225"/>
      <c r="AA185" s="223">
        <f t="shared" si="226"/>
        <v>0</v>
      </c>
      <c r="AB185" s="227">
        <f t="shared" si="221"/>
        <v>1.818280368798364E-2</v>
      </c>
    </row>
    <row r="186" spans="1:28" ht="12">
      <c r="A186" s="254" t="s">
        <v>238</v>
      </c>
      <c r="B186" s="255"/>
      <c r="C186" s="256">
        <f>B186*4.33</f>
        <v>0</v>
      </c>
      <c r="D186" s="256"/>
      <c r="E186" s="257">
        <f>3*5</f>
        <v>15</v>
      </c>
      <c r="F186" s="357">
        <f t="shared" si="222"/>
        <v>0</v>
      </c>
      <c r="G186" s="359">
        <f t="shared" si="252"/>
        <v>0</v>
      </c>
      <c r="H186" s="215">
        <v>52</v>
      </c>
      <c r="I186" s="216">
        <v>0</v>
      </c>
      <c r="J186" s="168">
        <f t="shared" si="213"/>
        <v>0</v>
      </c>
      <c r="K186" s="168">
        <f t="shared" si="214"/>
        <v>0</v>
      </c>
      <c r="L186" s="287">
        <f t="shared" si="253"/>
        <v>2175</v>
      </c>
      <c r="M186" s="231">
        <f t="shared" si="223"/>
        <v>1556.0189882997261</v>
      </c>
      <c r="N186" s="261">
        <f t="shared" si="254"/>
        <v>0</v>
      </c>
      <c r="O186" s="219">
        <f t="shared" si="224"/>
        <v>0</v>
      </c>
      <c r="P186" s="225"/>
      <c r="Q186" s="221">
        <f>M186*$R$12</f>
        <v>4.846999148553639</v>
      </c>
      <c r="R186" s="222">
        <f t="shared" si="216"/>
        <v>20.987506313237258</v>
      </c>
      <c r="S186" s="222">
        <f t="shared" si="217"/>
        <v>9.7424682885928149E-2</v>
      </c>
      <c r="T186" s="222">
        <f t="shared" si="218"/>
        <v>4.9444238314395674</v>
      </c>
      <c r="V186" s="222">
        <f t="shared" si="219"/>
        <v>4.9444238314395674</v>
      </c>
      <c r="W186" s="223">
        <f t="shared" si="255"/>
        <v>0</v>
      </c>
      <c r="X186" s="223">
        <f>W186-J186</f>
        <v>0</v>
      </c>
      <c r="Y186" s="224">
        <f t="shared" si="220"/>
        <v>0</v>
      </c>
      <c r="Z186" s="225"/>
      <c r="AA186" s="223">
        <f>O186*$R$11</f>
        <v>0</v>
      </c>
      <c r="AB186" s="227" t="str">
        <f t="shared" si="221"/>
        <v/>
      </c>
    </row>
    <row r="187" spans="1:28" ht="12">
      <c r="A187" s="254" t="s">
        <v>298</v>
      </c>
      <c r="B187" s="255"/>
      <c r="C187" s="256">
        <f>B187*4.33</f>
        <v>0</v>
      </c>
      <c r="D187" s="256"/>
      <c r="E187" s="257">
        <v>10.5</v>
      </c>
      <c r="F187" s="357">
        <f t="shared" ref="F187" si="258">C187*12</f>
        <v>0</v>
      </c>
      <c r="G187" s="359">
        <f t="shared" si="252"/>
        <v>0</v>
      </c>
      <c r="H187" s="215">
        <v>52</v>
      </c>
      <c r="I187" s="216">
        <v>200.35</v>
      </c>
      <c r="J187" s="168">
        <f t="shared" si="213"/>
        <v>0</v>
      </c>
      <c r="K187" s="168">
        <f t="shared" si="214"/>
        <v>0</v>
      </c>
      <c r="L187" s="287">
        <f t="shared" si="253"/>
        <v>1522.5</v>
      </c>
      <c r="M187" s="231">
        <f t="shared" ref="M187" si="259">L187*$O$5</f>
        <v>1089.2132918098082</v>
      </c>
      <c r="N187" s="261">
        <f t="shared" si="254"/>
        <v>0</v>
      </c>
      <c r="O187" s="219">
        <f t="shared" ref="O187" si="260">$O$5*N187</f>
        <v>0</v>
      </c>
      <c r="P187" s="225"/>
      <c r="Q187" s="221">
        <f>M187*$R$12</f>
        <v>3.3928994039875469</v>
      </c>
      <c r="R187" s="222">
        <f t="shared" si="216"/>
        <v>14.691254419266079</v>
      </c>
      <c r="S187" s="222">
        <f t="shared" si="217"/>
        <v>6.8197278020149688E-2</v>
      </c>
      <c r="T187" s="222">
        <f t="shared" si="218"/>
        <v>3.4610966820076965</v>
      </c>
      <c r="V187" s="222">
        <f t="shared" si="219"/>
        <v>203.8110966820077</v>
      </c>
      <c r="W187" s="223">
        <f t="shared" si="255"/>
        <v>0</v>
      </c>
      <c r="X187" s="223">
        <f>W187-J187</f>
        <v>0</v>
      </c>
      <c r="Y187" s="224">
        <f t="shared" ref="Y187" si="261">X187*12</f>
        <v>0</v>
      </c>
      <c r="Z187" s="225"/>
      <c r="AA187" s="223">
        <f>O187*$R$11</f>
        <v>0</v>
      </c>
      <c r="AB187" s="227">
        <f>IF(I187=0,"",V187/I187-1)</f>
        <v>1.7275251719529372E-2</v>
      </c>
    </row>
    <row r="188" spans="1:28" ht="12">
      <c r="A188" s="254" t="s">
        <v>143</v>
      </c>
      <c r="B188" s="255"/>
      <c r="C188" s="256">
        <f>+B188*1</f>
        <v>0</v>
      </c>
      <c r="D188" s="256"/>
      <c r="E188" s="257">
        <v>3</v>
      </c>
      <c r="F188" s="357">
        <f t="shared" si="222"/>
        <v>0</v>
      </c>
      <c r="G188" s="359">
        <f t="shared" si="252"/>
        <v>0</v>
      </c>
      <c r="H188" s="215">
        <v>52</v>
      </c>
      <c r="I188" s="216">
        <v>56.93</v>
      </c>
      <c r="J188" s="168">
        <f t="shared" si="213"/>
        <v>0</v>
      </c>
      <c r="K188" s="168">
        <f t="shared" si="214"/>
        <v>0</v>
      </c>
      <c r="L188" s="287">
        <f t="shared" si="253"/>
        <v>435</v>
      </c>
      <c r="M188" s="231">
        <f t="shared" si="223"/>
        <v>311.20379765994522</v>
      </c>
      <c r="N188" s="261">
        <f t="shared" si="254"/>
        <v>0</v>
      </c>
      <c r="O188" s="219">
        <f t="shared" si="224"/>
        <v>0</v>
      </c>
      <c r="P188" s="225"/>
      <c r="Q188" s="221">
        <f t="shared" si="215"/>
        <v>0.9693998297107278</v>
      </c>
      <c r="R188" s="222">
        <f t="shared" si="216"/>
        <v>4.1975012626474513</v>
      </c>
      <c r="S188" s="222">
        <f t="shared" si="217"/>
        <v>1.9484936577185627E-2</v>
      </c>
      <c r="T188" s="222">
        <f t="shared" si="218"/>
        <v>0.98888476628791344</v>
      </c>
      <c r="V188" s="222">
        <f t="shared" si="219"/>
        <v>57.91888476628791</v>
      </c>
      <c r="W188" s="223">
        <f t="shared" si="255"/>
        <v>0</v>
      </c>
      <c r="X188" s="223">
        <f t="shared" si="225"/>
        <v>0</v>
      </c>
      <c r="Y188" s="224">
        <f t="shared" si="220"/>
        <v>0</v>
      </c>
      <c r="Z188" s="225"/>
      <c r="AA188" s="223">
        <f t="shared" si="226"/>
        <v>0</v>
      </c>
      <c r="AB188" s="227">
        <f t="shared" si="221"/>
        <v>1.737018735794682E-2</v>
      </c>
    </row>
    <row r="189" spans="1:28" ht="12">
      <c r="A189" s="254" t="s">
        <v>144</v>
      </c>
      <c r="B189" s="255">
        <v>6</v>
      </c>
      <c r="C189" s="256">
        <f>B189*4.3333</f>
        <v>25.9998</v>
      </c>
      <c r="D189" s="256"/>
      <c r="E189" s="257">
        <v>3</v>
      </c>
      <c r="F189" s="357">
        <f t="shared" si="222"/>
        <v>311.99760000000003</v>
      </c>
      <c r="G189" s="359">
        <f t="shared" si="252"/>
        <v>77.999400000000009</v>
      </c>
      <c r="H189" s="215">
        <v>52</v>
      </c>
      <c r="I189" s="216">
        <v>55.45</v>
      </c>
      <c r="J189" s="168">
        <f t="shared" si="213"/>
        <v>1441.6889100000001</v>
      </c>
      <c r="K189" s="168">
        <f t="shared" si="214"/>
        <v>17300.266920000002</v>
      </c>
      <c r="L189" s="287">
        <f t="shared" si="253"/>
        <v>435</v>
      </c>
      <c r="M189" s="231">
        <f t="shared" si="223"/>
        <v>311.20379765994522</v>
      </c>
      <c r="N189" s="261">
        <f t="shared" si="254"/>
        <v>67.86</v>
      </c>
      <c r="O189" s="219">
        <f t="shared" si="224"/>
        <v>48.547792434951454</v>
      </c>
      <c r="P189" s="225"/>
      <c r="Q189" s="221">
        <f t="shared" si="215"/>
        <v>0.9693998297107278</v>
      </c>
      <c r="R189" s="222">
        <f t="shared" si="216"/>
        <v>4.1975012626474513</v>
      </c>
      <c r="S189" s="222">
        <f t="shared" si="217"/>
        <v>1.9484936577185627E-2</v>
      </c>
      <c r="T189" s="222">
        <f t="shared" si="218"/>
        <v>0.98888476628791344</v>
      </c>
      <c r="V189" s="222">
        <f t="shared" si="219"/>
        <v>56.438884766287913</v>
      </c>
      <c r="W189" s="223">
        <f t="shared" si="255"/>
        <v>1467.3997161465325</v>
      </c>
      <c r="X189" s="223">
        <f t="shared" si="225"/>
        <v>25.710806146532377</v>
      </c>
      <c r="Y189" s="224">
        <f t="shared" si="220"/>
        <v>308.52967375838853</v>
      </c>
      <c r="Z189" s="225"/>
      <c r="AA189" s="223">
        <f t="shared" si="226"/>
        <v>302.45274686974705</v>
      </c>
      <c r="AB189" s="227">
        <f t="shared" si="221"/>
        <v>1.7833810032243713E-2</v>
      </c>
    </row>
    <row r="190" spans="1:28" ht="12">
      <c r="A190" s="254" t="s">
        <v>145</v>
      </c>
      <c r="B190" s="255">
        <v>7</v>
      </c>
      <c r="C190" s="256">
        <f>B190*4.3333*2</f>
        <v>60.666200000000003</v>
      </c>
      <c r="D190" s="256"/>
      <c r="E190" s="257">
        <v>3</v>
      </c>
      <c r="F190" s="357">
        <f t="shared" si="222"/>
        <v>727.99440000000004</v>
      </c>
      <c r="G190" s="359">
        <f t="shared" si="252"/>
        <v>181.99860000000001</v>
      </c>
      <c r="H190" s="215">
        <v>52</v>
      </c>
      <c r="I190" s="216">
        <v>55.45</v>
      </c>
      <c r="J190" s="168">
        <f t="shared" ref="J190:J221" si="262">+C190*I190</f>
        <v>3363.9407900000006</v>
      </c>
      <c r="K190" s="168">
        <f t="shared" si="214"/>
        <v>40367.289480000007</v>
      </c>
      <c r="L190" s="287">
        <f t="shared" si="253"/>
        <v>435</v>
      </c>
      <c r="M190" s="231">
        <f t="shared" si="223"/>
        <v>311.20379765994522</v>
      </c>
      <c r="N190" s="261">
        <f t="shared" si="254"/>
        <v>158.34</v>
      </c>
      <c r="O190" s="219">
        <f t="shared" si="224"/>
        <v>113.27818234822006</v>
      </c>
      <c r="P190" s="225"/>
      <c r="Q190" s="221">
        <f t="shared" si="215"/>
        <v>0.9693998297107278</v>
      </c>
      <c r="R190" s="222">
        <f t="shared" si="216"/>
        <v>4.1975012626474513</v>
      </c>
      <c r="S190" s="222">
        <f t="shared" ref="S190:S221" si="263">Q190*$U$12</f>
        <v>1.9484936577185627E-2</v>
      </c>
      <c r="T190" s="222">
        <f t="shared" ref="T190:T221" si="264">+Q190+S190</f>
        <v>0.98888476628791344</v>
      </c>
      <c r="V190" s="222">
        <f t="shared" ref="V190:V220" si="265">I190+T190</f>
        <v>56.438884766287913</v>
      </c>
      <c r="W190" s="223">
        <f t="shared" si="255"/>
        <v>3423.9326710085761</v>
      </c>
      <c r="X190" s="223">
        <f t="shared" si="225"/>
        <v>59.991881008575547</v>
      </c>
      <c r="Y190" s="224">
        <f t="shared" si="220"/>
        <v>719.90257210290656</v>
      </c>
      <c r="Z190" s="225"/>
      <c r="AA190" s="223">
        <f t="shared" si="226"/>
        <v>705.72307602940975</v>
      </c>
      <c r="AB190" s="227">
        <f t="shared" si="221"/>
        <v>1.7833810032243713E-2</v>
      </c>
    </row>
    <row r="191" spans="1:28" ht="12">
      <c r="A191" s="254" t="s">
        <v>146</v>
      </c>
      <c r="B191" s="255"/>
      <c r="C191" s="256">
        <f>B191*4.3333*3</f>
        <v>0</v>
      </c>
      <c r="D191" s="256"/>
      <c r="E191" s="257">
        <v>3</v>
      </c>
      <c r="F191" s="357">
        <f t="shared" si="222"/>
        <v>0</v>
      </c>
      <c r="G191" s="359">
        <f t="shared" si="252"/>
        <v>0</v>
      </c>
      <c r="H191" s="215">
        <v>52</v>
      </c>
      <c r="I191" s="216">
        <v>55.45</v>
      </c>
      <c r="J191" s="168">
        <f t="shared" si="262"/>
        <v>0</v>
      </c>
      <c r="K191" s="168">
        <f t="shared" si="214"/>
        <v>0</v>
      </c>
      <c r="L191" s="287">
        <f t="shared" si="253"/>
        <v>435</v>
      </c>
      <c r="M191" s="231">
        <f t="shared" si="223"/>
        <v>311.20379765994522</v>
      </c>
      <c r="N191" s="261">
        <f t="shared" si="254"/>
        <v>0</v>
      </c>
      <c r="O191" s="219">
        <f t="shared" si="224"/>
        <v>0</v>
      </c>
      <c r="P191" s="225"/>
      <c r="Q191" s="221">
        <f t="shared" si="215"/>
        <v>0.9693998297107278</v>
      </c>
      <c r="R191" s="222">
        <f t="shared" si="216"/>
        <v>4.1975012626474513</v>
      </c>
      <c r="S191" s="222">
        <f t="shared" si="263"/>
        <v>1.9484936577185627E-2</v>
      </c>
      <c r="T191" s="222">
        <f t="shared" si="264"/>
        <v>0.98888476628791344</v>
      </c>
      <c r="V191" s="222">
        <f t="shared" si="265"/>
        <v>56.438884766287913</v>
      </c>
      <c r="W191" s="223">
        <f t="shared" si="255"/>
        <v>0</v>
      </c>
      <c r="X191" s="223">
        <f t="shared" si="225"/>
        <v>0</v>
      </c>
      <c r="Y191" s="224">
        <f t="shared" si="220"/>
        <v>0</v>
      </c>
      <c r="Z191" s="225"/>
      <c r="AA191" s="223">
        <f t="shared" si="226"/>
        <v>0</v>
      </c>
      <c r="AB191" s="227">
        <f t="shared" si="221"/>
        <v>1.7833810032243713E-2</v>
      </c>
    </row>
    <row r="192" spans="1:28" ht="12">
      <c r="A192" s="254" t="s">
        <v>239</v>
      </c>
      <c r="B192" s="255"/>
      <c r="C192" s="256">
        <f>B192*4.3333*4</f>
        <v>0</v>
      </c>
      <c r="D192" s="256"/>
      <c r="E192" s="257">
        <v>3</v>
      </c>
      <c r="F192" s="357">
        <f t="shared" si="222"/>
        <v>0</v>
      </c>
      <c r="G192" s="359">
        <f t="shared" si="252"/>
        <v>0</v>
      </c>
      <c r="H192" s="215">
        <v>52</v>
      </c>
      <c r="I192" s="216">
        <v>55.45</v>
      </c>
      <c r="J192" s="168">
        <f t="shared" si="262"/>
        <v>0</v>
      </c>
      <c r="K192" s="168">
        <f t="shared" si="214"/>
        <v>0</v>
      </c>
      <c r="L192" s="287">
        <f t="shared" si="253"/>
        <v>435</v>
      </c>
      <c r="M192" s="231">
        <f t="shared" si="223"/>
        <v>311.20379765994522</v>
      </c>
      <c r="N192" s="261">
        <f t="shared" si="254"/>
        <v>0</v>
      </c>
      <c r="O192" s="219">
        <f t="shared" si="224"/>
        <v>0</v>
      </c>
      <c r="P192" s="225"/>
      <c r="Q192" s="221">
        <f t="shared" si="215"/>
        <v>0.9693998297107278</v>
      </c>
      <c r="R192" s="222">
        <f t="shared" si="216"/>
        <v>4.1975012626474513</v>
      </c>
      <c r="S192" s="222">
        <f t="shared" si="263"/>
        <v>1.9484936577185627E-2</v>
      </c>
      <c r="T192" s="222">
        <f t="shared" si="264"/>
        <v>0.98888476628791344</v>
      </c>
      <c r="V192" s="222">
        <f t="shared" si="265"/>
        <v>56.438884766287913</v>
      </c>
      <c r="W192" s="223">
        <f t="shared" si="255"/>
        <v>0</v>
      </c>
      <c r="X192" s="223">
        <f t="shared" si="225"/>
        <v>0</v>
      </c>
      <c r="Y192" s="224">
        <f t="shared" si="220"/>
        <v>0</v>
      </c>
      <c r="Z192" s="225"/>
      <c r="AA192" s="223">
        <f t="shared" si="226"/>
        <v>0</v>
      </c>
      <c r="AB192" s="227">
        <f t="shared" si="221"/>
        <v>1.7833810032243713E-2</v>
      </c>
    </row>
    <row r="193" spans="1:28" ht="12">
      <c r="A193" s="254" t="s">
        <v>314</v>
      </c>
      <c r="B193" s="255"/>
      <c r="C193" s="256">
        <f>B193*4.3333*4</f>
        <v>0</v>
      </c>
      <c r="D193" s="256"/>
      <c r="E193" s="257">
        <v>4</v>
      </c>
      <c r="F193" s="357">
        <f t="shared" ref="F193" si="266">C193*12</f>
        <v>0</v>
      </c>
      <c r="G193" s="359">
        <f t="shared" si="252"/>
        <v>0</v>
      </c>
      <c r="H193" s="215">
        <v>52</v>
      </c>
      <c r="I193" s="216">
        <v>74.62</v>
      </c>
      <c r="J193" s="168">
        <f t="shared" si="262"/>
        <v>0</v>
      </c>
      <c r="K193" s="168">
        <f t="shared" si="214"/>
        <v>0</v>
      </c>
      <c r="L193" s="287">
        <f t="shared" si="253"/>
        <v>580</v>
      </c>
      <c r="M193" s="231">
        <f t="shared" si="223"/>
        <v>414.93839687992693</v>
      </c>
      <c r="N193" s="261">
        <f t="shared" si="254"/>
        <v>0</v>
      </c>
      <c r="O193" s="219">
        <f t="shared" si="224"/>
        <v>0</v>
      </c>
      <c r="P193" s="225"/>
      <c r="Q193" s="221">
        <f t="shared" si="215"/>
        <v>1.2925331062809702</v>
      </c>
      <c r="R193" s="222">
        <f t="shared" si="216"/>
        <v>5.5966683501966008</v>
      </c>
      <c r="S193" s="222">
        <f t="shared" si="263"/>
        <v>2.5979915436247499E-2</v>
      </c>
      <c r="T193" s="222">
        <f t="shared" si="264"/>
        <v>1.3185130217172176</v>
      </c>
      <c r="V193" s="222">
        <f t="shared" si="265"/>
        <v>75.938513021717228</v>
      </c>
      <c r="W193" s="223">
        <f t="shared" si="255"/>
        <v>0</v>
      </c>
      <c r="X193" s="223">
        <f t="shared" si="225"/>
        <v>0</v>
      </c>
      <c r="Y193" s="224">
        <f t="shared" si="220"/>
        <v>0</v>
      </c>
      <c r="Z193" s="225"/>
      <c r="AA193" s="223">
        <f t="shared" si="226"/>
        <v>0</v>
      </c>
      <c r="AB193" s="227">
        <f t="shared" si="221"/>
        <v>1.7669700103420283E-2</v>
      </c>
    </row>
    <row r="194" spans="1:28" ht="12">
      <c r="A194" s="254" t="s">
        <v>240</v>
      </c>
      <c r="B194" s="255"/>
      <c r="C194" s="256">
        <f>B194*4.33</f>
        <v>0</v>
      </c>
      <c r="D194" s="256"/>
      <c r="E194" s="257">
        <f>4*3.5</f>
        <v>14</v>
      </c>
      <c r="F194" s="357">
        <f t="shared" si="222"/>
        <v>0</v>
      </c>
      <c r="G194" s="359">
        <f t="shared" si="252"/>
        <v>0</v>
      </c>
      <c r="H194" s="215">
        <v>52</v>
      </c>
      <c r="I194" s="216">
        <v>318.27</v>
      </c>
      <c r="J194" s="168">
        <f t="shared" si="262"/>
        <v>0</v>
      </c>
      <c r="K194" s="168">
        <f t="shared" si="214"/>
        <v>0</v>
      </c>
      <c r="L194" s="287">
        <f t="shared" si="253"/>
        <v>2030</v>
      </c>
      <c r="M194" s="231">
        <f t="shared" si="223"/>
        <v>1452.2843890797444</v>
      </c>
      <c r="N194" s="261">
        <f t="shared" si="254"/>
        <v>0</v>
      </c>
      <c r="O194" s="219">
        <f t="shared" si="224"/>
        <v>0</v>
      </c>
      <c r="P194" s="225"/>
      <c r="Q194" s="221">
        <f t="shared" si="215"/>
        <v>4.5238658719833964</v>
      </c>
      <c r="R194" s="222">
        <f t="shared" si="216"/>
        <v>19.588339225688106</v>
      </c>
      <c r="S194" s="222">
        <f t="shared" si="263"/>
        <v>9.0929704026866273E-2</v>
      </c>
      <c r="T194" s="222">
        <f t="shared" si="264"/>
        <v>4.6147955760102626</v>
      </c>
      <c r="V194" s="222">
        <f t="shared" si="265"/>
        <v>322.88479557601022</v>
      </c>
      <c r="W194" s="223">
        <f t="shared" si="255"/>
        <v>0</v>
      </c>
      <c r="X194" s="223">
        <f t="shared" si="225"/>
        <v>0</v>
      </c>
      <c r="Y194" s="224">
        <f t="shared" si="220"/>
        <v>0</v>
      </c>
      <c r="Z194" s="225"/>
      <c r="AA194" s="223">
        <f t="shared" si="226"/>
        <v>0</v>
      </c>
      <c r="AB194" s="227">
        <f t="shared" si="221"/>
        <v>1.4499624771452613E-2</v>
      </c>
    </row>
    <row r="195" spans="1:28" ht="12">
      <c r="A195" s="254" t="s">
        <v>299</v>
      </c>
      <c r="B195" s="255"/>
      <c r="C195" s="256">
        <f>B195*4.33</f>
        <v>0</v>
      </c>
      <c r="D195" s="256"/>
      <c r="E195" s="257">
        <v>14</v>
      </c>
      <c r="F195" s="357">
        <f t="shared" ref="F195" si="267">C195*12</f>
        <v>0</v>
      </c>
      <c r="G195" s="359">
        <f t="shared" si="252"/>
        <v>0</v>
      </c>
      <c r="H195" s="215">
        <v>52</v>
      </c>
      <c r="I195" s="216">
        <v>328.27</v>
      </c>
      <c r="J195" s="168">
        <f t="shared" si="262"/>
        <v>0</v>
      </c>
      <c r="K195" s="168">
        <f t="shared" si="214"/>
        <v>0</v>
      </c>
      <c r="L195" s="287">
        <f t="shared" si="253"/>
        <v>2030</v>
      </c>
      <c r="M195" s="231">
        <f t="shared" ref="M195" si="268">L195*$O$5</f>
        <v>1452.2843890797444</v>
      </c>
      <c r="N195" s="261">
        <f t="shared" si="254"/>
        <v>0</v>
      </c>
      <c r="O195" s="219">
        <f t="shared" ref="O195" si="269">$O$5*N195</f>
        <v>0</v>
      </c>
      <c r="P195" s="225"/>
      <c r="Q195" s="221">
        <f t="shared" ref="Q195" si="270">M195*$R$12</f>
        <v>4.5238658719833964</v>
      </c>
      <c r="R195" s="222">
        <f t="shared" si="216"/>
        <v>19.588339225688106</v>
      </c>
      <c r="S195" s="222">
        <f t="shared" si="263"/>
        <v>9.0929704026866273E-2</v>
      </c>
      <c r="T195" s="222">
        <f t="shared" si="264"/>
        <v>4.6147955760102626</v>
      </c>
      <c r="V195" s="222">
        <f t="shared" si="265"/>
        <v>332.88479557601022</v>
      </c>
      <c r="W195" s="223">
        <f t="shared" si="255"/>
        <v>0</v>
      </c>
      <c r="X195" s="223">
        <f t="shared" ref="X195" si="271">W195-J195</f>
        <v>0</v>
      </c>
      <c r="Y195" s="224">
        <f t="shared" ref="Y195" si="272">X195*12</f>
        <v>0</v>
      </c>
      <c r="Z195" s="225"/>
      <c r="AA195" s="223">
        <f t="shared" ref="AA195" si="273">O195*$R$11</f>
        <v>0</v>
      </c>
      <c r="AB195" s="227">
        <f t="shared" ref="AB195" si="274">IF(I195=0,"",V195/I195-1)</f>
        <v>1.4057926633594953E-2</v>
      </c>
    </row>
    <row r="196" spans="1:28" ht="12">
      <c r="A196" s="254" t="s">
        <v>241</v>
      </c>
      <c r="B196" s="255"/>
      <c r="C196" s="256">
        <f>B196*4.33</f>
        <v>0</v>
      </c>
      <c r="D196" s="256"/>
      <c r="E196" s="257">
        <f>4*5</f>
        <v>20</v>
      </c>
      <c r="F196" s="357">
        <f t="shared" si="222"/>
        <v>0</v>
      </c>
      <c r="G196" s="359">
        <f t="shared" si="252"/>
        <v>0</v>
      </c>
      <c r="H196" s="215">
        <v>52</v>
      </c>
      <c r="I196" s="216">
        <v>0</v>
      </c>
      <c r="J196" s="168">
        <f t="shared" si="262"/>
        <v>0</v>
      </c>
      <c r="K196" s="168">
        <f t="shared" si="214"/>
        <v>0</v>
      </c>
      <c r="L196" s="287">
        <f t="shared" si="253"/>
        <v>2900</v>
      </c>
      <c r="M196" s="231">
        <f t="shared" si="223"/>
        <v>2074.6919843996347</v>
      </c>
      <c r="N196" s="261">
        <f t="shared" si="254"/>
        <v>0</v>
      </c>
      <c r="O196" s="219">
        <f t="shared" si="224"/>
        <v>0</v>
      </c>
      <c r="P196" s="225"/>
      <c r="Q196" s="221">
        <f t="shared" si="215"/>
        <v>6.462665531404852</v>
      </c>
      <c r="R196" s="222">
        <f t="shared" si="216"/>
        <v>27.983341750983008</v>
      </c>
      <c r="S196" s="222">
        <f t="shared" si="263"/>
        <v>0.12989957718123751</v>
      </c>
      <c r="T196" s="222">
        <f t="shared" si="264"/>
        <v>6.5925651085860899</v>
      </c>
      <c r="V196" s="222">
        <f t="shared" si="265"/>
        <v>6.5925651085860899</v>
      </c>
      <c r="W196" s="223">
        <f t="shared" si="255"/>
        <v>0</v>
      </c>
      <c r="X196" s="223">
        <f t="shared" si="225"/>
        <v>0</v>
      </c>
      <c r="Y196" s="224">
        <f t="shared" si="220"/>
        <v>0</v>
      </c>
      <c r="Z196" s="225"/>
      <c r="AA196" s="223">
        <f t="shared" si="226"/>
        <v>0</v>
      </c>
      <c r="AB196" s="227" t="str">
        <f t="shared" si="221"/>
        <v/>
      </c>
    </row>
    <row r="197" spans="1:28" ht="12">
      <c r="A197" s="254" t="s">
        <v>147</v>
      </c>
      <c r="B197" s="255"/>
      <c r="C197" s="256">
        <f>+B197*1</f>
        <v>0</v>
      </c>
      <c r="D197" s="256"/>
      <c r="E197" s="257">
        <v>4</v>
      </c>
      <c r="F197" s="357">
        <f t="shared" si="222"/>
        <v>0</v>
      </c>
      <c r="G197" s="359">
        <f t="shared" si="252"/>
        <v>0</v>
      </c>
      <c r="H197" s="215">
        <v>52</v>
      </c>
      <c r="I197" s="216">
        <v>74.680000000000007</v>
      </c>
      <c r="J197" s="168">
        <f t="shared" si="262"/>
        <v>0</v>
      </c>
      <c r="K197" s="168">
        <f t="shared" si="214"/>
        <v>0</v>
      </c>
      <c r="L197" s="287">
        <f t="shared" si="253"/>
        <v>580</v>
      </c>
      <c r="M197" s="231">
        <f t="shared" si="223"/>
        <v>414.93839687992693</v>
      </c>
      <c r="N197" s="261">
        <f t="shared" si="254"/>
        <v>0</v>
      </c>
      <c r="O197" s="219">
        <f t="shared" si="224"/>
        <v>0</v>
      </c>
      <c r="P197" s="225"/>
      <c r="Q197" s="221">
        <f t="shared" si="215"/>
        <v>1.2925331062809702</v>
      </c>
      <c r="R197" s="222">
        <f t="shared" si="216"/>
        <v>5.5966683501966008</v>
      </c>
      <c r="S197" s="222">
        <f t="shared" si="263"/>
        <v>2.5979915436247499E-2</v>
      </c>
      <c r="T197" s="222">
        <f t="shared" si="264"/>
        <v>1.3185130217172176</v>
      </c>
      <c r="V197" s="222">
        <f t="shared" si="265"/>
        <v>75.99851302171723</v>
      </c>
      <c r="W197" s="223">
        <f t="shared" si="255"/>
        <v>0</v>
      </c>
      <c r="X197" s="223">
        <f t="shared" si="225"/>
        <v>0</v>
      </c>
      <c r="Y197" s="224">
        <f t="shared" si="220"/>
        <v>0</v>
      </c>
      <c r="Z197" s="225"/>
      <c r="AA197" s="223">
        <f t="shared" si="226"/>
        <v>0</v>
      </c>
      <c r="AB197" s="227">
        <f t="shared" si="221"/>
        <v>1.7655503772324943E-2</v>
      </c>
    </row>
    <row r="198" spans="1:28" ht="12">
      <c r="A198" s="254" t="s">
        <v>148</v>
      </c>
      <c r="B198" s="255">
        <v>16</v>
      </c>
      <c r="C198" s="256">
        <f>B198*4.3333</f>
        <v>69.332800000000006</v>
      </c>
      <c r="D198" s="256"/>
      <c r="E198" s="257">
        <v>4</v>
      </c>
      <c r="F198" s="357">
        <f t="shared" si="222"/>
        <v>831.99360000000001</v>
      </c>
      <c r="G198" s="359">
        <f t="shared" ref="G198:G230" si="275">C198*E198</f>
        <v>277.33120000000002</v>
      </c>
      <c r="H198" s="215">
        <v>52</v>
      </c>
      <c r="I198" s="216">
        <v>71.400000000000006</v>
      </c>
      <c r="J198" s="168">
        <f t="shared" si="262"/>
        <v>4950.3619200000012</v>
      </c>
      <c r="K198" s="168">
        <f t="shared" si="214"/>
        <v>59404.343040000014</v>
      </c>
      <c r="L198" s="287">
        <f t="shared" si="253"/>
        <v>580</v>
      </c>
      <c r="M198" s="231">
        <f t="shared" si="223"/>
        <v>414.93839687992693</v>
      </c>
      <c r="N198" s="261">
        <f t="shared" si="254"/>
        <v>241.28</v>
      </c>
      <c r="O198" s="219">
        <f t="shared" si="224"/>
        <v>172.6143731020496</v>
      </c>
      <c r="P198" s="225"/>
      <c r="Q198" s="221">
        <f t="shared" si="215"/>
        <v>1.2925331062809702</v>
      </c>
      <c r="R198" s="222">
        <f t="shared" si="216"/>
        <v>5.5966683501966008</v>
      </c>
      <c r="S198" s="222">
        <f t="shared" si="263"/>
        <v>2.5979915436247499E-2</v>
      </c>
      <c r="T198" s="222">
        <f t="shared" si="264"/>
        <v>1.3185130217172176</v>
      </c>
      <c r="V198" s="222">
        <f t="shared" si="265"/>
        <v>72.718513021717229</v>
      </c>
      <c r="W198" s="223">
        <f t="shared" si="255"/>
        <v>5041.7781196321166</v>
      </c>
      <c r="X198" s="223">
        <f t="shared" si="225"/>
        <v>91.416199632115422</v>
      </c>
      <c r="Y198" s="224">
        <f t="shared" si="220"/>
        <v>1096.9943955853851</v>
      </c>
      <c r="Z198" s="225"/>
      <c r="AA198" s="223">
        <f t="shared" si="226"/>
        <v>1075.3875444257671</v>
      </c>
      <c r="AB198" s="227">
        <f t="shared" si="221"/>
        <v>1.8466568931613692E-2</v>
      </c>
    </row>
    <row r="199" spans="1:28" ht="12">
      <c r="A199" s="254" t="s">
        <v>149</v>
      </c>
      <c r="B199" s="255">
        <v>9</v>
      </c>
      <c r="C199" s="256">
        <f>B199*4.3333*2</f>
        <v>77.999400000000009</v>
      </c>
      <c r="D199" s="256"/>
      <c r="E199" s="257">
        <v>4</v>
      </c>
      <c r="F199" s="357">
        <f t="shared" si="222"/>
        <v>935.9928000000001</v>
      </c>
      <c r="G199" s="359">
        <f t="shared" si="275"/>
        <v>311.99760000000003</v>
      </c>
      <c r="H199" s="215">
        <v>52</v>
      </c>
      <c r="I199" s="216">
        <v>71.400000000000006</v>
      </c>
      <c r="J199" s="168">
        <f t="shared" si="262"/>
        <v>5569.1571600000007</v>
      </c>
      <c r="K199" s="168">
        <f t="shared" si="214"/>
        <v>66829.885920000001</v>
      </c>
      <c r="L199" s="287">
        <f t="shared" si="253"/>
        <v>580</v>
      </c>
      <c r="M199" s="231">
        <f t="shared" si="223"/>
        <v>414.93839687992693</v>
      </c>
      <c r="N199" s="261">
        <f t="shared" si="254"/>
        <v>271.44</v>
      </c>
      <c r="O199" s="219">
        <f t="shared" si="224"/>
        <v>194.19116973980582</v>
      </c>
      <c r="P199" s="225"/>
      <c r="Q199" s="221">
        <f t="shared" si="215"/>
        <v>1.2925331062809702</v>
      </c>
      <c r="R199" s="222">
        <f t="shared" si="216"/>
        <v>5.5966683501966008</v>
      </c>
      <c r="S199" s="222">
        <f t="shared" si="263"/>
        <v>2.5979915436247499E-2</v>
      </c>
      <c r="T199" s="222">
        <f t="shared" si="264"/>
        <v>1.3185130217172176</v>
      </c>
      <c r="V199" s="222">
        <f t="shared" si="265"/>
        <v>72.718513021717229</v>
      </c>
      <c r="W199" s="223">
        <f t="shared" si="255"/>
        <v>5672.0003845861311</v>
      </c>
      <c r="X199" s="223">
        <f t="shared" si="225"/>
        <v>102.84322458613042</v>
      </c>
      <c r="Y199" s="224">
        <f t="shared" si="220"/>
        <v>1234.118695033565</v>
      </c>
      <c r="Z199" s="225"/>
      <c r="AA199" s="223">
        <f t="shared" si="226"/>
        <v>1209.8109874789882</v>
      </c>
      <c r="AB199" s="227">
        <f t="shared" si="221"/>
        <v>1.8466568931613692E-2</v>
      </c>
    </row>
    <row r="200" spans="1:28" ht="12">
      <c r="A200" s="254" t="s">
        <v>150</v>
      </c>
      <c r="B200" s="255">
        <v>2</v>
      </c>
      <c r="C200" s="256">
        <f>B200*4.3333*3</f>
        <v>25.9998</v>
      </c>
      <c r="D200" s="256"/>
      <c r="E200" s="257">
        <v>4</v>
      </c>
      <c r="F200" s="357">
        <f t="shared" si="222"/>
        <v>311.99760000000003</v>
      </c>
      <c r="G200" s="359">
        <f t="shared" si="275"/>
        <v>103.9992</v>
      </c>
      <c r="H200" s="215">
        <v>52</v>
      </c>
      <c r="I200" s="216">
        <v>71.400000000000006</v>
      </c>
      <c r="J200" s="168">
        <f t="shared" si="262"/>
        <v>1856.3857200000002</v>
      </c>
      <c r="K200" s="168">
        <f t="shared" si="214"/>
        <v>22276.628640000003</v>
      </c>
      <c r="L200" s="287">
        <f t="shared" si="253"/>
        <v>580</v>
      </c>
      <c r="M200" s="231">
        <f t="shared" si="223"/>
        <v>414.93839687992693</v>
      </c>
      <c r="N200" s="261">
        <f t="shared" si="254"/>
        <v>90.48</v>
      </c>
      <c r="O200" s="219">
        <f t="shared" si="224"/>
        <v>64.73038991326861</v>
      </c>
      <c r="P200" s="225"/>
      <c r="Q200" s="221">
        <f t="shared" si="215"/>
        <v>1.2925331062809702</v>
      </c>
      <c r="R200" s="222">
        <f t="shared" si="216"/>
        <v>5.5966683501966008</v>
      </c>
      <c r="S200" s="222">
        <f t="shared" si="263"/>
        <v>2.5979915436247499E-2</v>
      </c>
      <c r="T200" s="222">
        <f t="shared" si="264"/>
        <v>1.3185130217172176</v>
      </c>
      <c r="V200" s="222">
        <f t="shared" si="265"/>
        <v>72.718513021717229</v>
      </c>
      <c r="W200" s="223">
        <f t="shared" si="255"/>
        <v>1890.6667948620436</v>
      </c>
      <c r="X200" s="223">
        <f t="shared" si="225"/>
        <v>34.281074862043397</v>
      </c>
      <c r="Y200" s="224">
        <f t="shared" si="220"/>
        <v>411.37289834452076</v>
      </c>
      <c r="Z200" s="225"/>
      <c r="AA200" s="223">
        <f t="shared" si="226"/>
        <v>403.27032915966277</v>
      </c>
      <c r="AB200" s="227">
        <f t="shared" si="221"/>
        <v>1.8466568931613692E-2</v>
      </c>
    </row>
    <row r="201" spans="1:28" ht="12">
      <c r="A201" s="254" t="s">
        <v>242</v>
      </c>
      <c r="B201" s="255"/>
      <c r="C201" s="256">
        <f>(B201*4.3333)*4</f>
        <v>0</v>
      </c>
      <c r="D201" s="256"/>
      <c r="E201" s="257">
        <v>4</v>
      </c>
      <c r="F201" s="357">
        <f t="shared" si="222"/>
        <v>0</v>
      </c>
      <c r="G201" s="359">
        <f t="shared" si="275"/>
        <v>0</v>
      </c>
      <c r="H201" s="215">
        <v>52</v>
      </c>
      <c r="I201" s="216">
        <v>71.400000000000006</v>
      </c>
      <c r="J201" s="168">
        <f t="shared" si="262"/>
        <v>0</v>
      </c>
      <c r="K201" s="168">
        <f t="shared" si="214"/>
        <v>0</v>
      </c>
      <c r="L201" s="287">
        <f t="shared" si="253"/>
        <v>580</v>
      </c>
      <c r="M201" s="231">
        <f t="shared" si="223"/>
        <v>414.93839687992693</v>
      </c>
      <c r="N201" s="261">
        <f t="shared" si="254"/>
        <v>0</v>
      </c>
      <c r="O201" s="219">
        <f t="shared" si="224"/>
        <v>0</v>
      </c>
      <c r="P201" s="225"/>
      <c r="Q201" s="221">
        <f t="shared" si="215"/>
        <v>1.2925331062809702</v>
      </c>
      <c r="R201" s="222">
        <f t="shared" si="216"/>
        <v>5.5966683501966008</v>
      </c>
      <c r="S201" s="222">
        <f t="shared" si="263"/>
        <v>2.5979915436247499E-2</v>
      </c>
      <c r="T201" s="222">
        <f t="shared" si="264"/>
        <v>1.3185130217172176</v>
      </c>
      <c r="V201" s="222">
        <f t="shared" si="265"/>
        <v>72.718513021717229</v>
      </c>
      <c r="W201" s="223">
        <f t="shared" si="255"/>
        <v>0</v>
      </c>
      <c r="X201" s="223">
        <f t="shared" si="225"/>
        <v>0</v>
      </c>
      <c r="Y201" s="224">
        <f t="shared" si="220"/>
        <v>0</v>
      </c>
      <c r="Z201" s="225"/>
      <c r="AA201" s="223">
        <f t="shared" si="226"/>
        <v>0</v>
      </c>
      <c r="AB201" s="227">
        <f t="shared" si="221"/>
        <v>1.8466568931613692E-2</v>
      </c>
    </row>
    <row r="202" spans="1:28" ht="12">
      <c r="A202" s="254" t="s">
        <v>243</v>
      </c>
      <c r="B202" s="255"/>
      <c r="C202" s="256">
        <f>(B202*4.3333)*6</f>
        <v>0</v>
      </c>
      <c r="D202" s="256"/>
      <c r="E202" s="257">
        <v>4</v>
      </c>
      <c r="F202" s="357">
        <f t="shared" si="222"/>
        <v>0</v>
      </c>
      <c r="G202" s="359">
        <f t="shared" si="275"/>
        <v>0</v>
      </c>
      <c r="H202" s="215">
        <v>52</v>
      </c>
      <c r="I202" s="216">
        <v>71.400000000000006</v>
      </c>
      <c r="J202" s="168">
        <f t="shared" si="262"/>
        <v>0</v>
      </c>
      <c r="K202" s="168">
        <f t="shared" si="214"/>
        <v>0</v>
      </c>
      <c r="L202" s="287">
        <f t="shared" si="253"/>
        <v>580</v>
      </c>
      <c r="M202" s="231">
        <f t="shared" si="223"/>
        <v>414.93839687992693</v>
      </c>
      <c r="N202" s="261">
        <f t="shared" si="254"/>
        <v>0</v>
      </c>
      <c r="O202" s="219">
        <f t="shared" si="224"/>
        <v>0</v>
      </c>
      <c r="P202" s="225"/>
      <c r="Q202" s="221">
        <f t="shared" si="215"/>
        <v>1.2925331062809702</v>
      </c>
      <c r="R202" s="222">
        <f t="shared" si="216"/>
        <v>5.5966683501966008</v>
      </c>
      <c r="S202" s="222">
        <f t="shared" si="263"/>
        <v>2.5979915436247499E-2</v>
      </c>
      <c r="T202" s="222">
        <f t="shared" si="264"/>
        <v>1.3185130217172176</v>
      </c>
      <c r="V202" s="222">
        <f t="shared" si="265"/>
        <v>72.718513021717229</v>
      </c>
      <c r="W202" s="223">
        <f t="shared" si="255"/>
        <v>0</v>
      </c>
      <c r="X202" s="223">
        <f t="shared" si="225"/>
        <v>0</v>
      </c>
      <c r="Y202" s="224">
        <f t="shared" si="220"/>
        <v>0</v>
      </c>
      <c r="Z202" s="225"/>
      <c r="AA202" s="223">
        <f t="shared" si="226"/>
        <v>0</v>
      </c>
      <c r="AB202" s="227">
        <f t="shared" si="221"/>
        <v>1.8466568931613692E-2</v>
      </c>
    </row>
    <row r="203" spans="1:28" ht="12">
      <c r="A203" s="254" t="s">
        <v>244</v>
      </c>
      <c r="B203" s="255"/>
      <c r="C203" s="256">
        <f t="shared" ref="C203:C208" si="276">B203*4.33</f>
        <v>0</v>
      </c>
      <c r="D203" s="256"/>
      <c r="E203" s="257">
        <f>5*3.5</f>
        <v>17.5</v>
      </c>
      <c r="F203" s="357">
        <f t="shared" si="222"/>
        <v>0</v>
      </c>
      <c r="G203" s="359">
        <f t="shared" si="275"/>
        <v>0</v>
      </c>
      <c r="H203" s="215">
        <v>52</v>
      </c>
      <c r="I203" s="216">
        <v>0</v>
      </c>
      <c r="J203" s="168">
        <f t="shared" si="262"/>
        <v>0</v>
      </c>
      <c r="K203" s="168">
        <f t="shared" si="214"/>
        <v>0</v>
      </c>
      <c r="L203" s="287">
        <f t="shared" si="253"/>
        <v>2537.5</v>
      </c>
      <c r="M203" s="231">
        <f t="shared" si="223"/>
        <v>1815.3554863496804</v>
      </c>
      <c r="N203" s="261">
        <f t="shared" si="254"/>
        <v>0</v>
      </c>
      <c r="O203" s="219">
        <f t="shared" si="224"/>
        <v>0</v>
      </c>
      <c r="P203" s="225"/>
      <c r="Q203" s="221">
        <f>M203*$R$12</f>
        <v>5.6548323399792455</v>
      </c>
      <c r="R203" s="222">
        <f t="shared" si="216"/>
        <v>24.485424032110135</v>
      </c>
      <c r="S203" s="222">
        <f t="shared" si="263"/>
        <v>0.11366213003358283</v>
      </c>
      <c r="T203" s="222">
        <f t="shared" si="264"/>
        <v>5.7684944700128282</v>
      </c>
      <c r="V203" s="222">
        <f t="shared" si="265"/>
        <v>5.7684944700128282</v>
      </c>
      <c r="W203" s="223">
        <f t="shared" si="255"/>
        <v>0</v>
      </c>
      <c r="X203" s="223">
        <f>W203-J203</f>
        <v>0</v>
      </c>
      <c r="Y203" s="224">
        <f t="shared" si="220"/>
        <v>0</v>
      </c>
      <c r="Z203" s="225"/>
      <c r="AA203" s="223">
        <f>O203*$R$11</f>
        <v>0</v>
      </c>
      <c r="AB203" s="227" t="str">
        <f>IF(I203=0,"",V203/I203-1)</f>
        <v/>
      </c>
    </row>
    <row r="204" spans="1:28" ht="12">
      <c r="A204" s="254" t="s">
        <v>245</v>
      </c>
      <c r="B204" s="255"/>
      <c r="C204" s="256">
        <f t="shared" si="276"/>
        <v>0</v>
      </c>
      <c r="D204" s="256"/>
      <c r="E204" s="257">
        <f>5*5</f>
        <v>25</v>
      </c>
      <c r="F204" s="357">
        <f t="shared" si="222"/>
        <v>0</v>
      </c>
      <c r="G204" s="359">
        <f t="shared" si="275"/>
        <v>0</v>
      </c>
      <c r="H204" s="215">
        <v>52</v>
      </c>
      <c r="I204" s="216">
        <v>0</v>
      </c>
      <c r="J204" s="168">
        <f t="shared" si="262"/>
        <v>0</v>
      </c>
      <c r="K204" s="168">
        <f t="shared" si="214"/>
        <v>0</v>
      </c>
      <c r="L204" s="287">
        <f t="shared" si="253"/>
        <v>3625</v>
      </c>
      <c r="M204" s="231">
        <f t="shared" si="223"/>
        <v>2593.3649804995434</v>
      </c>
      <c r="N204" s="261">
        <f t="shared" si="254"/>
        <v>0</v>
      </c>
      <c r="O204" s="219">
        <f t="shared" si="224"/>
        <v>0</v>
      </c>
      <c r="P204" s="225"/>
      <c r="Q204" s="221">
        <f>M204*$R$12</f>
        <v>8.078331914256065</v>
      </c>
      <c r="R204" s="222">
        <f t="shared" si="216"/>
        <v>34.979177188728762</v>
      </c>
      <c r="S204" s="222">
        <f t="shared" si="263"/>
        <v>0.16237447147654691</v>
      </c>
      <c r="T204" s="222">
        <f t="shared" si="264"/>
        <v>8.2407063857326115</v>
      </c>
      <c r="V204" s="222">
        <f t="shared" si="265"/>
        <v>8.2407063857326115</v>
      </c>
      <c r="W204" s="223">
        <f t="shared" si="255"/>
        <v>0</v>
      </c>
      <c r="X204" s="223">
        <f>W204-J204</f>
        <v>0</v>
      </c>
      <c r="Y204" s="224">
        <f t="shared" si="220"/>
        <v>0</v>
      </c>
      <c r="Z204" s="225"/>
      <c r="AA204" s="223">
        <f>O204*$R$11</f>
        <v>0</v>
      </c>
      <c r="AB204" s="227" t="str">
        <f>IF(I204=0,"",V204/I204-1)</f>
        <v/>
      </c>
    </row>
    <row r="205" spans="1:28" ht="12">
      <c r="A205" s="254" t="s">
        <v>315</v>
      </c>
      <c r="B205" s="255"/>
      <c r="C205" s="256">
        <f t="shared" si="276"/>
        <v>0</v>
      </c>
      <c r="D205" s="256"/>
      <c r="E205" s="257">
        <v>6</v>
      </c>
      <c r="F205" s="357">
        <f t="shared" ref="F205" si="277">C205*12</f>
        <v>0</v>
      </c>
      <c r="G205" s="359">
        <f t="shared" si="275"/>
        <v>0</v>
      </c>
      <c r="H205" s="215">
        <v>52</v>
      </c>
      <c r="I205" s="216">
        <v>111.31</v>
      </c>
      <c r="J205" s="168">
        <f t="shared" si="262"/>
        <v>0</v>
      </c>
      <c r="K205" s="168">
        <f t="shared" si="214"/>
        <v>0</v>
      </c>
      <c r="L205" s="287">
        <f t="shared" si="253"/>
        <v>870</v>
      </c>
      <c r="M205" s="231">
        <f t="shared" ref="M205" si="278">L205*$O$5</f>
        <v>622.40759531989045</v>
      </c>
      <c r="N205" s="261">
        <f t="shared" si="254"/>
        <v>0</v>
      </c>
      <c r="O205" s="219">
        <f t="shared" ref="O205" si="279">$O$5*N205</f>
        <v>0</v>
      </c>
      <c r="P205" s="225"/>
      <c r="Q205" s="221">
        <f>M205*$R$12</f>
        <v>1.9387996594214556</v>
      </c>
      <c r="R205" s="222">
        <f t="shared" si="216"/>
        <v>8.3950025252949025</v>
      </c>
      <c r="S205" s="222">
        <f t="shared" si="263"/>
        <v>3.8969873154371254E-2</v>
      </c>
      <c r="T205" s="222">
        <f t="shared" si="264"/>
        <v>1.9777695325758269</v>
      </c>
      <c r="V205" s="222">
        <f t="shared" si="265"/>
        <v>113.28776953257582</v>
      </c>
      <c r="W205" s="223">
        <f t="shared" si="255"/>
        <v>0</v>
      </c>
      <c r="X205" s="223">
        <f>W205-J205</f>
        <v>0</v>
      </c>
      <c r="Y205" s="224">
        <f t="shared" ref="Y205" si="280">X205*12</f>
        <v>0</v>
      </c>
      <c r="Z205" s="225"/>
      <c r="AA205" s="223">
        <f>O205*$R$11</f>
        <v>0</v>
      </c>
      <c r="AB205" s="227">
        <f>IF(I205=0,"",V205/I205-1)</f>
        <v>1.7768120856848535E-2</v>
      </c>
    </row>
    <row r="206" spans="1:28" ht="12">
      <c r="A206" s="254" t="s">
        <v>246</v>
      </c>
      <c r="B206" s="255"/>
      <c r="C206" s="256">
        <f t="shared" si="276"/>
        <v>0</v>
      </c>
      <c r="D206" s="256"/>
      <c r="E206" s="257">
        <f>6*3.5</f>
        <v>21</v>
      </c>
      <c r="F206" s="357">
        <f t="shared" si="222"/>
        <v>0</v>
      </c>
      <c r="G206" s="359">
        <f t="shared" si="275"/>
        <v>0</v>
      </c>
      <c r="H206" s="215">
        <v>52</v>
      </c>
      <c r="I206" s="216">
        <v>416.01</v>
      </c>
      <c r="J206" s="168">
        <f t="shared" si="262"/>
        <v>0</v>
      </c>
      <c r="K206" s="168">
        <f t="shared" si="214"/>
        <v>0</v>
      </c>
      <c r="L206" s="287">
        <f t="shared" si="253"/>
        <v>3045</v>
      </c>
      <c r="M206" s="231">
        <f t="shared" si="223"/>
        <v>2178.4265836196164</v>
      </c>
      <c r="N206" s="261">
        <f t="shared" si="254"/>
        <v>0</v>
      </c>
      <c r="O206" s="219">
        <f t="shared" si="224"/>
        <v>0</v>
      </c>
      <c r="P206" s="225"/>
      <c r="Q206" s="221">
        <f t="shared" si="215"/>
        <v>6.7857988079750937</v>
      </c>
      <c r="R206" s="222">
        <f t="shared" si="216"/>
        <v>29.382508838532157</v>
      </c>
      <c r="S206" s="222">
        <f t="shared" si="263"/>
        <v>0.13639455604029938</v>
      </c>
      <c r="T206" s="222">
        <f t="shared" si="264"/>
        <v>6.922193364015393</v>
      </c>
      <c r="V206" s="222">
        <f t="shared" si="265"/>
        <v>422.9321933640154</v>
      </c>
      <c r="W206" s="223">
        <f t="shared" si="255"/>
        <v>0</v>
      </c>
      <c r="X206" s="223">
        <f t="shared" si="225"/>
        <v>0</v>
      </c>
      <c r="Y206" s="224">
        <f t="shared" si="220"/>
        <v>0</v>
      </c>
      <c r="Z206" s="225"/>
      <c r="AA206" s="223">
        <f t="shared" si="226"/>
        <v>0</v>
      </c>
      <c r="AB206" s="227">
        <f t="shared" si="221"/>
        <v>1.6639487906577655E-2</v>
      </c>
    </row>
    <row r="207" spans="1:28" ht="12">
      <c r="A207" s="254" t="s">
        <v>300</v>
      </c>
      <c r="B207" s="255"/>
      <c r="C207" s="256">
        <f t="shared" si="276"/>
        <v>0</v>
      </c>
      <c r="D207" s="256"/>
      <c r="E207" s="257">
        <v>21</v>
      </c>
      <c r="F207" s="357">
        <f t="shared" ref="F207" si="281">C207*12</f>
        <v>0</v>
      </c>
      <c r="G207" s="359">
        <f t="shared" si="275"/>
        <v>0</v>
      </c>
      <c r="H207" s="215">
        <v>52</v>
      </c>
      <c r="I207" s="216">
        <v>426.01</v>
      </c>
      <c r="J207" s="168">
        <f t="shared" si="262"/>
        <v>0</v>
      </c>
      <c r="K207" s="168">
        <f t="shared" si="214"/>
        <v>0</v>
      </c>
      <c r="L207" s="287">
        <f t="shared" ref="L207:L208" si="282">+E207*L$16</f>
        <v>3045</v>
      </c>
      <c r="M207" s="231">
        <f t="shared" ref="M207:M208" si="283">L207*$O$5</f>
        <v>2178.4265836196164</v>
      </c>
      <c r="N207" s="261">
        <f t="shared" ref="N207:N208" si="284">ROUND((C207*L207*12)/2000,2)</f>
        <v>0</v>
      </c>
      <c r="O207" s="219">
        <f t="shared" ref="O207:O208" si="285">$O$5*N207</f>
        <v>0</v>
      </c>
      <c r="P207" s="225"/>
      <c r="Q207" s="221">
        <f t="shared" ref="Q207:Q208" si="286">M207*$R$12</f>
        <v>6.7857988079750937</v>
      </c>
      <c r="R207" s="222">
        <f t="shared" si="216"/>
        <v>29.382508838532157</v>
      </c>
      <c r="S207" s="222">
        <f t="shared" si="263"/>
        <v>0.13639455604029938</v>
      </c>
      <c r="T207" s="222">
        <f t="shared" si="264"/>
        <v>6.922193364015393</v>
      </c>
      <c r="V207" s="222">
        <f t="shared" si="265"/>
        <v>432.9321933640154</v>
      </c>
      <c r="W207" s="223">
        <f t="shared" ref="W207:W208" si="287">C207*V207</f>
        <v>0</v>
      </c>
      <c r="X207" s="223">
        <f t="shared" ref="X207:X208" si="288">W207-J207</f>
        <v>0</v>
      </c>
      <c r="Y207" s="224">
        <f t="shared" ref="Y207:Y208" si="289">X207*12</f>
        <v>0</v>
      </c>
      <c r="Z207" s="225"/>
      <c r="AA207" s="223">
        <f t="shared" ref="AA207:AA208" si="290">O207*$R$11</f>
        <v>0</v>
      </c>
      <c r="AB207" s="227">
        <f t="shared" ref="AB207:AB208" si="291">IF(I207=0,"",V207/I207-1)</f>
        <v>1.6248898767670772E-2</v>
      </c>
    </row>
    <row r="208" spans="1:28" ht="12">
      <c r="A208" s="254" t="s">
        <v>247</v>
      </c>
      <c r="B208" s="255"/>
      <c r="C208" s="256">
        <f t="shared" si="276"/>
        <v>0</v>
      </c>
      <c r="D208" s="256"/>
      <c r="E208" s="257">
        <f>6*5</f>
        <v>30</v>
      </c>
      <c r="F208" s="357">
        <f t="shared" si="222"/>
        <v>0</v>
      </c>
      <c r="G208" s="359">
        <f t="shared" si="275"/>
        <v>0</v>
      </c>
      <c r="H208" s="215">
        <v>52</v>
      </c>
      <c r="I208" s="216">
        <v>0</v>
      </c>
      <c r="J208" s="168">
        <f t="shared" si="262"/>
        <v>0</v>
      </c>
      <c r="K208" s="168">
        <f t="shared" si="214"/>
        <v>0</v>
      </c>
      <c r="L208" s="287">
        <f t="shared" si="282"/>
        <v>4350</v>
      </c>
      <c r="M208" s="231">
        <f t="shared" si="283"/>
        <v>3112.0379765994521</v>
      </c>
      <c r="N208" s="261">
        <f t="shared" si="284"/>
        <v>0</v>
      </c>
      <c r="O208" s="219">
        <f t="shared" si="285"/>
        <v>0</v>
      </c>
      <c r="P208" s="225"/>
      <c r="Q208" s="221">
        <f t="shared" si="286"/>
        <v>9.693998297107278</v>
      </c>
      <c r="R208" s="222">
        <f t="shared" si="216"/>
        <v>41.975012626474516</v>
      </c>
      <c r="S208" s="222">
        <f t="shared" si="263"/>
        <v>0.1948493657718563</v>
      </c>
      <c r="T208" s="222">
        <f t="shared" si="264"/>
        <v>9.8888476628791349</v>
      </c>
      <c r="V208" s="222">
        <f t="shared" si="265"/>
        <v>9.8888476628791349</v>
      </c>
      <c r="W208" s="223">
        <f t="shared" si="287"/>
        <v>0</v>
      </c>
      <c r="X208" s="223">
        <f t="shared" si="288"/>
        <v>0</v>
      </c>
      <c r="Y208" s="224">
        <f t="shared" si="289"/>
        <v>0</v>
      </c>
      <c r="Z208" s="225"/>
      <c r="AA208" s="223">
        <f t="shared" si="290"/>
        <v>0</v>
      </c>
      <c r="AB208" s="227" t="str">
        <f t="shared" si="291"/>
        <v/>
      </c>
    </row>
    <row r="209" spans="1:28" ht="12">
      <c r="A209" s="254" t="s">
        <v>127</v>
      </c>
      <c r="B209" s="255"/>
      <c r="C209" s="256">
        <f>+B209*1</f>
        <v>0</v>
      </c>
      <c r="D209" s="256"/>
      <c r="E209" s="257">
        <v>6</v>
      </c>
      <c r="F209" s="357">
        <f t="shared" si="222"/>
        <v>0</v>
      </c>
      <c r="G209" s="359">
        <f t="shared" si="275"/>
        <v>0</v>
      </c>
      <c r="H209" s="215">
        <v>52</v>
      </c>
      <c r="I209" s="216">
        <v>111.41</v>
      </c>
      <c r="J209" s="168">
        <f t="shared" si="262"/>
        <v>0</v>
      </c>
      <c r="K209" s="168">
        <f t="shared" si="214"/>
        <v>0</v>
      </c>
      <c r="L209" s="287">
        <f t="shared" ref="L209:L229" si="292">+E209*L$16</f>
        <v>870</v>
      </c>
      <c r="M209" s="231">
        <f t="shared" si="223"/>
        <v>622.40759531989045</v>
      </c>
      <c r="N209" s="261">
        <f t="shared" ref="N209:N229" si="293">ROUND((C209*L209*12)/2000,2)</f>
        <v>0</v>
      </c>
      <c r="O209" s="219">
        <f t="shared" si="224"/>
        <v>0</v>
      </c>
      <c r="P209" s="225"/>
      <c r="Q209" s="221">
        <f t="shared" si="215"/>
        <v>1.9387996594214556</v>
      </c>
      <c r="R209" s="222">
        <f t="shared" si="216"/>
        <v>8.3950025252949025</v>
      </c>
      <c r="S209" s="222">
        <f t="shared" si="263"/>
        <v>3.8969873154371254E-2</v>
      </c>
      <c r="T209" s="222">
        <f t="shared" si="264"/>
        <v>1.9777695325758269</v>
      </c>
      <c r="V209" s="222">
        <f t="shared" si="265"/>
        <v>113.38776953257582</v>
      </c>
      <c r="W209" s="223">
        <f t="shared" ref="W209:W221" si="294">C209*V209</f>
        <v>0</v>
      </c>
      <c r="X209" s="223">
        <f t="shared" si="225"/>
        <v>0</v>
      </c>
      <c r="Y209" s="224">
        <f t="shared" si="220"/>
        <v>0</v>
      </c>
      <c r="Z209" s="225"/>
      <c r="AA209" s="223">
        <f t="shared" si="226"/>
        <v>0</v>
      </c>
      <c r="AB209" s="227">
        <f t="shared" si="221"/>
        <v>1.7752172449293724E-2</v>
      </c>
    </row>
    <row r="210" spans="1:28" ht="12">
      <c r="A210" s="254" t="s">
        <v>128</v>
      </c>
      <c r="B210" s="255">
        <v>12</v>
      </c>
      <c r="C210" s="256">
        <f>B210*4.3333</f>
        <v>51.999600000000001</v>
      </c>
      <c r="D210" s="256"/>
      <c r="E210" s="257">
        <v>6</v>
      </c>
      <c r="F210" s="357">
        <f t="shared" si="222"/>
        <v>623.99520000000007</v>
      </c>
      <c r="G210" s="359">
        <f t="shared" si="275"/>
        <v>311.99760000000003</v>
      </c>
      <c r="H210" s="215">
        <v>52</v>
      </c>
      <c r="I210" s="216">
        <v>106.76</v>
      </c>
      <c r="J210" s="168">
        <f t="shared" si="262"/>
        <v>5551.477296</v>
      </c>
      <c r="K210" s="168">
        <f t="shared" si="214"/>
        <v>66617.727551999997</v>
      </c>
      <c r="L210" s="287">
        <f t="shared" si="292"/>
        <v>870</v>
      </c>
      <c r="M210" s="231">
        <f t="shared" si="223"/>
        <v>622.40759531989045</v>
      </c>
      <c r="N210" s="261">
        <f t="shared" si="293"/>
        <v>271.44</v>
      </c>
      <c r="O210" s="219">
        <f t="shared" si="224"/>
        <v>194.19116973980582</v>
      </c>
      <c r="P210" s="225"/>
      <c r="Q210" s="221">
        <f t="shared" si="215"/>
        <v>1.9387996594214556</v>
      </c>
      <c r="R210" s="222">
        <f t="shared" si="216"/>
        <v>8.3950025252949025</v>
      </c>
      <c r="S210" s="222">
        <f t="shared" si="263"/>
        <v>3.8969873154371254E-2</v>
      </c>
      <c r="T210" s="222">
        <f t="shared" si="264"/>
        <v>1.9777695325758269</v>
      </c>
      <c r="V210" s="222">
        <f t="shared" si="265"/>
        <v>108.73776953257583</v>
      </c>
      <c r="W210" s="223">
        <f t="shared" si="294"/>
        <v>5654.3205205861304</v>
      </c>
      <c r="X210" s="223">
        <f t="shared" si="225"/>
        <v>102.84322458613042</v>
      </c>
      <c r="Y210" s="224">
        <f t="shared" si="220"/>
        <v>1234.118695033565</v>
      </c>
      <c r="Z210" s="225"/>
      <c r="AA210" s="223">
        <f t="shared" si="226"/>
        <v>1209.8109874789882</v>
      </c>
      <c r="AB210" s="227">
        <f t="shared" si="221"/>
        <v>1.8525379660695229E-2</v>
      </c>
    </row>
    <row r="211" spans="1:28" ht="12">
      <c r="A211" s="254" t="s">
        <v>129</v>
      </c>
      <c r="B211" s="255">
        <v>2</v>
      </c>
      <c r="C211" s="256">
        <f>B211*4.3333*2</f>
        <v>17.333200000000001</v>
      </c>
      <c r="D211" s="256"/>
      <c r="E211" s="257">
        <v>6</v>
      </c>
      <c r="F211" s="357">
        <f t="shared" si="222"/>
        <v>207.9984</v>
      </c>
      <c r="G211" s="359">
        <f t="shared" si="275"/>
        <v>103.9992</v>
      </c>
      <c r="H211" s="215">
        <v>52</v>
      </c>
      <c r="I211" s="216">
        <v>106.76</v>
      </c>
      <c r="J211" s="168">
        <f t="shared" si="262"/>
        <v>1850.4924320000002</v>
      </c>
      <c r="K211" s="168">
        <f t="shared" si="214"/>
        <v>22205.909184000004</v>
      </c>
      <c r="L211" s="287">
        <f t="shared" si="292"/>
        <v>870</v>
      </c>
      <c r="M211" s="231">
        <f t="shared" si="223"/>
        <v>622.40759531989045</v>
      </c>
      <c r="N211" s="261">
        <f t="shared" si="293"/>
        <v>90.48</v>
      </c>
      <c r="O211" s="219">
        <f t="shared" si="224"/>
        <v>64.73038991326861</v>
      </c>
      <c r="P211" s="225"/>
      <c r="Q211" s="221">
        <f t="shared" si="215"/>
        <v>1.9387996594214556</v>
      </c>
      <c r="R211" s="222">
        <f t="shared" si="216"/>
        <v>8.3950025252949025</v>
      </c>
      <c r="S211" s="222">
        <f t="shared" si="263"/>
        <v>3.8969873154371254E-2</v>
      </c>
      <c r="T211" s="222">
        <f t="shared" si="264"/>
        <v>1.9777695325758269</v>
      </c>
      <c r="V211" s="222">
        <f t="shared" si="265"/>
        <v>108.73776953257583</v>
      </c>
      <c r="W211" s="223">
        <f t="shared" si="294"/>
        <v>1884.7735068620434</v>
      </c>
      <c r="X211" s="223">
        <f t="shared" si="225"/>
        <v>34.28107486204317</v>
      </c>
      <c r="Y211" s="224">
        <f t="shared" si="220"/>
        <v>411.37289834451803</v>
      </c>
      <c r="Z211" s="225"/>
      <c r="AA211" s="223">
        <f t="shared" si="226"/>
        <v>403.27032915966277</v>
      </c>
      <c r="AB211" s="227">
        <f t="shared" si="221"/>
        <v>1.8525379660695229E-2</v>
      </c>
    </row>
    <row r="212" spans="1:28" ht="12">
      <c r="A212" s="254" t="s">
        <v>248</v>
      </c>
      <c r="B212" s="255"/>
      <c r="C212" s="256">
        <f>B212*4.3333*3</f>
        <v>0</v>
      </c>
      <c r="D212" s="256"/>
      <c r="E212" s="257">
        <v>6</v>
      </c>
      <c r="F212" s="357">
        <f t="shared" si="222"/>
        <v>0</v>
      </c>
      <c r="G212" s="359">
        <f t="shared" si="275"/>
        <v>0</v>
      </c>
      <c r="H212" s="215">
        <v>52</v>
      </c>
      <c r="I212" s="216">
        <v>106.76</v>
      </c>
      <c r="J212" s="168">
        <f t="shared" si="262"/>
        <v>0</v>
      </c>
      <c r="K212" s="168">
        <f t="shared" si="214"/>
        <v>0</v>
      </c>
      <c r="L212" s="287">
        <f t="shared" si="292"/>
        <v>870</v>
      </c>
      <c r="M212" s="231">
        <f t="shared" si="223"/>
        <v>622.40759531989045</v>
      </c>
      <c r="N212" s="261">
        <f t="shared" si="293"/>
        <v>0</v>
      </c>
      <c r="O212" s="219">
        <f t="shared" si="224"/>
        <v>0</v>
      </c>
      <c r="P212" s="225"/>
      <c r="Q212" s="221">
        <f t="shared" si="215"/>
        <v>1.9387996594214556</v>
      </c>
      <c r="R212" s="222">
        <f t="shared" si="216"/>
        <v>8.3950025252949025</v>
      </c>
      <c r="S212" s="222">
        <f t="shared" si="263"/>
        <v>3.8969873154371254E-2</v>
      </c>
      <c r="T212" s="222">
        <f t="shared" si="264"/>
        <v>1.9777695325758269</v>
      </c>
      <c r="V212" s="222">
        <f t="shared" si="265"/>
        <v>108.73776953257583</v>
      </c>
      <c r="W212" s="223">
        <f t="shared" si="294"/>
        <v>0</v>
      </c>
      <c r="X212" s="223">
        <f t="shared" si="225"/>
        <v>0</v>
      </c>
      <c r="Y212" s="224">
        <f t="shared" si="220"/>
        <v>0</v>
      </c>
      <c r="Z212" s="225"/>
      <c r="AA212" s="223">
        <f t="shared" si="226"/>
        <v>0</v>
      </c>
      <c r="AB212" s="227">
        <f t="shared" si="221"/>
        <v>1.8525379660695229E-2</v>
      </c>
    </row>
    <row r="213" spans="1:28" ht="12">
      <c r="A213" s="254" t="s">
        <v>249</v>
      </c>
      <c r="B213" s="255"/>
      <c r="C213" s="256">
        <f>B213*4.3333*4</f>
        <v>0</v>
      </c>
      <c r="D213" s="256"/>
      <c r="E213" s="257">
        <v>6</v>
      </c>
      <c r="F213" s="357">
        <f t="shared" si="222"/>
        <v>0</v>
      </c>
      <c r="G213" s="359">
        <f t="shared" si="275"/>
        <v>0</v>
      </c>
      <c r="H213" s="215">
        <v>52</v>
      </c>
      <c r="I213" s="216">
        <v>106.76</v>
      </c>
      <c r="J213" s="168">
        <f t="shared" si="262"/>
        <v>0</v>
      </c>
      <c r="K213" s="168">
        <f t="shared" si="214"/>
        <v>0</v>
      </c>
      <c r="L213" s="287">
        <f t="shared" si="292"/>
        <v>870</v>
      </c>
      <c r="M213" s="231">
        <f t="shared" si="223"/>
        <v>622.40759531989045</v>
      </c>
      <c r="N213" s="261">
        <f t="shared" si="293"/>
        <v>0</v>
      </c>
      <c r="O213" s="219">
        <f t="shared" si="224"/>
        <v>0</v>
      </c>
      <c r="P213" s="225"/>
      <c r="Q213" s="221">
        <f t="shared" si="215"/>
        <v>1.9387996594214556</v>
      </c>
      <c r="R213" s="222">
        <f t="shared" si="216"/>
        <v>8.3950025252949025</v>
      </c>
      <c r="S213" s="222">
        <f t="shared" si="263"/>
        <v>3.8969873154371254E-2</v>
      </c>
      <c r="T213" s="222">
        <f t="shared" si="264"/>
        <v>1.9777695325758269</v>
      </c>
      <c r="V213" s="222">
        <f t="shared" si="265"/>
        <v>108.73776953257583</v>
      </c>
      <c r="W213" s="223">
        <f t="shared" si="294"/>
        <v>0</v>
      </c>
      <c r="X213" s="223">
        <f t="shared" si="225"/>
        <v>0</v>
      </c>
      <c r="Y213" s="224">
        <f t="shared" si="220"/>
        <v>0</v>
      </c>
      <c r="Z213" s="225"/>
      <c r="AA213" s="223">
        <f t="shared" si="226"/>
        <v>0</v>
      </c>
      <c r="AB213" s="227">
        <f t="shared" si="221"/>
        <v>1.8525379660695229E-2</v>
      </c>
    </row>
    <row r="214" spans="1:28" ht="12">
      <c r="A214" s="254" t="s">
        <v>316</v>
      </c>
      <c r="B214" s="255"/>
      <c r="C214" s="256">
        <f>B214*4.3333*4</f>
        <v>0</v>
      </c>
      <c r="D214" s="256"/>
      <c r="E214" s="257">
        <v>8</v>
      </c>
      <c r="F214" s="357">
        <f t="shared" ref="F214" si="295">C214*12</f>
        <v>0</v>
      </c>
      <c r="G214" s="359">
        <f t="shared" si="275"/>
        <v>0</v>
      </c>
      <c r="H214" s="215">
        <v>52</v>
      </c>
      <c r="I214" s="216">
        <v>137.08000000000001</v>
      </c>
      <c r="J214" s="168">
        <f t="shared" si="262"/>
        <v>0</v>
      </c>
      <c r="K214" s="168">
        <f t="shared" si="214"/>
        <v>0</v>
      </c>
      <c r="L214" s="287">
        <f t="shared" si="292"/>
        <v>1160</v>
      </c>
      <c r="M214" s="231">
        <f t="shared" si="223"/>
        <v>829.87679375985385</v>
      </c>
      <c r="N214" s="261">
        <f t="shared" si="293"/>
        <v>0</v>
      </c>
      <c r="O214" s="219">
        <f t="shared" si="224"/>
        <v>0</v>
      </c>
      <c r="P214" s="225"/>
      <c r="Q214" s="221">
        <f t="shared" si="215"/>
        <v>2.5850662125619404</v>
      </c>
      <c r="R214" s="222">
        <f t="shared" si="216"/>
        <v>11.193336700393202</v>
      </c>
      <c r="S214" s="222">
        <f t="shared" si="263"/>
        <v>5.1959830872494998E-2</v>
      </c>
      <c r="T214" s="222">
        <f t="shared" si="264"/>
        <v>2.6370260434344353</v>
      </c>
      <c r="V214" s="222">
        <f t="shared" si="265"/>
        <v>139.71702604343446</v>
      </c>
      <c r="W214" s="223">
        <f t="shared" si="294"/>
        <v>0</v>
      </c>
      <c r="X214" s="223">
        <f t="shared" si="225"/>
        <v>0</v>
      </c>
      <c r="Y214" s="224">
        <f t="shared" si="220"/>
        <v>0</v>
      </c>
      <c r="Z214" s="225"/>
      <c r="AA214" s="223">
        <f t="shared" si="226"/>
        <v>0</v>
      </c>
      <c r="AB214" s="227">
        <f t="shared" si="221"/>
        <v>1.9237131918838912E-2</v>
      </c>
    </row>
    <row r="215" spans="1:28" ht="12">
      <c r="A215" s="254" t="s">
        <v>130</v>
      </c>
      <c r="B215" s="255">
        <v>1</v>
      </c>
      <c r="C215" s="256">
        <f>+B215*1</f>
        <v>1</v>
      </c>
      <c r="D215" s="256"/>
      <c r="E215" s="257">
        <v>8</v>
      </c>
      <c r="F215" s="357">
        <f t="shared" si="222"/>
        <v>12</v>
      </c>
      <c r="G215" s="359">
        <f t="shared" si="275"/>
        <v>8</v>
      </c>
      <c r="H215" s="215">
        <v>52</v>
      </c>
      <c r="I215" s="216">
        <v>137.19999999999999</v>
      </c>
      <c r="J215" s="168">
        <f t="shared" si="262"/>
        <v>137.19999999999999</v>
      </c>
      <c r="K215" s="168">
        <f t="shared" si="214"/>
        <v>1646.3999999999999</v>
      </c>
      <c r="L215" s="287">
        <f t="shared" si="292"/>
        <v>1160</v>
      </c>
      <c r="M215" s="231">
        <f t="shared" si="223"/>
        <v>829.87679375985385</v>
      </c>
      <c r="N215" s="261">
        <f t="shared" si="293"/>
        <v>6.96</v>
      </c>
      <c r="O215" s="219">
        <f t="shared" si="224"/>
        <v>4.9792607625591234</v>
      </c>
      <c r="P215" s="225"/>
      <c r="Q215" s="221">
        <f t="shared" si="215"/>
        <v>2.5850662125619404</v>
      </c>
      <c r="R215" s="222">
        <f t="shared" si="216"/>
        <v>11.193336700393202</v>
      </c>
      <c r="S215" s="222">
        <f t="shared" si="263"/>
        <v>5.1959830872494998E-2</v>
      </c>
      <c r="T215" s="222">
        <f t="shared" si="264"/>
        <v>2.6370260434344353</v>
      </c>
      <c r="V215" s="222">
        <f>I215+T215+11.99</f>
        <v>151.82702604343444</v>
      </c>
      <c r="W215" s="223">
        <f t="shared" si="294"/>
        <v>151.82702604343444</v>
      </c>
      <c r="X215" s="223">
        <f t="shared" si="225"/>
        <v>14.627026043434455</v>
      </c>
      <c r="Y215" s="224">
        <f t="shared" si="220"/>
        <v>175.52431252121346</v>
      </c>
      <c r="Z215" s="225"/>
      <c r="AA215" s="223">
        <f t="shared" si="226"/>
        <v>31.02079455074329</v>
      </c>
      <c r="AB215" s="227">
        <f t="shared" si="221"/>
        <v>0.1066109769929624</v>
      </c>
    </row>
    <row r="216" spans="1:28" ht="12">
      <c r="A216" s="254" t="s">
        <v>131</v>
      </c>
      <c r="B216" s="255">
        <v>2</v>
      </c>
      <c r="C216" s="256">
        <f>B216*4.3333</f>
        <v>8.6666000000000007</v>
      </c>
      <c r="D216" s="256"/>
      <c r="E216" s="257">
        <v>8</v>
      </c>
      <c r="F216" s="357">
        <f t="shared" si="222"/>
        <v>103.9992</v>
      </c>
      <c r="G216" s="359">
        <f t="shared" si="275"/>
        <v>69.332800000000006</v>
      </c>
      <c r="H216" s="215">
        <v>52</v>
      </c>
      <c r="I216" s="216">
        <v>139.30000000000001</v>
      </c>
      <c r="J216" s="168">
        <f t="shared" si="262"/>
        <v>1207.2573800000002</v>
      </c>
      <c r="K216" s="168">
        <f t="shared" si="214"/>
        <v>14487.088560000004</v>
      </c>
      <c r="L216" s="287">
        <f t="shared" si="292"/>
        <v>1160</v>
      </c>
      <c r="M216" s="231">
        <f t="shared" si="223"/>
        <v>829.87679375985385</v>
      </c>
      <c r="N216" s="261">
        <f t="shared" si="293"/>
        <v>60.32</v>
      </c>
      <c r="O216" s="219">
        <f t="shared" si="224"/>
        <v>43.153593275512399</v>
      </c>
      <c r="P216" s="225"/>
      <c r="Q216" s="221">
        <f t="shared" si="215"/>
        <v>2.5850662125619404</v>
      </c>
      <c r="R216" s="222">
        <f t="shared" si="216"/>
        <v>11.193336700393202</v>
      </c>
      <c r="S216" s="222">
        <f t="shared" si="263"/>
        <v>5.1959830872494998E-2</v>
      </c>
      <c r="T216" s="222">
        <f t="shared" si="264"/>
        <v>2.6370260434344353</v>
      </c>
      <c r="V216" s="222">
        <f t="shared" si="265"/>
        <v>141.93702604343446</v>
      </c>
      <c r="W216" s="223">
        <f t="shared" si="294"/>
        <v>1230.1114299080291</v>
      </c>
      <c r="X216" s="223">
        <f t="shared" si="225"/>
        <v>22.854049908028855</v>
      </c>
      <c r="Y216" s="224">
        <f t="shared" si="220"/>
        <v>274.24859889634627</v>
      </c>
      <c r="Z216" s="225"/>
      <c r="AA216" s="223">
        <f t="shared" si="226"/>
        <v>268.84688610644179</v>
      </c>
      <c r="AB216" s="227">
        <f t="shared" si="221"/>
        <v>1.8930553075624079E-2</v>
      </c>
    </row>
    <row r="217" spans="1:28" ht="12">
      <c r="A217" s="254" t="s">
        <v>132</v>
      </c>
      <c r="B217" s="255">
        <v>5</v>
      </c>
      <c r="C217" s="256">
        <f>B217*4.3333*2</f>
        <v>43.333000000000006</v>
      </c>
      <c r="D217" s="256"/>
      <c r="E217" s="257">
        <v>8</v>
      </c>
      <c r="F217" s="357">
        <f t="shared" si="222"/>
        <v>519.99600000000009</v>
      </c>
      <c r="G217" s="359">
        <f t="shared" si="275"/>
        <v>346.66400000000004</v>
      </c>
      <c r="H217" s="215">
        <v>52</v>
      </c>
      <c r="I217" s="216">
        <v>139.30000000000001</v>
      </c>
      <c r="J217" s="168">
        <f t="shared" si="262"/>
        <v>6036.286900000001</v>
      </c>
      <c r="K217" s="168">
        <f t="shared" si="214"/>
        <v>72435.442800000019</v>
      </c>
      <c r="L217" s="287">
        <f t="shared" si="292"/>
        <v>1160</v>
      </c>
      <c r="M217" s="231">
        <f t="shared" si="223"/>
        <v>829.87679375985385</v>
      </c>
      <c r="N217" s="261">
        <f t="shared" si="293"/>
        <v>301.60000000000002</v>
      </c>
      <c r="O217" s="219">
        <f t="shared" si="224"/>
        <v>215.76796637756203</v>
      </c>
      <c r="P217" s="225"/>
      <c r="Q217" s="221">
        <f t="shared" si="215"/>
        <v>2.5850662125619404</v>
      </c>
      <c r="R217" s="222">
        <f t="shared" si="216"/>
        <v>11.193336700393202</v>
      </c>
      <c r="S217" s="222">
        <f t="shared" si="263"/>
        <v>5.1959830872494998E-2</v>
      </c>
      <c r="T217" s="222">
        <f t="shared" si="264"/>
        <v>2.6370260434344353</v>
      </c>
      <c r="V217" s="222">
        <f t="shared" si="265"/>
        <v>141.93702604343446</v>
      </c>
      <c r="W217" s="223">
        <f t="shared" si="294"/>
        <v>6150.5571495401464</v>
      </c>
      <c r="X217" s="223">
        <f t="shared" si="225"/>
        <v>114.27024954014541</v>
      </c>
      <c r="Y217" s="224">
        <f t="shared" si="220"/>
        <v>1371.242994481745</v>
      </c>
      <c r="Z217" s="225"/>
      <c r="AA217" s="223">
        <f t="shared" si="226"/>
        <v>1344.2344305322092</v>
      </c>
      <c r="AB217" s="227">
        <f t="shared" si="221"/>
        <v>1.8930553075624079E-2</v>
      </c>
    </row>
    <row r="218" spans="1:28" ht="12">
      <c r="A218" s="254" t="s">
        <v>250</v>
      </c>
      <c r="B218" s="255"/>
      <c r="C218" s="256">
        <f>B218*4.3333*3</f>
        <v>0</v>
      </c>
      <c r="D218" s="256"/>
      <c r="E218" s="257">
        <v>8</v>
      </c>
      <c r="F218" s="357">
        <f t="shared" si="222"/>
        <v>0</v>
      </c>
      <c r="G218" s="359">
        <f t="shared" si="275"/>
        <v>0</v>
      </c>
      <c r="H218" s="215">
        <v>52</v>
      </c>
      <c r="I218" s="216">
        <v>139.30000000000001</v>
      </c>
      <c r="J218" s="168">
        <f t="shared" si="262"/>
        <v>0</v>
      </c>
      <c r="K218" s="168">
        <f t="shared" si="214"/>
        <v>0</v>
      </c>
      <c r="L218" s="287">
        <f t="shared" si="292"/>
        <v>1160</v>
      </c>
      <c r="M218" s="231">
        <f t="shared" si="223"/>
        <v>829.87679375985385</v>
      </c>
      <c r="N218" s="261">
        <f t="shared" si="293"/>
        <v>0</v>
      </c>
      <c r="O218" s="219">
        <f t="shared" si="224"/>
        <v>0</v>
      </c>
      <c r="P218" s="225"/>
      <c r="Q218" s="221">
        <f t="shared" si="215"/>
        <v>2.5850662125619404</v>
      </c>
      <c r="R218" s="222">
        <f t="shared" si="216"/>
        <v>11.193336700393202</v>
      </c>
      <c r="S218" s="222">
        <f t="shared" si="263"/>
        <v>5.1959830872494998E-2</v>
      </c>
      <c r="T218" s="222">
        <f t="shared" si="264"/>
        <v>2.6370260434344353</v>
      </c>
      <c r="V218" s="222">
        <f t="shared" si="265"/>
        <v>141.93702604343446</v>
      </c>
      <c r="W218" s="223">
        <f t="shared" si="294"/>
        <v>0</v>
      </c>
      <c r="X218" s="223">
        <f t="shared" si="225"/>
        <v>0</v>
      </c>
      <c r="Y218" s="224">
        <f t="shared" si="220"/>
        <v>0</v>
      </c>
      <c r="Z218" s="225"/>
      <c r="AA218" s="223">
        <f t="shared" si="226"/>
        <v>0</v>
      </c>
      <c r="AB218" s="227">
        <f t="shared" si="221"/>
        <v>1.8930553075624079E-2</v>
      </c>
    </row>
    <row r="219" spans="1:28" ht="12">
      <c r="A219" s="254" t="s">
        <v>251</v>
      </c>
      <c r="B219" s="255"/>
      <c r="C219" s="256">
        <f>B219*4.3333*4</f>
        <v>0</v>
      </c>
      <c r="D219" s="256"/>
      <c r="E219" s="257">
        <v>8</v>
      </c>
      <c r="F219" s="357">
        <f t="shared" si="222"/>
        <v>0</v>
      </c>
      <c r="G219" s="359">
        <f t="shared" si="275"/>
        <v>0</v>
      </c>
      <c r="H219" s="215">
        <v>52</v>
      </c>
      <c r="I219" s="216">
        <v>139.30000000000001</v>
      </c>
      <c r="J219" s="168">
        <f t="shared" si="262"/>
        <v>0</v>
      </c>
      <c r="K219" s="168">
        <f t="shared" si="214"/>
        <v>0</v>
      </c>
      <c r="L219" s="287">
        <f t="shared" si="292"/>
        <v>1160</v>
      </c>
      <c r="M219" s="231">
        <f t="shared" si="223"/>
        <v>829.87679375985385</v>
      </c>
      <c r="N219" s="261">
        <f t="shared" si="293"/>
        <v>0</v>
      </c>
      <c r="O219" s="219">
        <f t="shared" si="224"/>
        <v>0</v>
      </c>
      <c r="P219" s="225"/>
      <c r="Q219" s="221">
        <f t="shared" si="215"/>
        <v>2.5850662125619404</v>
      </c>
      <c r="R219" s="222">
        <f t="shared" si="216"/>
        <v>11.193336700393202</v>
      </c>
      <c r="S219" s="222">
        <f t="shared" si="263"/>
        <v>5.1959830872494998E-2</v>
      </c>
      <c r="T219" s="222">
        <f t="shared" si="264"/>
        <v>2.6370260434344353</v>
      </c>
      <c r="V219" s="222">
        <f t="shared" si="265"/>
        <v>141.93702604343446</v>
      </c>
      <c r="W219" s="223">
        <f t="shared" si="294"/>
        <v>0</v>
      </c>
      <c r="X219" s="223">
        <f t="shared" si="225"/>
        <v>0</v>
      </c>
      <c r="Y219" s="224">
        <f t="shared" si="220"/>
        <v>0</v>
      </c>
      <c r="Z219" s="225"/>
      <c r="AA219" s="223">
        <f t="shared" si="226"/>
        <v>0</v>
      </c>
      <c r="AB219" s="227">
        <f t="shared" si="221"/>
        <v>1.8930553075624079E-2</v>
      </c>
    </row>
    <row r="220" spans="1:28" ht="12">
      <c r="A220" s="254" t="s">
        <v>252</v>
      </c>
      <c r="B220" s="255"/>
      <c r="C220" s="256">
        <f>B220*4.3333*5</f>
        <v>0</v>
      </c>
      <c r="D220" s="256"/>
      <c r="E220" s="257">
        <v>8</v>
      </c>
      <c r="F220" s="357">
        <f t="shared" si="222"/>
        <v>0</v>
      </c>
      <c r="G220" s="359">
        <f t="shared" si="275"/>
        <v>0</v>
      </c>
      <c r="H220" s="215">
        <v>52</v>
      </c>
      <c r="I220" s="216">
        <v>139.30000000000001</v>
      </c>
      <c r="J220" s="168">
        <f t="shared" si="262"/>
        <v>0</v>
      </c>
      <c r="K220" s="168">
        <f t="shared" si="214"/>
        <v>0</v>
      </c>
      <c r="L220" s="287">
        <f t="shared" si="292"/>
        <v>1160</v>
      </c>
      <c r="M220" s="231">
        <f t="shared" si="223"/>
        <v>829.87679375985385</v>
      </c>
      <c r="N220" s="261">
        <f t="shared" si="293"/>
        <v>0</v>
      </c>
      <c r="O220" s="219">
        <f t="shared" si="224"/>
        <v>0</v>
      </c>
      <c r="P220" s="225"/>
      <c r="Q220" s="221">
        <f t="shared" si="215"/>
        <v>2.5850662125619404</v>
      </c>
      <c r="R220" s="222">
        <f t="shared" si="216"/>
        <v>11.193336700393202</v>
      </c>
      <c r="S220" s="222">
        <f t="shared" si="263"/>
        <v>5.1959830872494998E-2</v>
      </c>
      <c r="T220" s="222">
        <f t="shared" si="264"/>
        <v>2.6370260434344353</v>
      </c>
      <c r="V220" s="222">
        <f t="shared" si="265"/>
        <v>141.93702604343446</v>
      </c>
      <c r="W220" s="223">
        <f t="shared" si="294"/>
        <v>0</v>
      </c>
      <c r="X220" s="223">
        <f t="shared" si="225"/>
        <v>0</v>
      </c>
      <c r="Y220" s="224">
        <f t="shared" si="220"/>
        <v>0</v>
      </c>
      <c r="Z220" s="225"/>
      <c r="AA220" s="223">
        <f t="shared" si="226"/>
        <v>0</v>
      </c>
      <c r="AB220" s="227">
        <f t="shared" si="221"/>
        <v>1.8930553075624079E-2</v>
      </c>
    </row>
    <row r="221" spans="1:28" ht="12">
      <c r="A221" s="213" t="s">
        <v>32</v>
      </c>
      <c r="B221" s="288"/>
      <c r="C221" s="256">
        <f>B221</f>
        <v>0</v>
      </c>
      <c r="D221" s="256"/>
      <c r="E221" s="257">
        <v>1</v>
      </c>
      <c r="F221" s="357">
        <f t="shared" si="222"/>
        <v>0</v>
      </c>
      <c r="G221" s="360">
        <f t="shared" si="275"/>
        <v>0</v>
      </c>
      <c r="H221" s="215">
        <v>12</v>
      </c>
      <c r="I221" s="216">
        <v>4.5999999999999996</v>
      </c>
      <c r="J221" s="168">
        <f t="shared" si="262"/>
        <v>0</v>
      </c>
      <c r="K221" s="168">
        <f t="shared" si="214"/>
        <v>0</v>
      </c>
      <c r="L221" s="287">
        <f t="shared" si="292"/>
        <v>145</v>
      </c>
      <c r="M221" s="231">
        <f t="shared" si="223"/>
        <v>103.73459921998173</v>
      </c>
      <c r="N221" s="261">
        <f t="shared" si="293"/>
        <v>0</v>
      </c>
      <c r="O221" s="219">
        <f t="shared" si="224"/>
        <v>0</v>
      </c>
      <c r="P221" s="225"/>
      <c r="Q221" s="221">
        <f t="shared" si="215"/>
        <v>0.32313327657024254</v>
      </c>
      <c r="R221" s="222">
        <f t="shared" si="216"/>
        <v>1.3991670875491502</v>
      </c>
      <c r="S221" s="222">
        <f t="shared" si="263"/>
        <v>6.4949788590618748E-3</v>
      </c>
      <c r="T221" s="222">
        <f t="shared" si="264"/>
        <v>0.32962825542930441</v>
      </c>
      <c r="V221" s="222">
        <f>I221+T221</f>
        <v>4.9296282554293036</v>
      </c>
      <c r="W221" s="223">
        <f t="shared" si="294"/>
        <v>0</v>
      </c>
      <c r="X221" s="223">
        <f>W221-J221</f>
        <v>0</v>
      </c>
      <c r="Y221" s="224">
        <f>X221*12</f>
        <v>0</v>
      </c>
      <c r="Z221" s="225"/>
      <c r="AA221" s="223">
        <f>O221*$R$11</f>
        <v>0</v>
      </c>
      <c r="AB221" s="225"/>
    </row>
    <row r="222" spans="1:28" ht="12">
      <c r="A222" s="254" t="s">
        <v>253</v>
      </c>
      <c r="B222" s="255"/>
      <c r="C222" s="256">
        <f t="shared" ref="C222:C230" si="296">B222</f>
        <v>0</v>
      </c>
      <c r="D222" s="256"/>
      <c r="E222" s="257"/>
      <c r="F222" s="357">
        <f t="shared" si="222"/>
        <v>0</v>
      </c>
      <c r="G222" s="359">
        <f t="shared" si="275"/>
        <v>0</v>
      </c>
      <c r="H222" s="215">
        <v>12</v>
      </c>
      <c r="I222" s="216">
        <v>1.21</v>
      </c>
      <c r="J222" s="168">
        <f t="shared" ref="J222:J230" si="297">+C222*I222</f>
        <v>0</v>
      </c>
      <c r="K222" s="168">
        <f t="shared" si="214"/>
        <v>0</v>
      </c>
      <c r="L222" s="287">
        <f t="shared" si="292"/>
        <v>0</v>
      </c>
      <c r="M222" s="231">
        <f t="shared" si="223"/>
        <v>0</v>
      </c>
      <c r="N222" s="261">
        <f t="shared" si="293"/>
        <v>0</v>
      </c>
      <c r="O222" s="219">
        <f t="shared" si="224"/>
        <v>0</v>
      </c>
      <c r="P222" s="225"/>
      <c r="Q222" s="225"/>
      <c r="R222" s="225"/>
      <c r="S222" s="225"/>
      <c r="T222" s="225"/>
      <c r="V222" s="225"/>
      <c r="W222" s="225"/>
      <c r="X222" s="225"/>
      <c r="Y222" s="225"/>
      <c r="Z222" s="225"/>
      <c r="AA222" s="225"/>
      <c r="AB222" s="225"/>
    </row>
    <row r="223" spans="1:28" ht="12">
      <c r="A223" s="254" t="s">
        <v>254</v>
      </c>
      <c r="B223" s="255"/>
      <c r="C223" s="256">
        <f t="shared" si="296"/>
        <v>0</v>
      </c>
      <c r="D223" s="256"/>
      <c r="E223" s="257"/>
      <c r="F223" s="357">
        <f t="shared" si="222"/>
        <v>0</v>
      </c>
      <c r="G223" s="359">
        <f t="shared" si="275"/>
        <v>0</v>
      </c>
      <c r="H223" s="215">
        <v>12</v>
      </c>
      <c r="I223" s="216">
        <v>1.86</v>
      </c>
      <c r="J223" s="168">
        <f t="shared" si="297"/>
        <v>0</v>
      </c>
      <c r="K223" s="168">
        <f t="shared" si="214"/>
        <v>0</v>
      </c>
      <c r="L223" s="287">
        <f t="shared" si="292"/>
        <v>0</v>
      </c>
      <c r="M223" s="231">
        <f t="shared" si="223"/>
        <v>0</v>
      </c>
      <c r="N223" s="261">
        <f t="shared" si="293"/>
        <v>0</v>
      </c>
      <c r="O223" s="219">
        <f t="shared" si="224"/>
        <v>0</v>
      </c>
      <c r="P223" s="225"/>
      <c r="Q223" s="225"/>
      <c r="R223" s="225"/>
      <c r="S223" s="225"/>
      <c r="T223" s="225"/>
      <c r="V223" s="225"/>
      <c r="W223" s="225"/>
      <c r="X223" s="225"/>
      <c r="Y223" s="225"/>
      <c r="Z223" s="225"/>
      <c r="AA223" s="225"/>
      <c r="AB223" s="225"/>
    </row>
    <row r="224" spans="1:28" ht="12">
      <c r="A224" s="254" t="s">
        <v>255</v>
      </c>
      <c r="B224" s="266"/>
      <c r="C224" s="256">
        <f t="shared" si="296"/>
        <v>0</v>
      </c>
      <c r="D224" s="256"/>
      <c r="E224" s="257"/>
      <c r="F224" s="357">
        <f t="shared" si="222"/>
        <v>0</v>
      </c>
      <c r="G224" s="359">
        <f t="shared" si="275"/>
        <v>0</v>
      </c>
      <c r="H224" s="215">
        <v>12</v>
      </c>
      <c r="I224" s="216">
        <v>1.86</v>
      </c>
      <c r="J224" s="168">
        <f t="shared" si="297"/>
        <v>0</v>
      </c>
      <c r="K224" s="168">
        <f t="shared" si="214"/>
        <v>0</v>
      </c>
      <c r="L224" s="287">
        <f t="shared" si="292"/>
        <v>0</v>
      </c>
      <c r="M224" s="231">
        <f t="shared" si="223"/>
        <v>0</v>
      </c>
      <c r="N224" s="261">
        <f t="shared" si="293"/>
        <v>0</v>
      </c>
      <c r="O224" s="219">
        <f t="shared" si="224"/>
        <v>0</v>
      </c>
      <c r="P224" s="225"/>
      <c r="Q224" s="225"/>
      <c r="R224" s="225"/>
      <c r="S224" s="225"/>
      <c r="T224" s="225"/>
      <c r="V224" s="225"/>
      <c r="W224" s="225"/>
      <c r="X224" s="225"/>
      <c r="Y224" s="225"/>
      <c r="Z224" s="225"/>
      <c r="AA224" s="225"/>
      <c r="AB224" s="225"/>
    </row>
    <row r="225" spans="1:29" ht="12">
      <c r="A225" s="254" t="s">
        <v>256</v>
      </c>
      <c r="B225" s="266"/>
      <c r="C225" s="256">
        <f t="shared" si="296"/>
        <v>0</v>
      </c>
      <c r="D225" s="256"/>
      <c r="E225" s="257"/>
      <c r="F225" s="357">
        <f t="shared" si="222"/>
        <v>0</v>
      </c>
      <c r="G225" s="359">
        <f t="shared" si="275"/>
        <v>0</v>
      </c>
      <c r="H225" s="215">
        <v>12</v>
      </c>
      <c r="I225" s="216">
        <v>7.1</v>
      </c>
      <c r="J225" s="168">
        <f t="shared" si="297"/>
        <v>0</v>
      </c>
      <c r="K225" s="168">
        <f t="shared" si="214"/>
        <v>0</v>
      </c>
      <c r="L225" s="287">
        <f t="shared" si="292"/>
        <v>0</v>
      </c>
      <c r="M225" s="231">
        <f t="shared" si="223"/>
        <v>0</v>
      </c>
      <c r="N225" s="261">
        <f t="shared" si="293"/>
        <v>0</v>
      </c>
      <c r="O225" s="219">
        <f t="shared" si="224"/>
        <v>0</v>
      </c>
      <c r="P225" s="225"/>
      <c r="Q225" s="225"/>
      <c r="R225" s="225"/>
      <c r="S225" s="225"/>
      <c r="T225" s="225"/>
      <c r="V225" s="225"/>
      <c r="W225" s="225"/>
      <c r="X225" s="225"/>
      <c r="Y225" s="225"/>
      <c r="Z225" s="225"/>
      <c r="AA225" s="225"/>
      <c r="AB225" s="225"/>
    </row>
    <row r="226" spans="1:29" ht="12">
      <c r="A226" s="254" t="s">
        <v>257</v>
      </c>
      <c r="B226" s="255"/>
      <c r="C226" s="256">
        <f t="shared" si="296"/>
        <v>0</v>
      </c>
      <c r="D226" s="256"/>
      <c r="E226" s="257"/>
      <c r="F226" s="357">
        <f t="shared" si="222"/>
        <v>0</v>
      </c>
      <c r="G226" s="359">
        <f t="shared" si="275"/>
        <v>0</v>
      </c>
      <c r="H226" s="215">
        <v>12</v>
      </c>
      <c r="I226" s="216">
        <v>8.1999999999999993</v>
      </c>
      <c r="J226" s="168">
        <f t="shared" si="297"/>
        <v>0</v>
      </c>
      <c r="K226" s="168">
        <f t="shared" si="214"/>
        <v>0</v>
      </c>
      <c r="L226" s="287">
        <f t="shared" si="292"/>
        <v>0</v>
      </c>
      <c r="M226" s="231">
        <f t="shared" si="223"/>
        <v>0</v>
      </c>
      <c r="N226" s="261">
        <f t="shared" si="293"/>
        <v>0</v>
      </c>
      <c r="O226" s="219">
        <f t="shared" si="224"/>
        <v>0</v>
      </c>
      <c r="P226" s="225"/>
      <c r="Q226" s="225"/>
      <c r="R226" s="225"/>
      <c r="S226" s="225"/>
      <c r="T226" s="225"/>
      <c r="V226" s="225"/>
      <c r="W226" s="225"/>
      <c r="X226" s="225"/>
      <c r="Y226" s="225"/>
      <c r="Z226" s="225"/>
      <c r="AA226" s="225"/>
      <c r="AB226" s="225"/>
    </row>
    <row r="227" spans="1:29" ht="12">
      <c r="A227" s="254" t="s">
        <v>258</v>
      </c>
      <c r="B227" s="266"/>
      <c r="C227" s="256">
        <f t="shared" si="296"/>
        <v>0</v>
      </c>
      <c r="D227" s="256"/>
      <c r="E227" s="257"/>
      <c r="F227" s="357">
        <f t="shared" si="222"/>
        <v>0</v>
      </c>
      <c r="G227" s="359">
        <f t="shared" si="275"/>
        <v>0</v>
      </c>
      <c r="H227" s="215">
        <v>12</v>
      </c>
      <c r="I227" s="216">
        <v>11.48</v>
      </c>
      <c r="J227" s="168">
        <f t="shared" si="297"/>
        <v>0</v>
      </c>
      <c r="K227" s="168">
        <f t="shared" si="214"/>
        <v>0</v>
      </c>
      <c r="L227" s="287">
        <f t="shared" si="292"/>
        <v>0</v>
      </c>
      <c r="M227" s="231">
        <f t="shared" si="223"/>
        <v>0</v>
      </c>
      <c r="N227" s="261">
        <f t="shared" si="293"/>
        <v>0</v>
      </c>
      <c r="O227" s="219">
        <f t="shared" si="224"/>
        <v>0</v>
      </c>
      <c r="P227" s="225"/>
      <c r="Q227" s="225"/>
      <c r="R227" s="225"/>
      <c r="S227" s="225"/>
      <c r="T227" s="225"/>
      <c r="V227" s="225"/>
      <c r="W227" s="225"/>
      <c r="X227" s="225"/>
      <c r="Y227" s="225"/>
      <c r="Z227" s="225"/>
      <c r="AA227" s="225"/>
      <c r="AB227" s="225"/>
    </row>
    <row r="228" spans="1:29" ht="12">
      <c r="A228" s="254" t="s">
        <v>259</v>
      </c>
      <c r="B228" s="255"/>
      <c r="C228" s="256">
        <f t="shared" si="296"/>
        <v>0</v>
      </c>
      <c r="D228" s="256"/>
      <c r="E228" s="257"/>
      <c r="F228" s="357">
        <f t="shared" si="222"/>
        <v>0</v>
      </c>
      <c r="G228" s="359">
        <f t="shared" si="275"/>
        <v>0</v>
      </c>
      <c r="H228" s="215">
        <v>12</v>
      </c>
      <c r="I228" s="216">
        <v>14.21</v>
      </c>
      <c r="J228" s="168">
        <f t="shared" si="297"/>
        <v>0</v>
      </c>
      <c r="K228" s="168">
        <f t="shared" si="214"/>
        <v>0</v>
      </c>
      <c r="L228" s="287">
        <f t="shared" si="292"/>
        <v>0</v>
      </c>
      <c r="M228" s="231">
        <f t="shared" si="223"/>
        <v>0</v>
      </c>
      <c r="N228" s="261">
        <f t="shared" si="293"/>
        <v>0</v>
      </c>
      <c r="O228" s="219">
        <f t="shared" si="224"/>
        <v>0</v>
      </c>
      <c r="P228" s="225"/>
      <c r="Q228" s="225"/>
      <c r="R228" s="225"/>
      <c r="S228" s="225"/>
      <c r="T228" s="225"/>
      <c r="V228" s="225"/>
      <c r="W228" s="225"/>
      <c r="X228" s="225"/>
      <c r="Y228" s="225"/>
      <c r="Z228" s="225"/>
      <c r="AA228" s="225"/>
      <c r="AB228" s="225"/>
    </row>
    <row r="229" spans="1:29" ht="12">
      <c r="A229" s="254" t="s">
        <v>260</v>
      </c>
      <c r="B229" s="289"/>
      <c r="C229" s="256">
        <f t="shared" si="296"/>
        <v>0</v>
      </c>
      <c r="D229" s="256"/>
      <c r="E229" s="257"/>
      <c r="F229" s="357">
        <f t="shared" si="222"/>
        <v>0</v>
      </c>
      <c r="G229" s="359">
        <f t="shared" si="275"/>
        <v>0</v>
      </c>
      <c r="H229" s="215">
        <v>12</v>
      </c>
      <c r="I229" s="216">
        <v>16.12</v>
      </c>
      <c r="J229" s="168">
        <f t="shared" si="297"/>
        <v>0</v>
      </c>
      <c r="K229" s="168">
        <f t="shared" si="214"/>
        <v>0</v>
      </c>
      <c r="L229" s="287">
        <f t="shared" si="292"/>
        <v>0</v>
      </c>
      <c r="M229" s="231">
        <f t="shared" si="223"/>
        <v>0</v>
      </c>
      <c r="N229" s="261">
        <f t="shared" si="293"/>
        <v>0</v>
      </c>
      <c r="O229" s="219">
        <f t="shared" si="224"/>
        <v>0</v>
      </c>
      <c r="P229" s="225"/>
      <c r="Q229" s="225"/>
      <c r="R229" s="225"/>
      <c r="S229" s="225"/>
      <c r="T229" s="225"/>
      <c r="V229" s="225"/>
      <c r="W229" s="225"/>
      <c r="X229" s="225"/>
      <c r="Y229" s="225"/>
      <c r="Z229" s="225"/>
      <c r="AA229" s="225"/>
      <c r="AB229" s="225"/>
    </row>
    <row r="230" spans="1:29" ht="12">
      <c r="A230" s="254" t="s">
        <v>261</v>
      </c>
      <c r="B230" s="289"/>
      <c r="C230" s="256">
        <f t="shared" si="296"/>
        <v>0</v>
      </c>
      <c r="D230" s="256"/>
      <c r="E230" s="257"/>
      <c r="F230" s="357">
        <f t="shared" si="222"/>
        <v>0</v>
      </c>
      <c r="G230" s="359">
        <f t="shared" si="275"/>
        <v>0</v>
      </c>
      <c r="H230" s="215">
        <v>12</v>
      </c>
      <c r="I230" s="216">
        <v>24.05</v>
      </c>
      <c r="J230" s="168">
        <f t="shared" si="297"/>
        <v>0</v>
      </c>
      <c r="K230" s="168">
        <f t="shared" si="214"/>
        <v>0</v>
      </c>
      <c r="L230" s="290"/>
      <c r="M230" s="231">
        <f t="shared" si="223"/>
        <v>0</v>
      </c>
      <c r="N230" s="168"/>
      <c r="O230" s="219">
        <f t="shared" si="224"/>
        <v>0</v>
      </c>
      <c r="P230" s="225"/>
      <c r="Q230" s="225"/>
      <c r="R230" s="225"/>
      <c r="S230" s="225"/>
      <c r="T230" s="225"/>
      <c r="V230" s="225"/>
      <c r="W230" s="225"/>
      <c r="X230" s="225"/>
      <c r="Y230" s="225"/>
      <c r="Z230" s="225"/>
      <c r="AA230" s="225"/>
      <c r="AB230" s="225"/>
    </row>
    <row r="231" spans="1:29">
      <c r="A231" s="291" t="s">
        <v>262</v>
      </c>
      <c r="B231" s="292"/>
      <c r="C231" s="293"/>
      <c r="D231" s="293"/>
      <c r="E231" s="294"/>
      <c r="F231" s="357">
        <f t="shared" si="222"/>
        <v>0</v>
      </c>
      <c r="G231" s="307"/>
      <c r="H231" s="215">
        <v>12</v>
      </c>
      <c r="I231" s="216">
        <v>27.33</v>
      </c>
      <c r="J231" s="168"/>
      <c r="K231" s="168"/>
      <c r="L231" s="290"/>
      <c r="M231" s="231">
        <f t="shared" si="223"/>
        <v>0</v>
      </c>
      <c r="N231" s="168"/>
      <c r="O231" s="168"/>
      <c r="P231" s="225"/>
      <c r="Q231" s="225"/>
      <c r="R231" s="225"/>
      <c r="S231" s="225"/>
      <c r="T231" s="225"/>
      <c r="V231" s="225"/>
      <c r="W231" s="225"/>
      <c r="X231" s="225"/>
      <c r="Y231" s="225"/>
      <c r="Z231" s="225"/>
      <c r="AA231" s="225"/>
      <c r="AB231" s="225"/>
    </row>
    <row r="232" spans="1:29">
      <c r="A232" s="279" t="s">
        <v>306</v>
      </c>
      <c r="B232" s="295"/>
      <c r="C232" s="296"/>
      <c r="D232" s="356"/>
      <c r="E232" s="297"/>
      <c r="F232" s="367">
        <f>SUM(F158:F231)</f>
        <v>16755.871200000001</v>
      </c>
      <c r="G232" s="361">
        <f>SUM(G157:G231)</f>
        <v>2157.0914683999999</v>
      </c>
      <c r="H232" s="298"/>
      <c r="I232" s="216"/>
      <c r="J232" s="168">
        <f>SUM(L157:L230)</f>
        <v>55153.94</v>
      </c>
      <c r="K232" s="168">
        <f>SUM(M157:M230)</f>
        <v>39457.736974502899</v>
      </c>
      <c r="L232" s="168"/>
      <c r="M232" s="231">
        <f t="shared" si="223"/>
        <v>0</v>
      </c>
      <c r="N232" s="168">
        <f>SUM(P157:P230)</f>
        <v>0</v>
      </c>
      <c r="O232" s="168">
        <f>SUM(Q157:Q230)</f>
        <v>122.91085067557628</v>
      </c>
      <c r="P232" s="168">
        <f t="shared" ref="P232:Y232" si="298">SUM(R157:R230)</f>
        <v>532.2039834252455</v>
      </c>
      <c r="Q232" s="168">
        <f t="shared" si="298"/>
        <v>2.4705080985790828</v>
      </c>
      <c r="R232" s="168">
        <f>SUM(T157:T230)</f>
        <v>125.3813587741553</v>
      </c>
      <c r="S232" s="168">
        <f>SUM(U157:U230)</f>
        <v>0</v>
      </c>
      <c r="T232" s="168">
        <f>SUM(V157:V230)</f>
        <v>5064.9213587741551</v>
      </c>
      <c r="U232" s="168">
        <f>SUM(W157:W230)</f>
        <v>40427.330599530134</v>
      </c>
      <c r="V232" s="168">
        <f t="shared" si="298"/>
        <v>723.0282975301302</v>
      </c>
      <c r="W232" s="168">
        <f t="shared" si="298"/>
        <v>8676.3395703615606</v>
      </c>
      <c r="X232" s="168">
        <f t="shared" si="298"/>
        <v>0</v>
      </c>
      <c r="Y232" s="168">
        <f t="shared" si="298"/>
        <v>8364.3828617081763</v>
      </c>
      <c r="Z232" s="225"/>
      <c r="AA232" s="224">
        <f>SUM(AC157:AC231)</f>
        <v>0</v>
      </c>
      <c r="AB232" s="225"/>
    </row>
    <row r="233" spans="1:29">
      <c r="A233" s="185"/>
      <c r="B233" s="299"/>
      <c r="C233" s="300"/>
      <c r="D233" s="300"/>
      <c r="E233" s="358"/>
      <c r="F233" s="302"/>
      <c r="G233" s="301"/>
      <c r="H233" s="299"/>
      <c r="I233" s="216"/>
      <c r="J233" s="301"/>
      <c r="K233" s="302"/>
      <c r="L233" s="302"/>
      <c r="M233" s="231">
        <f t="shared" si="223"/>
        <v>0</v>
      </c>
      <c r="N233" s="303"/>
      <c r="O233" s="302"/>
      <c r="P233" s="225"/>
      <c r="Q233" s="225"/>
      <c r="R233" s="225"/>
      <c r="S233" s="225"/>
      <c r="T233" s="225"/>
      <c r="V233" s="225"/>
      <c r="W233" s="225"/>
      <c r="X233" s="225"/>
      <c r="Y233" s="225"/>
      <c r="Z233" s="225"/>
      <c r="AA233" s="225"/>
      <c r="AB233" s="225"/>
    </row>
    <row r="234" spans="1:29">
      <c r="A234" s="155"/>
      <c r="B234" s="215"/>
      <c r="C234" s="304"/>
      <c r="D234" s="304"/>
      <c r="E234" s="257"/>
      <c r="F234" s="225"/>
      <c r="G234" s="305"/>
      <c r="H234" s="215"/>
      <c r="I234" s="216"/>
      <c r="J234" s="305"/>
      <c r="K234" s="225"/>
      <c r="L234" s="225"/>
      <c r="M234" s="231">
        <f t="shared" si="223"/>
        <v>0</v>
      </c>
      <c r="N234" s="225"/>
      <c r="O234" s="225"/>
      <c r="P234" s="225"/>
      <c r="Q234" s="225"/>
      <c r="R234" s="225"/>
      <c r="S234" s="225"/>
      <c r="T234" s="225"/>
      <c r="U234" s="155"/>
      <c r="V234" s="225"/>
      <c r="W234" s="225"/>
      <c r="X234" s="225"/>
      <c r="Y234" s="225"/>
      <c r="Z234" s="225"/>
      <c r="AA234" s="225"/>
      <c r="AB234" s="225"/>
    </row>
    <row r="235" spans="1:29">
      <c r="B235" s="215"/>
      <c r="C235" s="304"/>
      <c r="D235" s="304"/>
      <c r="E235" s="257"/>
      <c r="F235" s="225"/>
      <c r="G235" s="305"/>
      <c r="H235" s="215"/>
      <c r="I235" s="216"/>
      <c r="J235" s="305"/>
      <c r="K235" s="225"/>
      <c r="L235" s="225"/>
      <c r="M235" s="231">
        <f t="shared" si="223"/>
        <v>0</v>
      </c>
      <c r="N235" s="225"/>
      <c r="O235" s="225"/>
      <c r="P235" s="225"/>
      <c r="Q235" s="225"/>
      <c r="R235" s="225"/>
      <c r="S235" s="225"/>
      <c r="T235" s="225"/>
      <c r="V235" s="225"/>
      <c r="W235" s="225"/>
      <c r="X235" s="225"/>
      <c r="Y235" s="225"/>
      <c r="Z235" s="225"/>
      <c r="AA235" s="225"/>
      <c r="AB235" s="225"/>
    </row>
    <row r="236" spans="1:29" ht="12" thickBot="1">
      <c r="B236" s="215"/>
      <c r="C236" s="306"/>
      <c r="D236" s="306"/>
      <c r="E236" s="257"/>
      <c r="F236" s="225"/>
      <c r="G236" s="307"/>
      <c r="H236" s="215"/>
      <c r="I236" s="216"/>
      <c r="J236" s="305"/>
      <c r="K236" s="225"/>
      <c r="L236" s="225"/>
      <c r="M236" s="231">
        <f>L236*$O$5</f>
        <v>0</v>
      </c>
      <c r="N236" s="225"/>
      <c r="O236" s="225"/>
      <c r="P236" s="225"/>
      <c r="Q236" s="225"/>
      <c r="R236" s="225"/>
      <c r="S236" s="225"/>
      <c r="T236" s="225"/>
      <c r="V236" s="225"/>
      <c r="W236" s="225"/>
      <c r="X236" s="225"/>
      <c r="Y236" s="225"/>
      <c r="Z236" s="225"/>
      <c r="AA236" s="225"/>
      <c r="AB236" s="225"/>
    </row>
    <row r="237" spans="1:29" ht="12" thickBot="1">
      <c r="A237" s="302" t="s">
        <v>193</v>
      </c>
      <c r="B237" s="308">
        <f>SUM(B158:B236)</f>
        <v>294</v>
      </c>
      <c r="C237" s="225"/>
      <c r="D237" s="309"/>
      <c r="E237" s="309"/>
      <c r="F237" s="369">
        <f>F232+F154+F74</f>
        <v>571319.58893466706</v>
      </c>
      <c r="G237" s="245">
        <f>+E154+G232</f>
        <v>5212.4915756620003</v>
      </c>
      <c r="H237" s="309"/>
      <c r="I237" s="225"/>
      <c r="J237" s="309"/>
      <c r="K237" s="282">
        <f>+J231+K154</f>
        <v>48044.041606170002</v>
      </c>
      <c r="L237" s="168">
        <f>+K231+L154</f>
        <v>576528.49927404011</v>
      </c>
      <c r="M237" s="225"/>
      <c r="N237" s="231">
        <f>M237*$O$5</f>
        <v>0</v>
      </c>
      <c r="O237" s="168">
        <f>+N231+O154</f>
        <v>2658.23</v>
      </c>
      <c r="P237" s="168">
        <f>+O231+P154</f>
        <v>1901.7270598933246</v>
      </c>
      <c r="Q237" s="168"/>
      <c r="R237" s="168"/>
      <c r="S237" s="168"/>
      <c r="T237" s="168"/>
      <c r="U237" s="168"/>
      <c r="V237" s="310"/>
      <c r="W237" s="168"/>
      <c r="X237" s="224">
        <f>W74+X154+W232</f>
        <v>194554.7943240786</v>
      </c>
      <c r="Y237" s="224">
        <f>X74+Y154+X232</f>
        <v>15319.232197331654</v>
      </c>
      <c r="Z237" s="224">
        <f>Y74+Z154+Y232</f>
        <v>47166.115422367686</v>
      </c>
      <c r="AA237" s="224"/>
      <c r="AB237" s="224">
        <f>AA74+AB154+AA232</f>
        <v>38067.469283070212</v>
      </c>
      <c r="AC237" s="225"/>
    </row>
    <row r="238" spans="1:29">
      <c r="L238" s="154"/>
      <c r="M238" s="153"/>
      <c r="N238" s="230"/>
      <c r="X238" s="227"/>
      <c r="Z238" s="155"/>
    </row>
    <row r="239" spans="1:29">
      <c r="L239" s="154"/>
      <c r="M239" s="153"/>
      <c r="N239" s="230"/>
      <c r="AA239" s="155"/>
    </row>
    <row r="240" spans="1:29">
      <c r="L240" s="154"/>
      <c r="M240" s="153"/>
      <c r="AA240" s="155"/>
    </row>
    <row r="241" spans="1:27">
      <c r="A241" s="311"/>
      <c r="L241" s="154"/>
      <c r="M241" s="153"/>
      <c r="AA241" s="155"/>
    </row>
    <row r="242" spans="1:27">
      <c r="A242" s="311"/>
      <c r="L242" s="154"/>
      <c r="M242" s="153"/>
      <c r="AA242" s="155"/>
    </row>
    <row r="243" spans="1:27">
      <c r="L243" s="154"/>
      <c r="M243" s="153"/>
      <c r="AA243" s="155"/>
    </row>
    <row r="244" spans="1:27">
      <c r="L244" s="154"/>
      <c r="M244" s="153"/>
      <c r="AA244" s="155"/>
    </row>
    <row r="245" spans="1:27">
      <c r="L245" s="154"/>
      <c r="M245" s="153"/>
      <c r="AA245" s="155"/>
    </row>
    <row r="246" spans="1:27">
      <c r="L246" s="154"/>
      <c r="M246" s="153"/>
      <c r="AA246" s="155"/>
    </row>
    <row r="247" spans="1:27">
      <c r="L247" s="154"/>
      <c r="M247" s="153"/>
      <c r="AA247" s="155"/>
    </row>
    <row r="248" spans="1:27">
      <c r="L248" s="154"/>
      <c r="M248" s="153"/>
      <c r="AA248" s="155"/>
    </row>
    <row r="249" spans="1:27">
      <c r="L249" s="154"/>
      <c r="M249" s="153"/>
      <c r="AA249" s="155"/>
    </row>
    <row r="250" spans="1:27">
      <c r="L250" s="154"/>
      <c r="M250" s="153"/>
      <c r="AA250" s="155"/>
    </row>
    <row r="251" spans="1:27">
      <c r="L251" s="154"/>
      <c r="M251" s="153"/>
      <c r="AA251" s="155"/>
    </row>
    <row r="252" spans="1:27">
      <c r="L252" s="154"/>
      <c r="M252" s="153"/>
      <c r="AA252" s="155"/>
    </row>
    <row r="253" spans="1:27">
      <c r="L253" s="154"/>
      <c r="M253" s="153"/>
      <c r="AA253" s="155"/>
    </row>
    <row r="254" spans="1:27">
      <c r="L254" s="154"/>
      <c r="M254" s="153"/>
      <c r="AA254" s="155"/>
    </row>
    <row r="255" spans="1:27">
      <c r="L255" s="154"/>
      <c r="M255" s="153"/>
      <c r="AA255" s="155"/>
    </row>
    <row r="256" spans="1:27">
      <c r="L256" s="154"/>
      <c r="M256" s="153"/>
      <c r="AA256" s="155"/>
    </row>
    <row r="257" spans="12:27">
      <c r="L257" s="154"/>
      <c r="M257" s="153"/>
      <c r="AA257" s="155"/>
    </row>
    <row r="258" spans="12:27">
      <c r="L258" s="154"/>
      <c r="M258" s="153"/>
      <c r="AA258" s="155"/>
    </row>
    <row r="259" spans="12:27">
      <c r="L259" s="154"/>
      <c r="M259" s="153"/>
      <c r="AA259" s="155"/>
    </row>
    <row r="260" spans="12:27">
      <c r="L260" s="154"/>
      <c r="M260" s="153"/>
      <c r="AA260" s="155"/>
    </row>
    <row r="261" spans="12:27">
      <c r="L261" s="154"/>
      <c r="M261" s="153"/>
      <c r="AA261" s="155"/>
    </row>
    <row r="262" spans="12:27">
      <c r="L262" s="154"/>
      <c r="M262" s="153"/>
      <c r="AA262" s="155"/>
    </row>
    <row r="263" spans="12:27">
      <c r="L263" s="154"/>
      <c r="M263" s="153"/>
      <c r="AA263" s="155"/>
    </row>
    <row r="264" spans="12:27">
      <c r="L264" s="154"/>
      <c r="M264" s="153"/>
      <c r="AA264" s="155"/>
    </row>
    <row r="265" spans="12:27">
      <c r="L265" s="154"/>
      <c r="M265" s="153"/>
      <c r="AA265" s="155"/>
    </row>
    <row r="266" spans="12:27">
      <c r="L266" s="154"/>
      <c r="M266" s="153"/>
      <c r="AA266" s="155"/>
    </row>
    <row r="267" spans="12:27">
      <c r="L267" s="154"/>
      <c r="M267" s="153"/>
      <c r="AA267" s="155"/>
    </row>
    <row r="268" spans="12:27">
      <c r="L268" s="154"/>
      <c r="M268" s="153"/>
      <c r="AA268" s="155"/>
    </row>
    <row r="269" spans="12:27">
      <c r="L269" s="154"/>
      <c r="M269" s="153"/>
      <c r="AA269" s="155"/>
    </row>
    <row r="270" spans="12:27">
      <c r="L270" s="154"/>
      <c r="M270" s="153"/>
      <c r="AA270" s="155"/>
    </row>
    <row r="271" spans="12:27">
      <c r="L271" s="154"/>
      <c r="M271" s="153"/>
      <c r="AA271" s="155"/>
    </row>
    <row r="272" spans="12:27">
      <c r="L272" s="154"/>
      <c r="M272" s="153"/>
      <c r="AA272" s="155"/>
    </row>
    <row r="273" spans="12:27">
      <c r="L273" s="154"/>
      <c r="M273" s="153"/>
      <c r="AA273" s="155"/>
    </row>
    <row r="274" spans="12:27">
      <c r="L274" s="154"/>
      <c r="M274" s="153"/>
      <c r="AA274" s="155"/>
    </row>
    <row r="275" spans="12:27">
      <c r="L275" s="154"/>
      <c r="M275" s="153"/>
      <c r="AA275" s="155"/>
    </row>
    <row r="276" spans="12:27">
      <c r="L276" s="154"/>
      <c r="M276" s="153"/>
      <c r="AA276" s="155"/>
    </row>
    <row r="277" spans="12:27">
      <c r="L277" s="154"/>
      <c r="M277" s="153"/>
      <c r="AA277" s="155"/>
    </row>
    <row r="278" spans="12:27">
      <c r="L278" s="154"/>
      <c r="M278" s="153"/>
      <c r="AA278" s="155"/>
    </row>
    <row r="279" spans="12:27">
      <c r="L279" s="154"/>
      <c r="M279" s="153"/>
      <c r="AA279" s="155"/>
    </row>
    <row r="280" spans="12:27">
      <c r="L280" s="154"/>
      <c r="M280" s="153"/>
      <c r="AA280" s="155"/>
    </row>
    <row r="281" spans="12:27">
      <c r="L281" s="154"/>
      <c r="M281" s="153"/>
      <c r="AA281" s="155"/>
    </row>
    <row r="282" spans="12:27">
      <c r="L282" s="154"/>
      <c r="M282" s="153"/>
      <c r="AA282" s="155"/>
    </row>
    <row r="283" spans="12:27">
      <c r="L283" s="154"/>
      <c r="M283" s="153"/>
      <c r="AA283" s="155"/>
    </row>
    <row r="284" spans="12:27">
      <c r="L284" s="154"/>
      <c r="M284" s="153"/>
      <c r="AA284" s="155"/>
    </row>
    <row r="285" spans="12:27">
      <c r="L285" s="154"/>
      <c r="M285" s="153"/>
      <c r="AA285" s="155"/>
    </row>
    <row r="286" spans="12:27">
      <c r="L286" s="154"/>
      <c r="M286" s="153"/>
      <c r="AA286" s="155"/>
    </row>
    <row r="287" spans="12:27">
      <c r="L287" s="154"/>
      <c r="M287" s="153"/>
      <c r="AA287" s="155"/>
    </row>
    <row r="288" spans="12:27">
      <c r="L288" s="154"/>
      <c r="M288" s="153"/>
      <c r="AA288" s="155"/>
    </row>
    <row r="289" spans="12:27">
      <c r="L289" s="154"/>
      <c r="M289" s="153"/>
      <c r="AA289" s="155"/>
    </row>
    <row r="290" spans="12:27">
      <c r="L290" s="154"/>
      <c r="M290" s="153"/>
      <c r="AA290" s="155"/>
    </row>
    <row r="291" spans="12:27">
      <c r="L291" s="154"/>
      <c r="M291" s="153"/>
      <c r="AA291" s="155"/>
    </row>
    <row r="292" spans="12:27">
      <c r="L292" s="154"/>
      <c r="M292" s="153"/>
      <c r="AA292" s="155"/>
    </row>
    <row r="293" spans="12:27">
      <c r="L293" s="154"/>
      <c r="M293" s="153"/>
      <c r="AA293" s="155"/>
    </row>
    <row r="294" spans="12:27">
      <c r="L294" s="154"/>
      <c r="M294" s="153"/>
      <c r="AA294" s="155"/>
    </row>
    <row r="295" spans="12:27">
      <c r="L295" s="154"/>
      <c r="M295" s="153"/>
      <c r="AA295" s="155"/>
    </row>
    <row r="296" spans="12:27">
      <c r="L296" s="154"/>
      <c r="M296" s="153"/>
      <c r="AA296" s="155"/>
    </row>
    <row r="297" spans="12:27">
      <c r="L297" s="154"/>
      <c r="M297" s="153"/>
      <c r="AA297" s="155"/>
    </row>
    <row r="298" spans="12:27">
      <c r="L298" s="154"/>
      <c r="M298" s="153"/>
      <c r="AA298" s="155"/>
    </row>
    <row r="299" spans="12:27">
      <c r="L299" s="154"/>
      <c r="M299" s="153"/>
      <c r="AA299" s="155"/>
    </row>
    <row r="300" spans="12:27">
      <c r="L300" s="154"/>
      <c r="M300" s="153"/>
      <c r="AA300" s="155"/>
    </row>
    <row r="301" spans="12:27">
      <c r="L301" s="154"/>
      <c r="M301" s="153"/>
      <c r="AA301" s="155"/>
    </row>
    <row r="302" spans="12:27">
      <c r="L302" s="154"/>
      <c r="M302" s="153"/>
      <c r="AA302" s="155"/>
    </row>
    <row r="303" spans="12:27">
      <c r="L303" s="154"/>
      <c r="M303" s="153"/>
      <c r="AA303" s="155"/>
    </row>
    <row r="304" spans="12:27">
      <c r="L304" s="154"/>
      <c r="M304" s="153"/>
      <c r="AA304" s="155"/>
    </row>
    <row r="305" spans="12:27">
      <c r="L305" s="154"/>
      <c r="M305" s="153"/>
      <c r="AA305" s="155"/>
    </row>
    <row r="306" spans="12:27">
      <c r="L306" s="154"/>
      <c r="M306" s="153"/>
      <c r="AA306" s="155"/>
    </row>
    <row r="307" spans="12:27">
      <c r="L307" s="154"/>
      <c r="M307" s="153"/>
      <c r="AA307" s="155"/>
    </row>
    <row r="308" spans="12:27">
      <c r="L308" s="154"/>
      <c r="M308" s="153"/>
      <c r="AA308" s="155"/>
    </row>
    <row r="309" spans="12:27">
      <c r="L309" s="154"/>
      <c r="M309" s="153"/>
      <c r="AA309" s="155"/>
    </row>
    <row r="310" spans="12:27">
      <c r="L310" s="154"/>
      <c r="M310" s="153"/>
      <c r="AA310" s="155"/>
    </row>
    <row r="311" spans="12:27">
      <c r="L311" s="154"/>
      <c r="M311" s="153"/>
      <c r="AA311" s="155"/>
    </row>
    <row r="312" spans="12:27">
      <c r="L312" s="154"/>
      <c r="M312" s="153"/>
      <c r="AA312" s="155"/>
    </row>
    <row r="313" spans="12:27">
      <c r="L313" s="154"/>
      <c r="M313" s="153"/>
      <c r="AA313" s="155"/>
    </row>
    <row r="314" spans="12:27">
      <c r="L314" s="154"/>
      <c r="M314" s="153"/>
      <c r="AA314" s="155"/>
    </row>
    <row r="315" spans="12:27">
      <c r="L315" s="154"/>
      <c r="M315" s="153"/>
      <c r="AA315" s="155"/>
    </row>
    <row r="316" spans="12:27">
      <c r="L316" s="154"/>
      <c r="M316" s="153"/>
      <c r="AA316" s="155"/>
    </row>
    <row r="317" spans="12:27">
      <c r="L317" s="154"/>
      <c r="M317" s="153"/>
      <c r="AA317" s="155"/>
    </row>
    <row r="318" spans="12:27">
      <c r="L318" s="154"/>
      <c r="M318" s="153"/>
      <c r="AA318" s="155"/>
    </row>
    <row r="319" spans="12:27">
      <c r="L319" s="154"/>
      <c r="M319" s="153"/>
      <c r="AA319" s="155"/>
    </row>
    <row r="320" spans="12:27">
      <c r="L320" s="154"/>
      <c r="M320" s="153"/>
      <c r="AA320" s="155"/>
    </row>
    <row r="321" spans="1:27">
      <c r="L321" s="154"/>
      <c r="M321" s="153"/>
      <c r="AA321" s="155"/>
    </row>
    <row r="322" spans="1:27">
      <c r="L322" s="154"/>
      <c r="M322" s="153"/>
      <c r="AA322" s="155"/>
    </row>
    <row r="323" spans="1:27">
      <c r="L323" s="154"/>
      <c r="M323" s="153"/>
      <c r="AA323" s="155"/>
    </row>
    <row r="324" spans="1:27">
      <c r="L324" s="154"/>
      <c r="M324" s="153"/>
      <c r="AA324" s="155"/>
    </row>
    <row r="325" spans="1:27">
      <c r="L325" s="154"/>
      <c r="M325" s="153"/>
      <c r="AA325" s="155"/>
    </row>
    <row r="326" spans="1:27">
      <c r="L326" s="154"/>
      <c r="M326" s="153"/>
      <c r="AA326" s="155"/>
    </row>
    <row r="327" spans="1:27">
      <c r="L327" s="154"/>
      <c r="M327" s="153"/>
      <c r="AA327" s="155"/>
    </row>
    <row r="328" spans="1:27">
      <c r="L328" s="154"/>
      <c r="M328" s="153"/>
      <c r="AA328" s="155"/>
    </row>
    <row r="329" spans="1:27">
      <c r="L329" s="154"/>
      <c r="M329" s="153"/>
      <c r="AA329" s="155"/>
    </row>
    <row r="330" spans="1:27">
      <c r="L330" s="154"/>
      <c r="M330" s="153"/>
      <c r="AA330" s="155"/>
    </row>
    <row r="331" spans="1:27">
      <c r="L331" s="154"/>
      <c r="M331" s="153"/>
      <c r="AA331" s="155"/>
    </row>
    <row r="332" spans="1:27"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4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</row>
    <row r="333" spans="1:27">
      <c r="B333" s="155"/>
      <c r="C333" s="155"/>
      <c r="D333" s="155"/>
      <c r="E333" s="155"/>
      <c r="F333" s="155"/>
      <c r="G333" s="155"/>
      <c r="H333" s="155"/>
      <c r="I333" s="155"/>
      <c r="J333" s="155"/>
      <c r="K333" s="155"/>
      <c r="L333" s="154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</row>
    <row r="334" spans="1:27">
      <c r="B334" s="155"/>
      <c r="C334" s="155"/>
      <c r="D334" s="155"/>
      <c r="E334" s="155"/>
      <c r="F334" s="155"/>
      <c r="G334" s="155"/>
      <c r="H334" s="155"/>
      <c r="I334" s="155"/>
      <c r="J334" s="155"/>
      <c r="K334" s="155"/>
      <c r="L334" s="154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</row>
    <row r="335" spans="1:27">
      <c r="A335" s="155"/>
      <c r="B335" s="155"/>
      <c r="C335" s="155"/>
      <c r="D335" s="155"/>
      <c r="E335" s="155"/>
      <c r="F335" s="155"/>
      <c r="G335" s="155"/>
      <c r="H335" s="155"/>
      <c r="I335" s="155"/>
      <c r="J335" s="155"/>
      <c r="K335" s="155"/>
      <c r="L335" s="154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</row>
    <row r="336" spans="1:27">
      <c r="A336" s="155"/>
      <c r="B336" s="155"/>
      <c r="C336" s="155"/>
      <c r="D336" s="155"/>
      <c r="E336" s="155"/>
      <c r="F336" s="155"/>
      <c r="G336" s="155"/>
      <c r="H336" s="155"/>
      <c r="I336" s="155"/>
      <c r="J336" s="155"/>
      <c r="K336" s="155"/>
      <c r="L336" s="154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</row>
    <row r="337" spans="1:27">
      <c r="A337" s="155"/>
      <c r="B337" s="155"/>
      <c r="C337" s="155"/>
      <c r="D337" s="155"/>
      <c r="E337" s="155"/>
      <c r="F337" s="155"/>
      <c r="G337" s="155"/>
      <c r="H337" s="155"/>
      <c r="I337" s="155"/>
      <c r="J337" s="155"/>
      <c r="K337" s="155"/>
      <c r="L337" s="154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</row>
    <row r="338" spans="1:27">
      <c r="A338" s="155"/>
      <c r="B338" s="155"/>
      <c r="C338" s="155"/>
      <c r="D338" s="155"/>
      <c r="E338" s="155"/>
      <c r="F338" s="155"/>
      <c r="G338" s="155"/>
      <c r="H338" s="155"/>
      <c r="I338" s="155"/>
      <c r="J338" s="155"/>
      <c r="K338" s="155"/>
      <c r="L338" s="154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</row>
    <row r="339" spans="1:27">
      <c r="A339" s="155"/>
      <c r="B339" s="155"/>
      <c r="C339" s="155"/>
      <c r="D339" s="155"/>
      <c r="E339" s="155"/>
      <c r="F339" s="155"/>
      <c r="G339" s="155"/>
      <c r="H339" s="155"/>
      <c r="I339" s="155"/>
      <c r="J339" s="155"/>
      <c r="K339" s="155"/>
      <c r="L339" s="154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</row>
    <row r="340" spans="1:27">
      <c r="A340" s="155"/>
      <c r="B340" s="155"/>
      <c r="C340" s="155"/>
      <c r="D340" s="155"/>
      <c r="E340" s="155"/>
      <c r="F340" s="155"/>
      <c r="G340" s="155"/>
      <c r="H340" s="155"/>
      <c r="I340" s="155"/>
      <c r="J340" s="155"/>
      <c r="K340" s="155"/>
      <c r="L340" s="154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</row>
    <row r="341" spans="1:27">
      <c r="A341" s="155"/>
      <c r="B341" s="155"/>
      <c r="C341" s="155"/>
      <c r="D341" s="155"/>
      <c r="E341" s="155"/>
      <c r="F341" s="155"/>
      <c r="G341" s="155"/>
      <c r="H341" s="155"/>
      <c r="I341" s="155"/>
      <c r="J341" s="155"/>
      <c r="K341" s="155"/>
      <c r="L341" s="154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</row>
    <row r="342" spans="1:27">
      <c r="A342" s="155"/>
      <c r="B342" s="155"/>
      <c r="C342" s="155"/>
      <c r="D342" s="155"/>
      <c r="E342" s="155"/>
      <c r="F342" s="155"/>
      <c r="G342" s="155"/>
      <c r="H342" s="155"/>
      <c r="I342" s="155"/>
      <c r="J342" s="155"/>
      <c r="K342" s="155"/>
      <c r="L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</row>
    <row r="343" spans="1:27">
      <c r="A343" s="155"/>
      <c r="B343" s="155"/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</row>
    <row r="344" spans="1:27">
      <c r="A344" s="155"/>
      <c r="B344" s="155"/>
      <c r="C344" s="155"/>
      <c r="D344" s="155"/>
      <c r="E344" s="155"/>
      <c r="F344" s="155"/>
      <c r="G344" s="155"/>
      <c r="H344" s="155"/>
      <c r="I344" s="155"/>
      <c r="J344" s="155"/>
      <c r="K344" s="155"/>
      <c r="L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</row>
    <row r="345" spans="1:27">
      <c r="A345" s="155"/>
      <c r="B345" s="155"/>
      <c r="C345" s="155"/>
      <c r="D345" s="155"/>
      <c r="E345" s="155"/>
      <c r="F345" s="155"/>
      <c r="G345" s="155"/>
      <c r="H345" s="155"/>
      <c r="I345" s="155"/>
      <c r="J345" s="155"/>
      <c r="K345" s="155"/>
      <c r="L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</row>
    <row r="346" spans="1:27">
      <c r="A346" s="155"/>
      <c r="B346" s="155"/>
      <c r="C346" s="155"/>
      <c r="D346" s="155"/>
      <c r="E346" s="155"/>
      <c r="F346" s="155"/>
      <c r="G346" s="155"/>
      <c r="H346" s="155"/>
      <c r="I346" s="155"/>
      <c r="J346" s="155"/>
      <c r="K346" s="155"/>
      <c r="L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</row>
    <row r="347" spans="1:27">
      <c r="A347" s="155"/>
      <c r="B347" s="155"/>
      <c r="C347" s="155"/>
      <c r="D347" s="155"/>
      <c r="E347" s="155"/>
      <c r="F347" s="155"/>
      <c r="G347" s="155"/>
      <c r="H347" s="155"/>
      <c r="I347" s="155"/>
      <c r="J347" s="155"/>
      <c r="K347" s="155"/>
      <c r="L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</row>
    <row r="348" spans="1:27">
      <c r="A348" s="155"/>
    </row>
    <row r="349" spans="1:27">
      <c r="A349" s="155"/>
    </row>
    <row r="350" spans="1:27">
      <c r="A350" s="155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2018-11-12T08:00:00+00:00</OpenedDate>
    <SignificantOrder xmlns="dc463f71-b30c-4ab2-9473-d307f9d35888">false</SignificantOrder>
    <Date1 xmlns="dc463f71-b30c-4ab2-9473-d307f9d35888">2018-11-12T08:00:00+00:00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180937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6346A4BCFBCF43AE33ADABC600C376" ma:contentTypeVersion="76" ma:contentTypeDescription="" ma:contentTypeScope="" ma:versionID="d051eed16ddc85869f172c9bcd6279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946F6-253B-40F3-ADF9-DBD760147FC0}">
  <ds:schemaRefs>
    <ds:schemaRef ds:uri="7429f450-94b4-4416-870d-2c1407281566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0B2858-33F4-4344-9D5C-BE615014F65B}"/>
</file>

<file path=customXml/itemProps4.xml><?xml version="1.0" encoding="utf-8"?>
<ds:datastoreItem xmlns:ds="http://schemas.openxmlformats.org/officeDocument/2006/customXml" ds:itemID="{1DC368E5-B61A-4BBA-B4D5-CB5B437FC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Company Price Out Rates Compare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Cramer, Diane</cp:lastModifiedBy>
  <cp:lastPrinted>2018-11-09T21:11:35Z</cp:lastPrinted>
  <dcterms:created xsi:type="dcterms:W3CDTF">2013-10-29T22:33:54Z</dcterms:created>
  <dcterms:modified xsi:type="dcterms:W3CDTF">2018-11-09T21:24:31Z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0x0101006E56B4D1795A2E4DB2F0B01679ED314A009D6346A4BCFBCF43AE33ADABC600C376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