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18-36 Electric Schedule 129 - Low Income Program (UE-18xxxx) (Eff. 10-04-18)\Workpapers\"/>
    </mc:Choice>
  </mc:AlternateContent>
  <bookViews>
    <workbookView xWindow="-15" yWindow="-15" windowWidth="11520" windowHeight="10860" firstSheet="6" activeTab="9"/>
  </bookViews>
  <sheets>
    <sheet name="2018 Proposed Impacts" sheetId="12" r:id="rId1"/>
    <sheet name="2018 Equal % Allocation" sheetId="13" r:id="rId2"/>
    <sheet name="2018 Street &amp; Area Lighting" sheetId="55" r:id="rId3"/>
    <sheet name="Typ Res Tot Elec" sheetId="8" r:id="rId4"/>
    <sheet name="Estimated Proforma Base Revenue" sheetId="32" r:id="rId5"/>
    <sheet name="F2018 Sch Level Delivered Load" sheetId="53" r:id="rId6"/>
    <sheet name="F2018 Electric Load" sheetId="50" r:id="rId7"/>
    <sheet name="F2018 Forecast Cust" sheetId="52" r:id="rId8"/>
    <sheet name="2017 Equal % Allocation " sheetId="40" r:id="rId9"/>
    <sheet name="Revenue Requirements 2017-2018" sheetId="45" r:id="rId10"/>
  </sheets>
  <externalReferences>
    <externalReference r:id="rId11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 localSheetId="2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8">'2017 Equal % Allocation '!$A$1:$J$50</definedName>
    <definedName name="_xlnm.Print_Area" localSheetId="1">'2018 Equal % Allocation'!$A$1:$I$49</definedName>
    <definedName name="_xlnm.Print_Area" localSheetId="0">'2018 Proposed Impacts'!$A$1:$L$47</definedName>
    <definedName name="_xlnm.Print_Area" localSheetId="2">'2018 Street &amp; Area Lighting'!$A$1:$J$200</definedName>
    <definedName name="_xlnm.Print_Area" localSheetId="4">'Estimated Proforma Base Revenue'!$A$1:$K$44</definedName>
    <definedName name="_xlnm.Print_Area" localSheetId="9">'Revenue Requirements 2017-2018'!$B$1:$I$43</definedName>
    <definedName name="_xlnm.Print_Area" localSheetId="3">'Typ Res Tot Elec'!$A$1:$S$64</definedName>
    <definedName name="_xlnm.Print_Titles" localSheetId="2">'2018 Street &amp; Area Lighting'!$1:$23</definedName>
    <definedName name="_xlnm.Print_Titles" localSheetId="5">'F2018 Sch Level Delivered Load'!$A:$B,'F2018 Sch Level Delivered Load'!$1:$7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</workbook>
</file>

<file path=xl/calcChain.xml><?xml version="1.0" encoding="utf-8"?>
<calcChain xmlns="http://schemas.openxmlformats.org/spreadsheetml/2006/main">
  <c r="E200" i="55" l="1"/>
  <c r="E196" i="55"/>
  <c r="E192" i="55"/>
  <c r="E156" i="55"/>
  <c r="E152" i="55"/>
  <c r="E146" i="55"/>
  <c r="E142" i="55"/>
  <c r="E136" i="55"/>
  <c r="E132" i="55"/>
  <c r="E126" i="55"/>
  <c r="E122" i="55"/>
  <c r="E161" i="55"/>
  <c r="E199" i="55"/>
  <c r="E198" i="55"/>
  <c r="E197" i="55"/>
  <c r="E195" i="55"/>
  <c r="E194" i="55"/>
  <c r="E193" i="55"/>
  <c r="E191" i="55"/>
  <c r="E190" i="55"/>
  <c r="E189" i="55"/>
  <c r="E188" i="55"/>
  <c r="E187" i="55"/>
  <c r="E186" i="55"/>
  <c r="E183" i="55"/>
  <c r="E182" i="55"/>
  <c r="E180" i="55"/>
  <c r="E179" i="55"/>
  <c r="E178" i="55"/>
  <c r="E177" i="55"/>
  <c r="E175" i="55"/>
  <c r="E174" i="55"/>
  <c r="E173" i="55"/>
  <c r="E172" i="55"/>
  <c r="E171" i="55"/>
  <c r="E169" i="55"/>
  <c r="E168" i="55"/>
  <c r="E167" i="55"/>
  <c r="E166" i="55"/>
  <c r="E165" i="55"/>
  <c r="E164" i="55"/>
  <c r="E121" i="55"/>
  <c r="E123" i="55"/>
  <c r="E124" i="55"/>
  <c r="E125" i="55"/>
  <c r="E127" i="55"/>
  <c r="E130" i="55"/>
  <c r="E131" i="55"/>
  <c r="E133" i="55"/>
  <c r="E134" i="55"/>
  <c r="E135" i="55"/>
  <c r="E137" i="55"/>
  <c r="E138" i="55"/>
  <c r="E141" i="55"/>
  <c r="E143" i="55"/>
  <c r="E144" i="55"/>
  <c r="E145" i="55"/>
  <c r="E148" i="55"/>
  <c r="E150" i="55"/>
  <c r="E151" i="55"/>
  <c r="E153" i="55"/>
  <c r="E154" i="55"/>
  <c r="E155" i="55"/>
  <c r="E157" i="55"/>
  <c r="E158" i="55"/>
  <c r="E120" i="55"/>
  <c r="E119" i="55"/>
  <c r="E116" i="55"/>
  <c r="E115" i="55"/>
  <c r="E114" i="55"/>
  <c r="E113" i="55"/>
  <c r="E112" i="55"/>
  <c r="E111" i="55"/>
  <c r="E110" i="55"/>
  <c r="E109" i="55"/>
  <c r="E108" i="55"/>
  <c r="E106" i="55"/>
  <c r="E105" i="55"/>
  <c r="E104" i="55"/>
  <c r="E103" i="55"/>
  <c r="E102" i="55"/>
  <c r="E101" i="55"/>
  <c r="E99" i="55"/>
  <c r="E98" i="55"/>
  <c r="E97" i="55"/>
  <c r="E96" i="55"/>
  <c r="E95" i="55"/>
  <c r="E94" i="55"/>
  <c r="E93" i="55"/>
  <c r="E92" i="55"/>
  <c r="E91" i="55"/>
  <c r="E89" i="55"/>
  <c r="E88" i="55"/>
  <c r="E87" i="55"/>
  <c r="E86" i="55"/>
  <c r="E85" i="55"/>
  <c r="E84" i="55"/>
  <c r="E83" i="55"/>
  <c r="E82" i="55"/>
  <c r="E81" i="55"/>
  <c r="E79" i="55"/>
  <c r="E78" i="55"/>
  <c r="E77" i="55"/>
  <c r="E76" i="55"/>
  <c r="E75" i="55"/>
  <c r="E73" i="55"/>
  <c r="E72" i="55"/>
  <c r="E71" i="55"/>
  <c r="E70" i="55"/>
  <c r="E69" i="55"/>
  <c r="E68" i="55"/>
  <c r="E67" i="55"/>
  <c r="E66" i="55"/>
  <c r="E65" i="55"/>
  <c r="E62" i="55"/>
  <c r="E61" i="55"/>
  <c r="E60" i="55"/>
  <c r="E59" i="55"/>
  <c r="E58" i="55"/>
  <c r="E57" i="55"/>
  <c r="E56" i="55"/>
  <c r="E54" i="55"/>
  <c r="E53" i="55"/>
  <c r="E52" i="55"/>
  <c r="E51" i="55"/>
  <c r="E50" i="55"/>
  <c r="E49" i="55"/>
  <c r="E48" i="55"/>
  <c r="E47" i="55"/>
  <c r="E44" i="55"/>
  <c r="E43" i="55"/>
  <c r="E42" i="55"/>
  <c r="E41" i="55"/>
  <c r="E40" i="55"/>
  <c r="E39" i="55"/>
  <c r="E38" i="55"/>
  <c r="E37" i="55"/>
  <c r="E36" i="55"/>
  <c r="E33" i="55"/>
  <c r="E32" i="55"/>
  <c r="E31" i="55"/>
  <c r="E30" i="55"/>
  <c r="E29" i="55"/>
  <c r="E28" i="55"/>
  <c r="E27" i="55"/>
  <c r="E25" i="55"/>
  <c r="A11" i="55" l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A35" i="55" s="1"/>
  <c r="A36" i="55" s="1"/>
  <c r="A37" i="55" s="1"/>
  <c r="A38" i="55" s="1"/>
  <c r="A39" i="55" s="1"/>
  <c r="A40" i="55" s="1"/>
  <c r="A41" i="55" s="1"/>
  <c r="A42" i="55" s="1"/>
  <c r="A43" i="55" s="1"/>
  <c r="A44" i="55" s="1"/>
  <c r="A45" i="55" s="1"/>
  <c r="A46" i="55" s="1"/>
  <c r="A47" i="55" s="1"/>
  <c r="A48" i="55" s="1"/>
  <c r="A49" i="55" s="1"/>
  <c r="A50" i="55" s="1"/>
  <c r="A51" i="55" s="1"/>
  <c r="A52" i="55" s="1"/>
  <c r="A53" i="55" s="1"/>
  <c r="A54" i="55" s="1"/>
  <c r="A55" i="55" s="1"/>
  <c r="A56" i="55" s="1"/>
  <c r="A57" i="55" s="1"/>
  <c r="A58" i="55" s="1"/>
  <c r="A59" i="55" s="1"/>
  <c r="A60" i="55" s="1"/>
  <c r="A61" i="55" s="1"/>
  <c r="A62" i="55" s="1"/>
  <c r="A63" i="55" s="1"/>
  <c r="A64" i="55" s="1"/>
  <c r="A65" i="55" s="1"/>
  <c r="A66" i="55" s="1"/>
  <c r="A67" i="55" s="1"/>
  <c r="A68" i="55" s="1"/>
  <c r="A69" i="55" s="1"/>
  <c r="A70" i="55" s="1"/>
  <c r="A71" i="55" s="1"/>
  <c r="A72" i="55" s="1"/>
  <c r="A73" i="55" s="1"/>
  <c r="A74" i="55" s="1"/>
  <c r="A75" i="55" s="1"/>
  <c r="A76" i="55" s="1"/>
  <c r="A77" i="55" s="1"/>
  <c r="A78" i="55" s="1"/>
  <c r="A79" i="55" s="1"/>
  <c r="A80" i="55" s="1"/>
  <c r="A81" i="55" s="1"/>
  <c r="A82" i="55" s="1"/>
  <c r="A83" i="55" s="1"/>
  <c r="A84" i="55" s="1"/>
  <c r="A85" i="55" s="1"/>
  <c r="A86" i="55" s="1"/>
  <c r="A87" i="55" s="1"/>
  <c r="A88" i="55" s="1"/>
  <c r="A89" i="55" s="1"/>
  <c r="A90" i="55" s="1"/>
  <c r="A91" i="55" s="1"/>
  <c r="A92" i="55" s="1"/>
  <c r="A93" i="55" s="1"/>
  <c r="A94" i="55" s="1"/>
  <c r="A95" i="55" s="1"/>
  <c r="A96" i="55" s="1"/>
  <c r="A97" i="55" s="1"/>
  <c r="A98" i="55" s="1"/>
  <c r="A99" i="55" s="1"/>
  <c r="A100" i="55" s="1"/>
  <c r="A101" i="55" s="1"/>
  <c r="A102" i="55" s="1"/>
  <c r="A103" i="55" s="1"/>
  <c r="A104" i="55" s="1"/>
  <c r="A105" i="55" s="1"/>
  <c r="A106" i="55" s="1"/>
  <c r="A107" i="55" s="1"/>
  <c r="A108" i="55" s="1"/>
  <c r="A109" i="55" s="1"/>
  <c r="A110" i="55" s="1"/>
  <c r="A111" i="55" s="1"/>
  <c r="A112" i="55" s="1"/>
  <c r="A113" i="55" s="1"/>
  <c r="A114" i="55" s="1"/>
  <c r="A115" i="55" s="1"/>
  <c r="A116" i="55" s="1"/>
  <c r="A117" i="55" s="1"/>
  <c r="A118" i="55" s="1"/>
  <c r="A119" i="55" s="1"/>
  <c r="A120" i="55" s="1"/>
  <c r="A121" i="55" s="1"/>
  <c r="A122" i="55" s="1"/>
  <c r="A123" i="55" s="1"/>
  <c r="A124" i="55" s="1"/>
  <c r="A125" i="55" s="1"/>
  <c r="A126" i="55" s="1"/>
  <c r="A127" i="55" s="1"/>
  <c r="A128" i="55" s="1"/>
  <c r="A129" i="55" s="1"/>
  <c r="A130" i="55" s="1"/>
  <c r="A131" i="55" s="1"/>
  <c r="A132" i="55" s="1"/>
  <c r="A133" i="55" s="1"/>
  <c r="A134" i="55" s="1"/>
  <c r="A135" i="55" s="1"/>
  <c r="A136" i="55" s="1"/>
  <c r="A137" i="55" s="1"/>
  <c r="A138" i="55" s="1"/>
  <c r="A139" i="55" s="1"/>
  <c r="A140" i="55" s="1"/>
  <c r="A141" i="55" s="1"/>
  <c r="A142" i="55" s="1"/>
  <c r="A143" i="55" s="1"/>
  <c r="A144" i="55" s="1"/>
  <c r="A145" i="55" s="1"/>
  <c r="A146" i="55" s="1"/>
  <c r="A147" i="55" s="1"/>
  <c r="A148" i="55" s="1"/>
  <c r="A149" i="55" s="1"/>
  <c r="A150" i="55" s="1"/>
  <c r="A151" i="55" s="1"/>
  <c r="A152" i="55" s="1"/>
  <c r="A153" i="55" s="1"/>
  <c r="A154" i="55" s="1"/>
  <c r="A155" i="55" s="1"/>
  <c r="A156" i="55" s="1"/>
  <c r="A157" i="55" s="1"/>
  <c r="A158" i="55" s="1"/>
  <c r="A159" i="55" s="1"/>
  <c r="A160" i="55" s="1"/>
  <c r="A161" i="55" s="1"/>
  <c r="A162" i="55" s="1"/>
  <c r="A163" i="55" s="1"/>
  <c r="A164" i="55" s="1"/>
  <c r="A165" i="55" s="1"/>
  <c r="A166" i="55" s="1"/>
  <c r="A167" i="55" s="1"/>
  <c r="A168" i="55" s="1"/>
  <c r="A169" i="55" s="1"/>
  <c r="A170" i="55" s="1"/>
  <c r="A171" i="55" s="1"/>
  <c r="A172" i="55" s="1"/>
  <c r="A173" i="55" s="1"/>
  <c r="A174" i="55" s="1"/>
  <c r="A175" i="55" s="1"/>
  <c r="A176" i="55" s="1"/>
  <c r="A177" i="55" s="1"/>
  <c r="A178" i="55" s="1"/>
  <c r="A179" i="55" s="1"/>
  <c r="A180" i="55" s="1"/>
  <c r="A181" i="55" s="1"/>
  <c r="A182" i="55" s="1"/>
  <c r="A183" i="55" s="1"/>
  <c r="A184" i="55" s="1"/>
  <c r="A185" i="55" s="1"/>
  <c r="A186" i="55" s="1"/>
  <c r="A187" i="55" s="1"/>
  <c r="A188" i="55" s="1"/>
  <c r="A189" i="55" s="1"/>
  <c r="A190" i="55" s="1"/>
  <c r="A191" i="55" s="1"/>
  <c r="A192" i="55" s="1"/>
  <c r="A193" i="55" s="1"/>
  <c r="A194" i="55" s="1"/>
  <c r="A195" i="55" s="1"/>
  <c r="A196" i="55" s="1"/>
  <c r="A197" i="55" s="1"/>
  <c r="A198" i="55" s="1"/>
  <c r="A199" i="55" s="1"/>
  <c r="A200" i="55" s="1"/>
  <c r="U2" i="53" l="1"/>
  <c r="U1" i="53"/>
  <c r="AT2" i="53"/>
  <c r="AW16" i="53"/>
  <c r="BC31" i="53"/>
  <c r="BC30" i="53"/>
  <c r="BC29" i="53"/>
  <c r="BC28" i="53"/>
  <c r="BC27" i="53"/>
  <c r="BC26" i="53"/>
  <c r="BC25" i="53"/>
  <c r="BC24" i="53"/>
  <c r="BC23" i="53"/>
  <c r="BC22" i="53"/>
  <c r="BC21" i="53"/>
  <c r="BC20" i="53"/>
  <c r="G17" i="55" l="1"/>
  <c r="G18" i="55"/>
  <c r="G15" i="55"/>
  <c r="G19" i="55"/>
  <c r="G16" i="55"/>
  <c r="G20" i="55"/>
  <c r="G14" i="55"/>
  <c r="G21" i="55"/>
  <c r="H200" i="55"/>
  <c r="H199" i="55"/>
  <c r="H198" i="55"/>
  <c r="H197" i="55"/>
  <c r="H196" i="55"/>
  <c r="H195" i="55"/>
  <c r="H194" i="55"/>
  <c r="H193" i="55"/>
  <c r="H192" i="55"/>
  <c r="H191" i="55"/>
  <c r="H190" i="55"/>
  <c r="H189" i="55"/>
  <c r="H188" i="55"/>
  <c r="H187" i="55"/>
  <c r="H186" i="55"/>
  <c r="H183" i="55"/>
  <c r="H182" i="55"/>
  <c r="H175" i="55"/>
  <c r="H116" i="55"/>
  <c r="H174" i="55"/>
  <c r="H173" i="55"/>
  <c r="H172" i="55"/>
  <c r="H171" i="55"/>
  <c r="H180" i="55"/>
  <c r="H179" i="55"/>
  <c r="H178" i="55"/>
  <c r="H177" i="55"/>
  <c r="H169" i="55"/>
  <c r="H168" i="55"/>
  <c r="H167" i="55"/>
  <c r="H166" i="55"/>
  <c r="H165" i="55"/>
  <c r="H164" i="55"/>
  <c r="H161" i="55"/>
  <c r="H20" i="55" s="1"/>
  <c r="H158" i="55"/>
  <c r="H157" i="55"/>
  <c r="H156" i="55"/>
  <c r="H155" i="55"/>
  <c r="H154" i="55"/>
  <c r="H153" i="55"/>
  <c r="H152" i="55"/>
  <c r="H151" i="55"/>
  <c r="H150" i="55"/>
  <c r="H148" i="55"/>
  <c r="H146" i="55"/>
  <c r="H145" i="55"/>
  <c r="H144" i="55"/>
  <c r="H143" i="55"/>
  <c r="H142" i="55"/>
  <c r="H141" i="55"/>
  <c r="H138" i="55"/>
  <c r="H137" i="55"/>
  <c r="H136" i="55"/>
  <c r="H135" i="55"/>
  <c r="H134" i="55"/>
  <c r="H133" i="55"/>
  <c r="H132" i="55"/>
  <c r="H131" i="55"/>
  <c r="H130" i="55"/>
  <c r="H127" i="55"/>
  <c r="H126" i="55"/>
  <c r="H125" i="55"/>
  <c r="H124" i="55"/>
  <c r="H123" i="55"/>
  <c r="H122" i="55"/>
  <c r="H121" i="55"/>
  <c r="H120" i="55"/>
  <c r="H119" i="55"/>
  <c r="H115" i="55"/>
  <c r="H114" i="55"/>
  <c r="H113" i="55"/>
  <c r="H112" i="55"/>
  <c r="H111" i="55"/>
  <c r="H110" i="55"/>
  <c r="H109" i="55"/>
  <c r="H108" i="55"/>
  <c r="H106" i="55"/>
  <c r="H105" i="55"/>
  <c r="H104" i="55"/>
  <c r="H103" i="55"/>
  <c r="H102" i="55"/>
  <c r="H101" i="55"/>
  <c r="H99" i="55"/>
  <c r="H98" i="55"/>
  <c r="H97" i="55"/>
  <c r="H96" i="55"/>
  <c r="H95" i="55"/>
  <c r="H94" i="55"/>
  <c r="H93" i="55"/>
  <c r="H92" i="55"/>
  <c r="H91" i="55"/>
  <c r="H89" i="55"/>
  <c r="H88" i="55"/>
  <c r="H87" i="55"/>
  <c r="H86" i="55"/>
  <c r="H85" i="55"/>
  <c r="H84" i="55"/>
  <c r="H83" i="55"/>
  <c r="H82" i="55"/>
  <c r="H81" i="55"/>
  <c r="H79" i="55"/>
  <c r="H78" i="55"/>
  <c r="H77" i="55"/>
  <c r="H76" i="55"/>
  <c r="H75" i="55"/>
  <c r="H73" i="55"/>
  <c r="H72" i="55"/>
  <c r="H71" i="55"/>
  <c r="H70" i="55"/>
  <c r="H69" i="55"/>
  <c r="H68" i="55"/>
  <c r="H67" i="55"/>
  <c r="H66" i="55"/>
  <c r="H65" i="55"/>
  <c r="H62" i="55"/>
  <c r="H61" i="55"/>
  <c r="H60" i="55"/>
  <c r="H59" i="55"/>
  <c r="H58" i="55"/>
  <c r="H57" i="55"/>
  <c r="H56" i="55"/>
  <c r="H54" i="55"/>
  <c r="H53" i="55"/>
  <c r="H52" i="55"/>
  <c r="H51" i="55"/>
  <c r="H50" i="55"/>
  <c r="H49" i="55"/>
  <c r="H48" i="55"/>
  <c r="H47" i="55"/>
  <c r="H44" i="55"/>
  <c r="H43" i="55"/>
  <c r="H42" i="55"/>
  <c r="H41" i="55"/>
  <c r="H40" i="55"/>
  <c r="H39" i="55"/>
  <c r="H38" i="55"/>
  <c r="H37" i="55"/>
  <c r="H36" i="55"/>
  <c r="H33" i="55"/>
  <c r="H32" i="55"/>
  <c r="H31" i="55"/>
  <c r="H30" i="55"/>
  <c r="H29" i="55"/>
  <c r="H28" i="55"/>
  <c r="H27" i="55"/>
  <c r="H25" i="55"/>
  <c r="B28" i="55"/>
  <c r="B29" i="55" s="1"/>
  <c r="C28" i="55"/>
  <c r="C29" i="55" s="1"/>
  <c r="C30" i="55" s="1"/>
  <c r="C31" i="55" s="1"/>
  <c r="C32" i="55" s="1"/>
  <c r="C33" i="55" s="1"/>
  <c r="B31" i="55"/>
  <c r="B32" i="55" s="1"/>
  <c r="B33" i="55" s="1"/>
  <c r="B48" i="55"/>
  <c r="B49" i="55" s="1"/>
  <c r="B50" i="55" s="1"/>
  <c r="B51" i="55" s="1"/>
  <c r="C60" i="55"/>
  <c r="C61" i="55" s="1"/>
  <c r="C62" i="55" s="1"/>
  <c r="B66" i="55"/>
  <c r="B67" i="55" s="1"/>
  <c r="B68" i="55" s="1"/>
  <c r="B69" i="55" s="1"/>
  <c r="B70" i="55" s="1"/>
  <c r="B71" i="55" s="1"/>
  <c r="B72" i="55" s="1"/>
  <c r="B73" i="55" s="1"/>
  <c r="B75" i="55" s="1"/>
  <c r="B76" i="55" s="1"/>
  <c r="B77" i="55" s="1"/>
  <c r="B78" i="55" s="1"/>
  <c r="B79" i="55" s="1"/>
  <c r="B81" i="55" s="1"/>
  <c r="B82" i="55" s="1"/>
  <c r="B83" i="55" s="1"/>
  <c r="B84" i="55" s="1"/>
  <c r="B85" i="55" s="1"/>
  <c r="B86" i="55" s="1"/>
  <c r="B87" i="55" s="1"/>
  <c r="B88" i="55" s="1"/>
  <c r="B89" i="55" s="1"/>
  <c r="B92" i="55"/>
  <c r="B93" i="55" s="1"/>
  <c r="B94" i="55" s="1"/>
  <c r="B95" i="55" s="1"/>
  <c r="B96" i="55" s="1"/>
  <c r="B97" i="55" s="1"/>
  <c r="B98" i="55" s="1"/>
  <c r="B99" i="55" s="1"/>
  <c r="B101" i="55" s="1"/>
  <c r="B102" i="55" s="1"/>
  <c r="B103" i="55" s="1"/>
  <c r="B104" i="55" s="1"/>
  <c r="B105" i="55" s="1"/>
  <c r="B106" i="55" s="1"/>
  <c r="B108" i="55" s="1"/>
  <c r="B109" i="55" s="1"/>
  <c r="B110" i="55" s="1"/>
  <c r="B111" i="55" s="1"/>
  <c r="B112" i="55" s="1"/>
  <c r="B113" i="55" s="1"/>
  <c r="B114" i="55" s="1"/>
  <c r="B115" i="55" s="1"/>
  <c r="B116" i="55" s="1"/>
  <c r="B120" i="55"/>
  <c r="B121" i="55" s="1"/>
  <c r="B122" i="55" s="1"/>
  <c r="B123" i="55" s="1"/>
  <c r="B124" i="55" s="1"/>
  <c r="B125" i="55" s="1"/>
  <c r="B126" i="55" s="1"/>
  <c r="B127" i="55" s="1"/>
  <c r="B130" i="55" s="1"/>
  <c r="B131" i="55" s="1"/>
  <c r="B132" i="55" s="1"/>
  <c r="B133" i="55" s="1"/>
  <c r="B134" i="55" s="1"/>
  <c r="B135" i="55" s="1"/>
  <c r="B136" i="55" s="1"/>
  <c r="B137" i="55" s="1"/>
  <c r="B138" i="55" s="1"/>
  <c r="B142" i="55"/>
  <c r="B143" i="55" s="1"/>
  <c r="B144" i="55" s="1"/>
  <c r="B145" i="55" s="1"/>
  <c r="B146" i="55" s="1"/>
  <c r="B148" i="55" s="1"/>
  <c r="B165" i="55"/>
  <c r="B166" i="55" s="1"/>
  <c r="B167" i="55" s="1"/>
  <c r="B168" i="55" s="1"/>
  <c r="B169" i="55" s="1"/>
  <c r="B172" i="55"/>
  <c r="B173" i="55" s="1"/>
  <c r="B174" i="55" s="1"/>
  <c r="B175" i="55" s="1"/>
  <c r="B182" i="55"/>
  <c r="B183" i="55" s="1"/>
  <c r="B187" i="55"/>
  <c r="B188" i="55" s="1"/>
  <c r="B189" i="55" s="1"/>
  <c r="B190" i="55" s="1"/>
  <c r="B191" i="55" s="1"/>
  <c r="B192" i="55" s="1"/>
  <c r="B193" i="55" s="1"/>
  <c r="B194" i="55" s="1"/>
  <c r="B195" i="55" s="1"/>
  <c r="B196" i="55" s="1"/>
  <c r="B197" i="55" s="1"/>
  <c r="B198" i="55" s="1"/>
  <c r="B199" i="55" s="1"/>
  <c r="B200" i="55" s="1"/>
  <c r="H18" i="55" l="1"/>
  <c r="H21" i="55"/>
  <c r="H14" i="55"/>
  <c r="H19" i="55"/>
  <c r="H16" i="55"/>
  <c r="H17" i="55"/>
  <c r="H15" i="55"/>
  <c r="G22" i="55"/>
  <c r="B56" i="55"/>
  <c r="B52" i="55"/>
  <c r="B53" i="55" s="1"/>
  <c r="B177" i="55"/>
  <c r="B178" i="55" s="1"/>
  <c r="B179" i="55" s="1"/>
  <c r="B180" i="55" s="1"/>
  <c r="B57" i="55" l="1"/>
  <c r="H22" i="55"/>
  <c r="B54" i="55"/>
  <c r="B59" i="55" s="1"/>
  <c r="B60" i="55" s="1"/>
  <c r="B61" i="55" s="1"/>
  <c r="B62" i="55" s="1"/>
  <c r="B58" i="55"/>
  <c r="H10" i="55"/>
  <c r="BH13" i="53" l="1"/>
  <c r="BG13" i="53"/>
  <c r="BF13" i="53"/>
  <c r="BE13" i="53"/>
  <c r="BD13" i="53"/>
  <c r="BC13" i="53"/>
  <c r="BH12" i="53"/>
  <c r="BG12" i="53"/>
  <c r="BF12" i="53"/>
  <c r="BE12" i="53"/>
  <c r="BD12" i="53"/>
  <c r="BC12" i="53"/>
  <c r="BH11" i="53"/>
  <c r="BG11" i="53"/>
  <c r="BF11" i="53"/>
  <c r="BE11" i="53"/>
  <c r="BD11" i="53"/>
  <c r="BC11" i="53"/>
  <c r="BH10" i="53"/>
  <c r="BG10" i="53"/>
  <c r="BF10" i="53"/>
  <c r="BE10" i="53"/>
  <c r="BD10" i="53"/>
  <c r="BC10" i="53"/>
  <c r="BH9" i="53"/>
  <c r="BG9" i="53"/>
  <c r="BF9" i="53"/>
  <c r="BE9" i="53"/>
  <c r="BD9" i="53"/>
  <c r="BC9" i="53"/>
  <c r="BH8" i="53"/>
  <c r="BG8" i="53"/>
  <c r="BF8" i="53"/>
  <c r="BE8" i="53"/>
  <c r="BD8" i="53"/>
  <c r="BC8" i="53"/>
  <c r="BC16" i="53"/>
  <c r="BC15" i="53"/>
  <c r="BC14" i="53"/>
  <c r="BC18" i="53"/>
  <c r="BC17" i="53"/>
  <c r="BC19" i="53"/>
  <c r="BH17" i="53"/>
  <c r="AT1" i="53"/>
  <c r="AQ33" i="53"/>
  <c r="AP33" i="53"/>
  <c r="AO33" i="53"/>
  <c r="AM33" i="53"/>
  <c r="AL33" i="53"/>
  <c r="AK33" i="53"/>
  <c r="AJ33" i="53"/>
  <c r="AI33" i="53"/>
  <c r="AH33" i="53"/>
  <c r="AG33" i="53"/>
  <c r="AF33" i="53"/>
  <c r="AE33" i="53"/>
  <c r="AD33" i="53"/>
  <c r="AC33" i="53"/>
  <c r="AB33" i="53"/>
  <c r="AA33" i="53"/>
  <c r="Z33" i="53"/>
  <c r="Y33" i="53"/>
  <c r="X33" i="53"/>
  <c r="W33" i="53"/>
  <c r="V33" i="53"/>
  <c r="U33" i="53"/>
  <c r="T33" i="53"/>
  <c r="S33" i="53"/>
  <c r="R33" i="53"/>
  <c r="Q33" i="53"/>
  <c r="P33" i="53"/>
  <c r="O33" i="53"/>
  <c r="N33" i="53"/>
  <c r="M33" i="53"/>
  <c r="L33" i="53"/>
  <c r="K33" i="53"/>
  <c r="J33" i="53"/>
  <c r="I33" i="53"/>
  <c r="H33" i="53"/>
  <c r="G33" i="53"/>
  <c r="F33" i="53"/>
  <c r="E33" i="53"/>
  <c r="D33" i="53"/>
  <c r="C33" i="53"/>
  <c r="F35" i="32" l="1"/>
  <c r="F10" i="32" l="1"/>
  <c r="F30" i="32" l="1"/>
  <c r="F29" i="32" l="1"/>
  <c r="F21" i="32" l="1"/>
  <c r="F14" i="32"/>
  <c r="F17" i="32" l="1"/>
  <c r="F16" i="32" l="1"/>
  <c r="F23" i="32"/>
  <c r="F22" i="32" l="1"/>
  <c r="F26" i="32"/>
  <c r="F15" i="32" l="1"/>
  <c r="G33" i="32" l="1"/>
  <c r="J33" i="32" l="1"/>
  <c r="F33" i="32" l="1"/>
  <c r="I33" i="32"/>
  <c r="K33" i="32" s="1"/>
  <c r="G35" i="32" l="1"/>
  <c r="G39" i="32"/>
  <c r="J39" i="32" l="1"/>
  <c r="J35" i="32"/>
  <c r="I35" i="32" l="1"/>
  <c r="K35" i="32" s="1"/>
  <c r="G29" i="32" l="1"/>
  <c r="G30" i="32"/>
  <c r="J30" i="32" l="1"/>
  <c r="J29" i="32"/>
  <c r="G23" i="32" l="1"/>
  <c r="G17" i="32"/>
  <c r="G22" i="32"/>
  <c r="I30" i="32"/>
  <c r="K30" i="32" s="1"/>
  <c r="J22" i="32" l="1"/>
  <c r="J23" i="32"/>
  <c r="J17" i="32"/>
  <c r="I23" i="32" l="1"/>
  <c r="K23" i="32" s="1"/>
  <c r="I17" i="32" l="1"/>
  <c r="K17" i="32" s="1"/>
  <c r="I22" i="32"/>
  <c r="K22" i="32" s="1"/>
  <c r="I29" i="32" l="1"/>
  <c r="K29" i="32" s="1"/>
  <c r="G10" i="32" l="1"/>
  <c r="J10" i="32" l="1"/>
  <c r="I10" i="32" l="1"/>
  <c r="K10" i="32" s="1"/>
  <c r="G21" i="32"/>
  <c r="J21" i="32" l="1"/>
  <c r="G16" i="32" l="1"/>
  <c r="I21" i="32" l="1"/>
  <c r="K21" i="32" s="1"/>
  <c r="J16" i="32" l="1"/>
  <c r="I16" i="32" l="1"/>
  <c r="K16" i="32" s="1"/>
  <c r="G15" i="32"/>
  <c r="J15" i="32" l="1"/>
  <c r="I15" i="32" l="1"/>
  <c r="K15" i="32" s="1"/>
  <c r="G26" i="32" l="1"/>
  <c r="J26" i="32" l="1"/>
  <c r="G14" i="32"/>
  <c r="J14" i="32" l="1"/>
  <c r="J43" i="32" l="1"/>
  <c r="G43" i="32" l="1"/>
  <c r="I14" i="32" l="1"/>
  <c r="K14" i="32" s="1"/>
  <c r="I26" i="32"/>
  <c r="K26" i="32" s="1"/>
  <c r="F39" i="32" l="1"/>
  <c r="F43" i="32"/>
  <c r="I39" i="32" l="1"/>
  <c r="K39" i="32" s="1"/>
  <c r="I43" i="32"/>
  <c r="K43" i="32" s="1"/>
  <c r="AW31" i="53" l="1"/>
  <c r="AW30" i="53"/>
  <c r="AW29" i="53"/>
  <c r="AW28" i="53"/>
  <c r="AW25" i="53"/>
  <c r="AW23" i="53"/>
  <c r="AW21" i="53"/>
  <c r="AW19" i="53"/>
  <c r="AW17" i="53"/>
  <c r="AW18" i="53"/>
  <c r="AW15" i="53"/>
  <c r="AW13" i="53"/>
  <c r="AW12" i="53"/>
  <c r="AW10" i="53"/>
  <c r="AW9" i="53"/>
  <c r="AW8" i="53"/>
  <c r="BH31" i="53"/>
  <c r="BG31" i="53"/>
  <c r="BF31" i="53"/>
  <c r="BE31" i="53"/>
  <c r="BD31" i="53"/>
  <c r="BB31" i="53"/>
  <c r="BA31" i="53"/>
  <c r="AZ31" i="53"/>
  <c r="AY31" i="53"/>
  <c r="AX31" i="53"/>
  <c r="AV31" i="53"/>
  <c r="AU31" i="53"/>
  <c r="AT31" i="53"/>
  <c r="BH30" i="53"/>
  <c r="BG30" i="53"/>
  <c r="BF30" i="53"/>
  <c r="BE30" i="53"/>
  <c r="BD30" i="53"/>
  <c r="BB30" i="53"/>
  <c r="BA30" i="53"/>
  <c r="AZ30" i="53"/>
  <c r="AY30" i="53"/>
  <c r="AX30" i="53"/>
  <c r="AV30" i="53"/>
  <c r="AU30" i="53"/>
  <c r="AT30" i="53"/>
  <c r="BH29" i="53"/>
  <c r="BG29" i="53"/>
  <c r="BF29" i="53"/>
  <c r="BE29" i="53"/>
  <c r="BD29" i="53"/>
  <c r="BB29" i="53"/>
  <c r="BA29" i="53"/>
  <c r="AZ29" i="53"/>
  <c r="AY29" i="53"/>
  <c r="AX29" i="53"/>
  <c r="AV29" i="53"/>
  <c r="AU29" i="53"/>
  <c r="AT29" i="53"/>
  <c r="BH28" i="53"/>
  <c r="BG28" i="53"/>
  <c r="BF28" i="53"/>
  <c r="BE28" i="53"/>
  <c r="BD28" i="53"/>
  <c r="BB28" i="53"/>
  <c r="BA28" i="53"/>
  <c r="AZ28" i="53"/>
  <c r="AY28" i="53"/>
  <c r="AX28" i="53"/>
  <c r="AV28" i="53"/>
  <c r="AU28" i="53"/>
  <c r="AT28" i="53"/>
  <c r="BH27" i="53"/>
  <c r="BG27" i="53"/>
  <c r="BF27" i="53"/>
  <c r="BE27" i="53"/>
  <c r="BD27" i="53"/>
  <c r="BB27" i="53"/>
  <c r="BA27" i="53"/>
  <c r="AZ27" i="53"/>
  <c r="AY27" i="53"/>
  <c r="AX27" i="53"/>
  <c r="AW27" i="53"/>
  <c r="AV27" i="53"/>
  <c r="AU27" i="53"/>
  <c r="AT27" i="53"/>
  <c r="BH26" i="53"/>
  <c r="BG26" i="53"/>
  <c r="BF26" i="53"/>
  <c r="BE26" i="53"/>
  <c r="BD26" i="53"/>
  <c r="BB26" i="53"/>
  <c r="BA26" i="53"/>
  <c r="AZ26" i="53"/>
  <c r="AY26" i="53"/>
  <c r="AX26" i="53"/>
  <c r="AW26" i="53"/>
  <c r="AV26" i="53"/>
  <c r="AU26" i="53"/>
  <c r="AT26" i="53"/>
  <c r="BH25" i="53"/>
  <c r="BG25" i="53"/>
  <c r="BF25" i="53"/>
  <c r="BE25" i="53"/>
  <c r="BD25" i="53"/>
  <c r="BB25" i="53"/>
  <c r="BA25" i="53"/>
  <c r="AZ25" i="53"/>
  <c r="AY25" i="53"/>
  <c r="AX25" i="53"/>
  <c r="AV25" i="53"/>
  <c r="AU25" i="53"/>
  <c r="AT25" i="53"/>
  <c r="BH24" i="53"/>
  <c r="BG24" i="53"/>
  <c r="BF24" i="53"/>
  <c r="BE24" i="53"/>
  <c r="BD24" i="53"/>
  <c r="BB24" i="53"/>
  <c r="BA24" i="53"/>
  <c r="AZ24" i="53"/>
  <c r="AY24" i="53"/>
  <c r="AX24" i="53"/>
  <c r="AW24" i="53"/>
  <c r="AV24" i="53"/>
  <c r="AU24" i="53"/>
  <c r="AT24" i="53"/>
  <c r="BH23" i="53"/>
  <c r="BG23" i="53"/>
  <c r="BF23" i="53"/>
  <c r="BE23" i="53"/>
  <c r="BD23" i="53"/>
  <c r="BB23" i="53"/>
  <c r="BA23" i="53"/>
  <c r="AZ23" i="53"/>
  <c r="AY23" i="53"/>
  <c r="AX23" i="53"/>
  <c r="AV23" i="53"/>
  <c r="AU23" i="53"/>
  <c r="AT23" i="53"/>
  <c r="BH22" i="53"/>
  <c r="BG22" i="53"/>
  <c r="BF22" i="53"/>
  <c r="BE22" i="53"/>
  <c r="BD22" i="53"/>
  <c r="BB22" i="53"/>
  <c r="BA22" i="53"/>
  <c r="AZ22" i="53"/>
  <c r="AY22" i="53"/>
  <c r="AX22" i="53"/>
  <c r="AW22" i="53"/>
  <c r="AV22" i="53"/>
  <c r="AU22" i="53"/>
  <c r="AT22" i="53"/>
  <c r="BH21" i="53"/>
  <c r="BG21" i="53"/>
  <c r="BF21" i="53"/>
  <c r="BE21" i="53"/>
  <c r="BD21" i="53"/>
  <c r="BB21" i="53"/>
  <c r="BA21" i="53"/>
  <c r="AZ21" i="53"/>
  <c r="AY21" i="53"/>
  <c r="AX21" i="53"/>
  <c r="AV21" i="53"/>
  <c r="AU21" i="53"/>
  <c r="AT21" i="53"/>
  <c r="BH20" i="53"/>
  <c r="BG20" i="53"/>
  <c r="BF20" i="53"/>
  <c r="BE20" i="53"/>
  <c r="BD20" i="53"/>
  <c r="BB20" i="53"/>
  <c r="BA20" i="53"/>
  <c r="AZ20" i="53"/>
  <c r="AY20" i="53"/>
  <c r="AX20" i="53"/>
  <c r="AW20" i="53"/>
  <c r="AV20" i="53"/>
  <c r="AU20" i="53"/>
  <c r="AT20" i="53"/>
  <c r="BH19" i="53"/>
  <c r="BG19" i="53"/>
  <c r="BF19" i="53"/>
  <c r="BE19" i="53"/>
  <c r="BD19" i="53"/>
  <c r="BB19" i="53"/>
  <c r="BA19" i="53"/>
  <c r="AZ19" i="53"/>
  <c r="AY19" i="53"/>
  <c r="AX19" i="53"/>
  <c r="AV19" i="53"/>
  <c r="AU19" i="53"/>
  <c r="AT19" i="53"/>
  <c r="BH18" i="53"/>
  <c r="BG18" i="53"/>
  <c r="BF18" i="53"/>
  <c r="BE18" i="53"/>
  <c r="BD18" i="53"/>
  <c r="BB18" i="53"/>
  <c r="BA18" i="53"/>
  <c r="AZ18" i="53"/>
  <c r="AY18" i="53"/>
  <c r="AX18" i="53"/>
  <c r="AV18" i="53"/>
  <c r="AU18" i="53"/>
  <c r="AT18" i="53"/>
  <c r="BG17" i="53"/>
  <c r="BF17" i="53"/>
  <c r="BE17" i="53"/>
  <c r="BD17" i="53"/>
  <c r="BB17" i="53"/>
  <c r="BA17" i="53"/>
  <c r="AZ17" i="53"/>
  <c r="AY17" i="53"/>
  <c r="AX17" i="53"/>
  <c r="AV17" i="53"/>
  <c r="AU17" i="53"/>
  <c r="AT17" i="53"/>
  <c r="BH16" i="53"/>
  <c r="BG16" i="53"/>
  <c r="BF16" i="53"/>
  <c r="BE16" i="53"/>
  <c r="BD16" i="53"/>
  <c r="BB16" i="53"/>
  <c r="BA16" i="53"/>
  <c r="AZ16" i="53"/>
  <c r="AY16" i="53"/>
  <c r="AX16" i="53"/>
  <c r="AV16" i="53"/>
  <c r="AU16" i="53"/>
  <c r="AT16" i="53"/>
  <c r="BH15" i="53"/>
  <c r="BG15" i="53"/>
  <c r="BF15" i="53"/>
  <c r="BE15" i="53"/>
  <c r="BD15" i="53"/>
  <c r="BB15" i="53"/>
  <c r="BA15" i="53"/>
  <c r="AZ15" i="53"/>
  <c r="AY15" i="53"/>
  <c r="AX15" i="53"/>
  <c r="AV15" i="53"/>
  <c r="AU15" i="53"/>
  <c r="AT15" i="53"/>
  <c r="BH14" i="53"/>
  <c r="BG14" i="53"/>
  <c r="BF14" i="53"/>
  <c r="BE14" i="53"/>
  <c r="BD14" i="53"/>
  <c r="BB14" i="53"/>
  <c r="BA14" i="53"/>
  <c r="AZ14" i="53"/>
  <c r="AY14" i="53"/>
  <c r="AX14" i="53"/>
  <c r="AW14" i="53"/>
  <c r="AV14" i="53"/>
  <c r="AU14" i="53"/>
  <c r="AT14" i="53"/>
  <c r="BB13" i="53"/>
  <c r="BA13" i="53"/>
  <c r="AZ13" i="53"/>
  <c r="AY13" i="53"/>
  <c r="AX13" i="53"/>
  <c r="AV13" i="53"/>
  <c r="AU13" i="53"/>
  <c r="AT13" i="53"/>
  <c r="BB12" i="53"/>
  <c r="BA12" i="53"/>
  <c r="AZ12" i="53"/>
  <c r="AY12" i="53"/>
  <c r="AX12" i="53"/>
  <c r="AV12" i="53"/>
  <c r="AU12" i="53"/>
  <c r="AT12" i="53"/>
  <c r="BB11" i="53"/>
  <c r="BA11" i="53"/>
  <c r="AZ11" i="53"/>
  <c r="AY11" i="53"/>
  <c r="AX11" i="53"/>
  <c r="AW11" i="53"/>
  <c r="AV11" i="53"/>
  <c r="AU11" i="53"/>
  <c r="AT11" i="53"/>
  <c r="BB10" i="53"/>
  <c r="BA10" i="53"/>
  <c r="AZ10" i="53"/>
  <c r="AY10" i="53"/>
  <c r="AX10" i="53"/>
  <c r="AV10" i="53"/>
  <c r="AU10" i="53"/>
  <c r="AT10" i="53"/>
  <c r="BB9" i="53"/>
  <c r="BA9" i="53"/>
  <c r="AZ9" i="53"/>
  <c r="AY9" i="53"/>
  <c r="AX9" i="53"/>
  <c r="AV9" i="53"/>
  <c r="AU9" i="53"/>
  <c r="AT9" i="53"/>
  <c r="BB8" i="53"/>
  <c r="BA8" i="53"/>
  <c r="AZ8" i="53"/>
  <c r="AY8" i="53"/>
  <c r="AX8" i="53"/>
  <c r="AV8" i="53"/>
  <c r="AU8" i="53"/>
  <c r="AT8" i="53"/>
  <c r="AN31" i="53"/>
  <c r="AR31" i="53" s="1"/>
  <c r="BJ31" i="53" s="1"/>
  <c r="AN30" i="53"/>
  <c r="AR30" i="53" s="1"/>
  <c r="BJ30" i="53" s="1"/>
  <c r="AN29" i="53"/>
  <c r="AR29" i="53" s="1"/>
  <c r="BJ29" i="53" s="1"/>
  <c r="AN28" i="53"/>
  <c r="AR28" i="53" s="1"/>
  <c r="BJ28" i="53" s="1"/>
  <c r="AN26" i="53"/>
  <c r="AR26" i="53" s="1"/>
  <c r="BJ26" i="53" s="1"/>
  <c r="AN25" i="53"/>
  <c r="AR25" i="53" s="1"/>
  <c r="BJ25" i="53" s="1"/>
  <c r="AN24" i="53"/>
  <c r="AR24" i="53" s="1"/>
  <c r="BJ24" i="53" s="1"/>
  <c r="AN22" i="53"/>
  <c r="AR22" i="53" s="1"/>
  <c r="BJ22" i="53" s="1"/>
  <c r="AN21" i="53"/>
  <c r="AR21" i="53" s="1"/>
  <c r="BJ21" i="53" s="1"/>
  <c r="AN20" i="53"/>
  <c r="AN19" i="53"/>
  <c r="AR19" i="53" s="1"/>
  <c r="BJ19" i="53" s="1"/>
  <c r="AN17" i="53"/>
  <c r="AR17" i="53" s="1"/>
  <c r="BJ17" i="53" s="1"/>
  <c r="AN16" i="53"/>
  <c r="AR16" i="53" s="1"/>
  <c r="BJ16" i="53" s="1"/>
  <c r="AN15" i="53"/>
  <c r="AR15" i="53" s="1"/>
  <c r="BJ15" i="53" s="1"/>
  <c r="AN13" i="53"/>
  <c r="AR13" i="53" s="1"/>
  <c r="BJ13" i="53" s="1"/>
  <c r="AN12" i="53"/>
  <c r="AR12" i="53" s="1"/>
  <c r="BJ12" i="53" s="1"/>
  <c r="AN11" i="53"/>
  <c r="AR11" i="53" s="1"/>
  <c r="BJ11" i="53" s="1"/>
  <c r="AN10" i="53"/>
  <c r="AR10" i="53" s="1"/>
  <c r="BJ10" i="53" s="1"/>
  <c r="AN9" i="53"/>
  <c r="AR9" i="53" s="1"/>
  <c r="BJ9" i="53" s="1"/>
  <c r="AN8" i="53"/>
  <c r="AR8" i="53" s="1"/>
  <c r="BJ8" i="53" s="1"/>
  <c r="BD33" i="53" l="1"/>
  <c r="D29" i="32" s="1"/>
  <c r="AT33" i="53"/>
  <c r="D10" i="32" s="1"/>
  <c r="AY33" i="53"/>
  <c r="D17" i="32" s="1"/>
  <c r="BH33" i="53"/>
  <c r="D35" i="32" s="1"/>
  <c r="AZ33" i="53"/>
  <c r="D21" i="32" s="1"/>
  <c r="BI19" i="53"/>
  <c r="BK19" i="53" s="1"/>
  <c r="BI12" i="53"/>
  <c r="BK12" i="53" s="1"/>
  <c r="BI13" i="53"/>
  <c r="BK13" i="53" s="1"/>
  <c r="AX33" i="53"/>
  <c r="D16" i="32" s="1"/>
  <c r="BB33" i="53"/>
  <c r="D23" i="32" s="1"/>
  <c r="BG33" i="53"/>
  <c r="D39" i="32" s="1"/>
  <c r="BI23" i="53"/>
  <c r="BI15" i="53"/>
  <c r="BK15" i="53" s="1"/>
  <c r="BI17" i="53"/>
  <c r="BK17" i="53" s="1"/>
  <c r="AU33" i="53"/>
  <c r="BE33" i="53"/>
  <c r="D30" i="32" s="1"/>
  <c r="BI29" i="53"/>
  <c r="BK29" i="53" s="1"/>
  <c r="BI8" i="53"/>
  <c r="BK8" i="53" s="1"/>
  <c r="BI9" i="53"/>
  <c r="BK9" i="53" s="1"/>
  <c r="BI10" i="53"/>
  <c r="BK10" i="53" s="1"/>
  <c r="BI11" i="53"/>
  <c r="BK11" i="53" s="1"/>
  <c r="AV33" i="53"/>
  <c r="D14" i="32" s="1"/>
  <c r="BA33" i="53"/>
  <c r="D22" i="32" s="1"/>
  <c r="BF33" i="53"/>
  <c r="D33" i="32" s="1"/>
  <c r="AW33" i="53"/>
  <c r="BI27" i="53"/>
  <c r="AR20" i="53"/>
  <c r="BI21" i="53"/>
  <c r="BK21" i="53" s="1"/>
  <c r="BI22" i="53"/>
  <c r="BK22" i="53" s="1"/>
  <c r="BC33" i="53"/>
  <c r="D26" i="32" s="1"/>
  <c r="BI24" i="53"/>
  <c r="BK24" i="53" s="1"/>
  <c r="BI26" i="53"/>
  <c r="BK26" i="53" s="1"/>
  <c r="BI14" i="53"/>
  <c r="BI16" i="53"/>
  <c r="BK16" i="53" s="1"/>
  <c r="BI20" i="53"/>
  <c r="BI30" i="53"/>
  <c r="BK30" i="53" s="1"/>
  <c r="BI25" i="53"/>
  <c r="BK25" i="53" s="1"/>
  <c r="BI31" i="53"/>
  <c r="BK31" i="53" s="1"/>
  <c r="BI28" i="53"/>
  <c r="BK28" i="53" s="1"/>
  <c r="BI18" i="53"/>
  <c r="AN18" i="53"/>
  <c r="AR18" i="53" s="1"/>
  <c r="BJ18" i="53" s="1"/>
  <c r="AN27" i="53"/>
  <c r="AR27" i="53" s="1"/>
  <c r="BJ27" i="53" s="1"/>
  <c r="AN14" i="53"/>
  <c r="AR14" i="53" s="1"/>
  <c r="BJ14" i="53" s="1"/>
  <c r="AN23" i="53"/>
  <c r="AR23" i="53" s="1"/>
  <c r="BJ23" i="53" s="1"/>
  <c r="BK23" i="53" l="1"/>
  <c r="BK27" i="53"/>
  <c r="BK14" i="53"/>
  <c r="D15" i="32"/>
  <c r="BK18" i="53"/>
  <c r="BJ20" i="53"/>
  <c r="BJ33" i="53" s="1"/>
  <c r="AR33" i="53"/>
  <c r="AN33" i="53"/>
  <c r="BI33" i="53"/>
  <c r="D43" i="32" s="1"/>
  <c r="BK20" i="53" l="1"/>
  <c r="BK33" i="53" s="1"/>
  <c r="Q27" i="50" l="1"/>
  <c r="B80" i="8"/>
  <c r="B79" i="8"/>
  <c r="B78" i="8"/>
  <c r="B77" i="8"/>
  <c r="B76" i="8"/>
  <c r="B75" i="8"/>
  <c r="B74" i="8"/>
  <c r="B73" i="8"/>
  <c r="B72" i="8"/>
  <c r="B71" i="8"/>
  <c r="B70" i="8"/>
  <c r="B69" i="8"/>
  <c r="N30" i="50"/>
  <c r="J30" i="50"/>
  <c r="L30" i="50" s="1"/>
  <c r="N29" i="50"/>
  <c r="J29" i="50"/>
  <c r="L29" i="50" s="1"/>
  <c r="N28" i="50"/>
  <c r="J28" i="50"/>
  <c r="L28" i="50" s="1"/>
  <c r="K28" i="50" s="1"/>
  <c r="N27" i="50"/>
  <c r="J27" i="50"/>
  <c r="L27" i="50" s="1"/>
  <c r="N26" i="50"/>
  <c r="J26" i="50"/>
  <c r="L26" i="50" s="1"/>
  <c r="N25" i="50"/>
  <c r="J25" i="50"/>
  <c r="L25" i="50" s="1"/>
  <c r="N24" i="50"/>
  <c r="J24" i="50"/>
  <c r="L24" i="50" s="1"/>
  <c r="N23" i="50"/>
  <c r="J23" i="50"/>
  <c r="L23" i="50" s="1"/>
  <c r="N22" i="50"/>
  <c r="J22" i="50"/>
  <c r="L22" i="50" s="1"/>
  <c r="N21" i="50"/>
  <c r="J21" i="50"/>
  <c r="L21" i="50" s="1"/>
  <c r="O21" i="50" s="1"/>
  <c r="N20" i="50"/>
  <c r="L20" i="50"/>
  <c r="K20" i="50" s="1"/>
  <c r="J20" i="50"/>
  <c r="N19" i="50"/>
  <c r="J19" i="50"/>
  <c r="L19" i="50" s="1"/>
  <c r="N18" i="50"/>
  <c r="J18" i="50"/>
  <c r="L18" i="50" s="1"/>
  <c r="N17" i="50"/>
  <c r="J17" i="50"/>
  <c r="L17" i="50" s="1"/>
  <c r="N16" i="50"/>
  <c r="J16" i="50"/>
  <c r="L16" i="50" s="1"/>
  <c r="K16" i="50" s="1"/>
  <c r="N15" i="50"/>
  <c r="J15" i="50"/>
  <c r="L15" i="50" s="1"/>
  <c r="N14" i="50"/>
  <c r="J14" i="50"/>
  <c r="L14" i="50" s="1"/>
  <c r="N13" i="50"/>
  <c r="J13" i="50"/>
  <c r="L13" i="50" s="1"/>
  <c r="N12" i="50"/>
  <c r="J12" i="50"/>
  <c r="L12" i="50" s="1"/>
  <c r="N11" i="50"/>
  <c r="L11" i="50"/>
  <c r="J11" i="50"/>
  <c r="N10" i="50"/>
  <c r="L10" i="50"/>
  <c r="J10" i="50"/>
  <c r="N9" i="50"/>
  <c r="J9" i="50"/>
  <c r="L9" i="50" s="1"/>
  <c r="O9" i="50" s="1"/>
  <c r="N8" i="50"/>
  <c r="J8" i="50"/>
  <c r="L8" i="50" s="1"/>
  <c r="B8" i="50"/>
  <c r="B9" i="50" s="1"/>
  <c r="N7" i="50"/>
  <c r="J7" i="50"/>
  <c r="L7" i="50" s="1"/>
  <c r="C7" i="50"/>
  <c r="C80" i="8"/>
  <c r="C79" i="8"/>
  <c r="C78" i="8"/>
  <c r="C77" i="8"/>
  <c r="C76" i="8"/>
  <c r="C75" i="8"/>
  <c r="C74" i="8"/>
  <c r="C73" i="8"/>
  <c r="C72" i="8"/>
  <c r="C71" i="8"/>
  <c r="C70" i="8"/>
  <c r="C69" i="8"/>
  <c r="J31" i="52"/>
  <c r="J30" i="52"/>
  <c r="J29" i="52"/>
  <c r="J28" i="52"/>
  <c r="J27" i="52"/>
  <c r="J26" i="52"/>
  <c r="J25" i="52"/>
  <c r="J24" i="52"/>
  <c r="J23" i="52"/>
  <c r="J22" i="52"/>
  <c r="J21" i="52"/>
  <c r="J20" i="52"/>
  <c r="J19" i="52"/>
  <c r="J18" i="52"/>
  <c r="J17" i="52"/>
  <c r="J16" i="52"/>
  <c r="J15" i="52"/>
  <c r="J14" i="52"/>
  <c r="J13" i="52"/>
  <c r="J12" i="52"/>
  <c r="J11" i="52"/>
  <c r="J10" i="52"/>
  <c r="J9" i="52"/>
  <c r="B9" i="52"/>
  <c r="B10" i="52" s="1"/>
  <c r="B11" i="52" s="1"/>
  <c r="B12" i="52" s="1"/>
  <c r="B13" i="52" s="1"/>
  <c r="B14" i="52" s="1"/>
  <c r="B15" i="52" s="1"/>
  <c r="B16" i="52" s="1"/>
  <c r="B17" i="52" s="1"/>
  <c r="B18" i="52" s="1"/>
  <c r="J8" i="52"/>
  <c r="C8" i="52"/>
  <c r="A9" i="52" l="1"/>
  <c r="O13" i="50"/>
  <c r="O15" i="50"/>
  <c r="O10" i="50"/>
  <c r="O17" i="50"/>
  <c r="O19" i="50"/>
  <c r="O20" i="50"/>
  <c r="O23" i="50"/>
  <c r="O25" i="50"/>
  <c r="O29" i="50"/>
  <c r="A8" i="50"/>
  <c r="C8" i="50" s="1"/>
  <c r="K10" i="50"/>
  <c r="O11" i="50"/>
  <c r="O26" i="50"/>
  <c r="K26" i="50"/>
  <c r="O8" i="50"/>
  <c r="K8" i="50"/>
  <c r="O12" i="50"/>
  <c r="K12" i="50"/>
  <c r="O14" i="50"/>
  <c r="K14" i="50"/>
  <c r="B10" i="50"/>
  <c r="B11" i="50" s="1"/>
  <c r="A9" i="50"/>
  <c r="C9" i="50" s="1"/>
  <c r="O18" i="50"/>
  <c r="K18" i="50"/>
  <c r="O22" i="50"/>
  <c r="K22" i="50"/>
  <c r="O24" i="50"/>
  <c r="K24" i="50"/>
  <c r="O27" i="50"/>
  <c r="O16" i="50"/>
  <c r="O28" i="50"/>
  <c r="O7" i="50"/>
  <c r="K7" i="50"/>
  <c r="K9" i="50"/>
  <c r="K11" i="50"/>
  <c r="K13" i="50"/>
  <c r="K15" i="50"/>
  <c r="K17" i="50"/>
  <c r="K19" i="50"/>
  <c r="K21" i="50"/>
  <c r="K23" i="50"/>
  <c r="K25" i="50"/>
  <c r="K27" i="50"/>
  <c r="K29" i="50"/>
  <c r="O30" i="50"/>
  <c r="K30" i="50"/>
  <c r="B19" i="52"/>
  <c r="A10" i="52"/>
  <c r="C9" i="52"/>
  <c r="A10" i="50" l="1"/>
  <c r="A11" i="50" s="1"/>
  <c r="B12" i="50"/>
  <c r="C10" i="52"/>
  <c r="A11" i="52"/>
  <c r="B20" i="52"/>
  <c r="C10" i="50" l="1"/>
  <c r="C11" i="50"/>
  <c r="A12" i="50"/>
  <c r="B13" i="50"/>
  <c r="B21" i="52"/>
  <c r="C11" i="52"/>
  <c r="A12" i="52"/>
  <c r="A13" i="50" l="1"/>
  <c r="B14" i="50"/>
  <c r="C12" i="50"/>
  <c r="C12" i="52"/>
  <c r="A13" i="52"/>
  <c r="B22" i="52"/>
  <c r="A14" i="50" l="1"/>
  <c r="B15" i="50"/>
  <c r="C13" i="50"/>
  <c r="B23" i="52"/>
  <c r="C13" i="52"/>
  <c r="A14" i="52"/>
  <c r="B16" i="50" l="1"/>
  <c r="A15" i="50"/>
  <c r="C14" i="50"/>
  <c r="B24" i="52"/>
  <c r="C14" i="52"/>
  <c r="A15" i="52"/>
  <c r="C15" i="50" l="1"/>
  <c r="A16" i="50"/>
  <c r="B17" i="50"/>
  <c r="B25" i="52"/>
  <c r="C15" i="52"/>
  <c r="A16" i="52"/>
  <c r="C16" i="50" l="1"/>
  <c r="A17" i="50"/>
  <c r="B18" i="50"/>
  <c r="C16" i="52"/>
  <c r="A17" i="52"/>
  <c r="B26" i="52"/>
  <c r="B19" i="50" l="1"/>
  <c r="A18" i="50"/>
  <c r="C17" i="50"/>
  <c r="B27" i="52"/>
  <c r="C17" i="52"/>
  <c r="A18" i="52"/>
  <c r="C18" i="50" l="1"/>
  <c r="B20" i="50"/>
  <c r="A19" i="50"/>
  <c r="B28" i="52"/>
  <c r="C18" i="52"/>
  <c r="A19" i="52"/>
  <c r="C19" i="50" l="1"/>
  <c r="A20" i="50"/>
  <c r="B21" i="50"/>
  <c r="C19" i="52"/>
  <c r="A20" i="52"/>
  <c r="B29" i="52"/>
  <c r="A21" i="50" l="1"/>
  <c r="B22" i="50"/>
  <c r="C20" i="50"/>
  <c r="C20" i="52"/>
  <c r="A21" i="52"/>
  <c r="B30" i="52"/>
  <c r="A22" i="50" l="1"/>
  <c r="B23" i="50"/>
  <c r="C21" i="50"/>
  <c r="C21" i="52"/>
  <c r="A22" i="52"/>
  <c r="B31" i="52"/>
  <c r="B24" i="50" l="1"/>
  <c r="A23" i="50"/>
  <c r="C22" i="50"/>
  <c r="C22" i="52"/>
  <c r="A23" i="52"/>
  <c r="C23" i="50" l="1"/>
  <c r="A24" i="50"/>
  <c r="B25" i="50"/>
  <c r="C23" i="52"/>
  <c r="A24" i="52"/>
  <c r="A25" i="50" l="1"/>
  <c r="B26" i="50"/>
  <c r="C24" i="50"/>
  <c r="C24" i="52"/>
  <c r="A25" i="52"/>
  <c r="A26" i="50" l="1"/>
  <c r="B27" i="50"/>
  <c r="C25" i="50"/>
  <c r="C25" i="52"/>
  <c r="A26" i="52"/>
  <c r="A27" i="50" l="1"/>
  <c r="B28" i="50"/>
  <c r="C26" i="50"/>
  <c r="C26" i="52"/>
  <c r="A27" i="52"/>
  <c r="A28" i="50" l="1"/>
  <c r="B29" i="50"/>
  <c r="C27" i="50"/>
  <c r="C27" i="52"/>
  <c r="A28" i="52"/>
  <c r="B30" i="50" l="1"/>
  <c r="A29" i="50"/>
  <c r="C28" i="50"/>
  <c r="C28" i="52"/>
  <c r="A29" i="52"/>
  <c r="C29" i="50" l="1"/>
  <c r="A30" i="50"/>
  <c r="C29" i="52"/>
  <c r="A30" i="52"/>
  <c r="C30" i="50" l="1"/>
  <c r="C30" i="52"/>
  <c r="A31" i="52"/>
  <c r="C31" i="52" l="1"/>
  <c r="F48" i="8" l="1"/>
  <c r="F47" i="8"/>
  <c r="F46" i="8"/>
  <c r="E44" i="13" l="1"/>
  <c r="E38" i="12" l="1"/>
  <c r="J24" i="32" l="1"/>
  <c r="J11" i="32"/>
  <c r="J31" i="32"/>
  <c r="J18" i="32"/>
  <c r="J37" i="32" l="1"/>
  <c r="J41" i="32" s="1"/>
  <c r="J44" i="32" l="1"/>
  <c r="I11" i="32" l="1"/>
  <c r="E14" i="12"/>
  <c r="E12" i="12" l="1"/>
  <c r="E19" i="12"/>
  <c r="E9" i="12"/>
  <c r="K11" i="32"/>
  <c r="E13" i="12"/>
  <c r="I18" i="32" l="1"/>
  <c r="I24" i="32"/>
  <c r="E20" i="12"/>
  <c r="K24" i="32"/>
  <c r="E18" i="12"/>
  <c r="K18" i="32"/>
  <c r="E11" i="12"/>
  <c r="E31" i="12" l="1"/>
  <c r="E27" i="12" l="1"/>
  <c r="E33" i="12" l="1"/>
  <c r="E24" i="12" l="1"/>
  <c r="I31" i="32"/>
  <c r="I37" i="32" s="1"/>
  <c r="I41" i="32" s="1"/>
  <c r="K31" i="32" l="1"/>
  <c r="K37" i="32" s="1"/>
  <c r="K41" i="32" s="1"/>
  <c r="E26" i="12"/>
  <c r="E42" i="12"/>
  <c r="I44" i="32" l="1"/>
  <c r="K44" i="32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M26" i="8" l="1"/>
  <c r="K26" i="8"/>
  <c r="I26" i="8"/>
  <c r="H26" i="8"/>
  <c r="F26" i="8"/>
  <c r="E26" i="8"/>
  <c r="D26" i="8"/>
  <c r="C26" i="8"/>
  <c r="F60" i="8"/>
  <c r="J26" i="8"/>
  <c r="F35" i="8"/>
  <c r="G11" i="32"/>
  <c r="G18" i="32" l="1"/>
  <c r="G24" i="32"/>
  <c r="G31" i="32"/>
  <c r="L26" i="8"/>
  <c r="G37" i="32" l="1"/>
  <c r="G41" i="32" s="1"/>
  <c r="G44" i="32" s="1"/>
  <c r="C81" i="8" l="1"/>
  <c r="D74" i="8"/>
  <c r="B12" i="8" s="1"/>
  <c r="D80" i="8"/>
  <c r="B18" i="8" s="1"/>
  <c r="D78" i="8"/>
  <c r="B16" i="8" s="1"/>
  <c r="A80" i="8"/>
  <c r="D79" i="8"/>
  <c r="B17" i="8" s="1"/>
  <c r="A79" i="8"/>
  <c r="A78" i="8"/>
  <c r="D77" i="8"/>
  <c r="B15" i="8" s="1"/>
  <c r="A77" i="8"/>
  <c r="A76" i="8"/>
  <c r="A75" i="8"/>
  <c r="A74" i="8"/>
  <c r="D73" i="8"/>
  <c r="B11" i="8" s="1"/>
  <c r="A73" i="8"/>
  <c r="A72" i="8"/>
  <c r="D71" i="8"/>
  <c r="B9" i="8" s="1"/>
  <c r="A71" i="8"/>
  <c r="A70" i="8"/>
  <c r="D69" i="8"/>
  <c r="B7" i="8" s="1"/>
  <c r="A69" i="8"/>
  <c r="G59" i="8"/>
  <c r="G58" i="8"/>
  <c r="G57" i="8"/>
  <c r="G56" i="8"/>
  <c r="G55" i="8"/>
  <c r="G52" i="8"/>
  <c r="G51" i="8"/>
  <c r="G48" i="8"/>
  <c r="G47" i="8"/>
  <c r="G46" i="8"/>
  <c r="G44" i="8"/>
  <c r="G41" i="8"/>
  <c r="G40" i="8"/>
  <c r="G39" i="8"/>
  <c r="G37" i="8"/>
  <c r="G34" i="8"/>
  <c r="G33" i="8"/>
  <c r="G35" i="8" s="1"/>
  <c r="G60" i="8" l="1"/>
  <c r="D75" i="8"/>
  <c r="B13" i="8" s="1"/>
  <c r="F13" i="8" s="1"/>
  <c r="D72" i="8"/>
  <c r="B10" i="8" s="1"/>
  <c r="D10" i="8" s="1"/>
  <c r="D76" i="8"/>
  <c r="B14" i="8" s="1"/>
  <c r="M14" i="8" s="1"/>
  <c r="B81" i="8"/>
  <c r="F17" i="8"/>
  <c r="M18" i="8"/>
  <c r="E18" i="8"/>
  <c r="M12" i="8"/>
  <c r="L12" i="8"/>
  <c r="D12" i="8"/>
  <c r="I12" i="8"/>
  <c r="H12" i="8"/>
  <c r="E12" i="8"/>
  <c r="I16" i="8"/>
  <c r="H16" i="8"/>
  <c r="M16" i="8"/>
  <c r="E16" i="8"/>
  <c r="L16" i="8"/>
  <c r="D16" i="8"/>
  <c r="K15" i="8"/>
  <c r="C15" i="8"/>
  <c r="C11" i="8"/>
  <c r="F9" i="8"/>
  <c r="K11" i="8"/>
  <c r="D70" i="8"/>
  <c r="B8" i="8" s="1"/>
  <c r="C7" i="8"/>
  <c r="K7" i="8"/>
  <c r="K18" i="8"/>
  <c r="C18" i="8"/>
  <c r="J18" i="8"/>
  <c r="F18" i="8"/>
  <c r="F7" i="8"/>
  <c r="M9" i="8"/>
  <c r="I9" i="8"/>
  <c r="E9" i="8"/>
  <c r="L9" i="8"/>
  <c r="H9" i="8"/>
  <c r="D9" i="8"/>
  <c r="J9" i="8"/>
  <c r="F11" i="8"/>
  <c r="F15" i="8"/>
  <c r="M17" i="8"/>
  <c r="I17" i="8"/>
  <c r="E17" i="8"/>
  <c r="L17" i="8"/>
  <c r="H17" i="8"/>
  <c r="D17" i="8"/>
  <c r="J17" i="8"/>
  <c r="H18" i="8"/>
  <c r="C9" i="8"/>
  <c r="K9" i="8"/>
  <c r="C17" i="8"/>
  <c r="K17" i="8"/>
  <c r="I18" i="8"/>
  <c r="K12" i="8"/>
  <c r="C12" i="8"/>
  <c r="J12" i="8"/>
  <c r="F12" i="8"/>
  <c r="K16" i="8"/>
  <c r="C16" i="8"/>
  <c r="J16" i="8"/>
  <c r="F16" i="8"/>
  <c r="M7" i="8"/>
  <c r="I7" i="8"/>
  <c r="E7" i="8"/>
  <c r="L7" i="8"/>
  <c r="H7" i="8"/>
  <c r="D7" i="8"/>
  <c r="J7" i="8"/>
  <c r="M11" i="8"/>
  <c r="I11" i="8"/>
  <c r="E11" i="8"/>
  <c r="L11" i="8"/>
  <c r="H11" i="8"/>
  <c r="D11" i="8"/>
  <c r="J11" i="8"/>
  <c r="M15" i="8"/>
  <c r="I15" i="8"/>
  <c r="E15" i="8"/>
  <c r="L15" i="8"/>
  <c r="H15" i="8"/>
  <c r="D15" i="8"/>
  <c r="J15" i="8"/>
  <c r="D18" i="8"/>
  <c r="L18" i="8"/>
  <c r="M10" i="8" l="1"/>
  <c r="D13" i="8"/>
  <c r="I10" i="8"/>
  <c r="F10" i="8"/>
  <c r="M13" i="8"/>
  <c r="K10" i="8"/>
  <c r="H13" i="8"/>
  <c r="C13" i="8"/>
  <c r="I13" i="8"/>
  <c r="H14" i="8"/>
  <c r="L13" i="8"/>
  <c r="J10" i="8"/>
  <c r="E10" i="8"/>
  <c r="F8" i="8"/>
  <c r="K13" i="8"/>
  <c r="J13" i="8"/>
  <c r="E13" i="8"/>
  <c r="H10" i="8"/>
  <c r="C10" i="8"/>
  <c r="L10" i="8"/>
  <c r="C14" i="8"/>
  <c r="K8" i="8"/>
  <c r="D14" i="8"/>
  <c r="D81" i="8"/>
  <c r="J8" i="8"/>
  <c r="I14" i="8"/>
  <c r="E14" i="8"/>
  <c r="D83" i="8"/>
  <c r="C8" i="8"/>
  <c r="F14" i="8"/>
  <c r="K14" i="8"/>
  <c r="L14" i="8"/>
  <c r="B20" i="8"/>
  <c r="B22" i="8" s="1"/>
  <c r="B28" i="8" s="1"/>
  <c r="J14" i="8"/>
  <c r="M8" i="8"/>
  <c r="M20" i="8" s="1"/>
  <c r="E8" i="8"/>
  <c r="L8" i="8"/>
  <c r="D8" i="8"/>
  <c r="I8" i="8"/>
  <c r="H8" i="8"/>
  <c r="J28" i="8" l="1"/>
  <c r="M28" i="8"/>
  <c r="I28" i="8"/>
  <c r="E28" i="8"/>
  <c r="L28" i="8"/>
  <c r="H28" i="8"/>
  <c r="D28" i="8"/>
  <c r="K28" i="8"/>
  <c r="F28" i="8"/>
  <c r="C28" i="8"/>
  <c r="F20" i="8"/>
  <c r="F24" i="8" s="1"/>
  <c r="J20" i="8"/>
  <c r="J24" i="8" s="1"/>
  <c r="D20" i="8"/>
  <c r="D22" i="8" s="1"/>
  <c r="C20" i="8"/>
  <c r="C22" i="8" s="1"/>
  <c r="H20" i="8"/>
  <c r="H24" i="8" s="1"/>
  <c r="E20" i="8"/>
  <c r="E24" i="8" s="1"/>
  <c r="K20" i="8"/>
  <c r="K22" i="8" s="1"/>
  <c r="I20" i="8"/>
  <c r="I22" i="8" s="1"/>
  <c r="L20" i="8"/>
  <c r="L24" i="8" s="1"/>
  <c r="M24" i="8"/>
  <c r="M22" i="8"/>
  <c r="F22" i="8" l="1"/>
  <c r="D24" i="8"/>
  <c r="H22" i="8"/>
  <c r="J22" i="8"/>
  <c r="E22" i="8"/>
  <c r="C24" i="8"/>
  <c r="K24" i="8"/>
  <c r="L22" i="8"/>
  <c r="I24" i="8"/>
  <c r="F33" i="12" l="1"/>
  <c r="F31" i="12"/>
  <c r="F27" i="12"/>
  <c r="F26" i="12"/>
  <c r="F24" i="12"/>
  <c r="F20" i="12"/>
  <c r="F19" i="12"/>
  <c r="F18" i="12"/>
  <c r="F14" i="12"/>
  <c r="F13" i="12"/>
  <c r="F12" i="12"/>
  <c r="F11" i="12"/>
  <c r="F9" i="12"/>
  <c r="F38" i="8" s="1"/>
  <c r="G26" i="8" l="1"/>
  <c r="F45" i="8"/>
  <c r="F49" i="8" s="1"/>
  <c r="F63" i="8" s="1"/>
  <c r="F42" i="8"/>
  <c r="F62" i="8" s="1"/>
  <c r="G7" i="8"/>
  <c r="G17" i="8"/>
  <c r="G15" i="8"/>
  <c r="G18" i="8"/>
  <c r="G12" i="8"/>
  <c r="G9" i="8"/>
  <c r="G11" i="8"/>
  <c r="G16" i="8"/>
  <c r="G8" i="8"/>
  <c r="G14" i="8"/>
  <c r="G13" i="8"/>
  <c r="G10" i="8"/>
  <c r="G28" i="8"/>
  <c r="E43" i="32"/>
  <c r="O28" i="8" l="1"/>
  <c r="N28" i="8"/>
  <c r="O12" i="8"/>
  <c r="N12" i="8"/>
  <c r="O10" i="8"/>
  <c r="N10" i="8"/>
  <c r="O16" i="8"/>
  <c r="N16" i="8"/>
  <c r="O18" i="8"/>
  <c r="N18" i="8"/>
  <c r="O13" i="8"/>
  <c r="N13" i="8"/>
  <c r="O11" i="8"/>
  <c r="N11" i="8"/>
  <c r="O15" i="8"/>
  <c r="N15" i="8"/>
  <c r="O8" i="8"/>
  <c r="N8" i="8"/>
  <c r="O7" i="8"/>
  <c r="N7" i="8"/>
  <c r="N20" i="8" s="1"/>
  <c r="G20" i="8"/>
  <c r="O14" i="8"/>
  <c r="N14" i="8"/>
  <c r="O9" i="8"/>
  <c r="N9" i="8"/>
  <c r="O17" i="8"/>
  <c r="N17" i="8"/>
  <c r="O26" i="8"/>
  <c r="N26" i="8"/>
  <c r="E39" i="32"/>
  <c r="E36" i="13" s="1"/>
  <c r="E35" i="32"/>
  <c r="E31" i="13" s="1"/>
  <c r="E33" i="32"/>
  <c r="E29" i="13" s="1"/>
  <c r="E30" i="32"/>
  <c r="E25" i="13" s="1"/>
  <c r="E29" i="32"/>
  <c r="E24" i="13" s="1"/>
  <c r="E26" i="32"/>
  <c r="E22" i="13" s="1"/>
  <c r="E23" i="32"/>
  <c r="E18" i="13" s="1"/>
  <c r="E22" i="32"/>
  <c r="E17" i="13" s="1"/>
  <c r="E21" i="32"/>
  <c r="E16" i="13" s="1"/>
  <c r="E17" i="32"/>
  <c r="E12" i="13" s="1"/>
  <c r="E16" i="32"/>
  <c r="E11" i="13" s="1"/>
  <c r="E15" i="32"/>
  <c r="E10" i="13" s="1"/>
  <c r="E14" i="32"/>
  <c r="E9" i="13" s="1"/>
  <c r="E10" i="32"/>
  <c r="F31" i="32"/>
  <c r="F24" i="32"/>
  <c r="F18" i="32"/>
  <c r="F11" i="32"/>
  <c r="O20" i="8" l="1"/>
  <c r="N24" i="8"/>
  <c r="N22" i="8"/>
  <c r="G22" i="8"/>
  <c r="G24" i="8"/>
  <c r="E27" i="13"/>
  <c r="E14" i="13"/>
  <c r="E20" i="13"/>
  <c r="E11" i="32"/>
  <c r="E7" i="13"/>
  <c r="F37" i="32"/>
  <c r="F41" i="32" s="1"/>
  <c r="F44" i="32" s="1"/>
  <c r="E31" i="32"/>
  <c r="E24" i="32"/>
  <c r="E18" i="32"/>
  <c r="O22" i="8" l="1"/>
  <c r="O24" i="8"/>
  <c r="E33" i="13"/>
  <c r="E37" i="32"/>
  <c r="E41" i="32" s="1"/>
  <c r="E44" i="32" l="1"/>
  <c r="E40" i="13"/>
  <c r="D31" i="13" l="1"/>
  <c r="A1" i="13" l="1"/>
  <c r="A2" i="13"/>
  <c r="D4" i="13"/>
  <c r="D17" i="13" l="1"/>
  <c r="D18" i="13"/>
  <c r="D22" i="13"/>
  <c r="D12" i="13"/>
  <c r="D7" i="13"/>
  <c r="D11" i="32"/>
  <c r="D24" i="13" l="1"/>
  <c r="D26" i="12" s="1"/>
  <c r="D31" i="32"/>
  <c r="D29" i="13"/>
  <c r="D31" i="12" s="1"/>
  <c r="D25" i="13"/>
  <c r="D27" i="12" s="1"/>
  <c r="D10" i="13"/>
  <c r="D12" i="12" s="1"/>
  <c r="D24" i="32"/>
  <c r="D16" i="13"/>
  <c r="D9" i="12"/>
  <c r="D36" i="13"/>
  <c r="D20" i="12"/>
  <c r="D14" i="12"/>
  <c r="D24" i="12"/>
  <c r="D19" i="12"/>
  <c r="D11" i="13"/>
  <c r="D18" i="32"/>
  <c r="D9" i="13"/>
  <c r="I26" i="12" l="1"/>
  <c r="I19" i="12"/>
  <c r="I12" i="12"/>
  <c r="I24" i="12"/>
  <c r="I20" i="12"/>
  <c r="I14" i="12"/>
  <c r="I27" i="12"/>
  <c r="D13" i="12"/>
  <c r="I9" i="12"/>
  <c r="D38" i="12"/>
  <c r="D18" i="12"/>
  <c r="D11" i="12"/>
  <c r="D14" i="13"/>
  <c r="I13" i="12" l="1"/>
  <c r="I31" i="12"/>
  <c r="I18" i="12"/>
  <c r="D16" i="12"/>
  <c r="E16" i="12" l="1"/>
  <c r="I11" i="12"/>
  <c r="I16" i="12" l="1"/>
  <c r="F16" i="12" s="1"/>
  <c r="D33" i="12" l="1"/>
  <c r="D29" i="12" s="1"/>
  <c r="D27" i="13"/>
  <c r="D22" i="12" l="1"/>
  <c r="D20" i="13"/>
  <c r="I29" i="12"/>
  <c r="E29" i="12"/>
  <c r="F29" i="12" l="1"/>
  <c r="D33" i="13"/>
  <c r="D38" i="13" s="1"/>
  <c r="D35" i="12"/>
  <c r="D40" i="12" s="1"/>
  <c r="I22" i="12" l="1"/>
  <c r="E22" i="12"/>
  <c r="D37" i="32"/>
  <c r="D41" i="32" s="1"/>
  <c r="D44" i="32" s="1"/>
  <c r="F22" i="12" l="1"/>
  <c r="D40" i="13"/>
  <c r="D42" i="13" s="1"/>
  <c r="D42" i="12"/>
  <c r="D44" i="12" s="1"/>
  <c r="E38" i="13" l="1"/>
  <c r="E42" i="13" s="1"/>
  <c r="E46" i="13"/>
  <c r="I33" i="12"/>
  <c r="I35" i="12" s="1"/>
  <c r="E35" i="12"/>
  <c r="E40" i="12" s="1"/>
  <c r="E44" i="12" s="1"/>
  <c r="F25" i="13" l="1"/>
  <c r="F17" i="13"/>
  <c r="F10" i="13"/>
  <c r="F31" i="13"/>
  <c r="F24" i="13"/>
  <c r="F16" i="13"/>
  <c r="F9" i="13"/>
  <c r="F18" i="13"/>
  <c r="F22" i="13"/>
  <c r="F12" i="13"/>
  <c r="F7" i="13"/>
  <c r="F29" i="13"/>
  <c r="F11" i="13"/>
  <c r="F35" i="12"/>
  <c r="G31" i="12" l="1"/>
  <c r="G29" i="13"/>
  <c r="H29" i="13"/>
  <c r="I11" i="55" s="1"/>
  <c r="J11" i="55" s="1"/>
  <c r="J10" i="55" s="1"/>
  <c r="G14" i="12"/>
  <c r="H12" i="13"/>
  <c r="I12" i="13" s="1"/>
  <c r="G12" i="13"/>
  <c r="G20" i="12"/>
  <c r="G18" i="13"/>
  <c r="H18" i="13"/>
  <c r="I18" i="13" s="1"/>
  <c r="G18" i="12"/>
  <c r="H16" i="13"/>
  <c r="G16" i="13"/>
  <c r="G33" i="12"/>
  <c r="G31" i="13"/>
  <c r="H31" i="13"/>
  <c r="I31" i="13" s="1"/>
  <c r="G19" i="12"/>
  <c r="H17" i="13"/>
  <c r="I17" i="13" s="1"/>
  <c r="G17" i="13"/>
  <c r="G13" i="12"/>
  <c r="G11" i="13"/>
  <c r="H11" i="13"/>
  <c r="I11" i="13" s="1"/>
  <c r="G9" i="12"/>
  <c r="H7" i="13"/>
  <c r="G24" i="12"/>
  <c r="H22" i="13"/>
  <c r="I22" i="13" s="1"/>
  <c r="G22" i="13"/>
  <c r="G11" i="12"/>
  <c r="G9" i="13"/>
  <c r="H9" i="13"/>
  <c r="G26" i="12"/>
  <c r="H24" i="13"/>
  <c r="G24" i="13"/>
  <c r="G12" i="12"/>
  <c r="H10" i="13"/>
  <c r="I10" i="13" s="1"/>
  <c r="G10" i="13"/>
  <c r="G27" i="12"/>
  <c r="H25" i="13"/>
  <c r="I25" i="13" s="1"/>
  <c r="G25" i="13"/>
  <c r="F161" i="55" l="1"/>
  <c r="I161" i="55" s="1"/>
  <c r="I20" i="55" s="1"/>
  <c r="F51" i="55"/>
  <c r="I51" i="55" s="1"/>
  <c r="F71" i="55"/>
  <c r="I71" i="55" s="1"/>
  <c r="F50" i="55"/>
  <c r="I50" i="55" s="1"/>
  <c r="F124" i="55"/>
  <c r="I124" i="55" s="1"/>
  <c r="F101" i="55"/>
  <c r="I101" i="55" s="1"/>
  <c r="F53" i="55"/>
  <c r="I53" i="55" s="1"/>
  <c r="F127" i="55"/>
  <c r="I127" i="55" s="1"/>
  <c r="F97" i="55"/>
  <c r="I97" i="55" s="1"/>
  <c r="F178" i="55"/>
  <c r="I178" i="55" s="1"/>
  <c r="F174" i="55"/>
  <c r="I174" i="55" s="1"/>
  <c r="F52" i="55"/>
  <c r="I52" i="55" s="1"/>
  <c r="F190" i="55"/>
  <c r="I190" i="55" s="1"/>
  <c r="F70" i="55"/>
  <c r="I70" i="55" s="1"/>
  <c r="F79" i="55"/>
  <c r="I79" i="55" s="1"/>
  <c r="F39" i="55"/>
  <c r="I39" i="55" s="1"/>
  <c r="F113" i="55"/>
  <c r="I113" i="55" s="1"/>
  <c r="F195" i="55"/>
  <c r="I195" i="55" s="1"/>
  <c r="F164" i="55"/>
  <c r="I164" i="55" s="1"/>
  <c r="F106" i="55"/>
  <c r="I106" i="55" s="1"/>
  <c r="F76" i="55"/>
  <c r="I76" i="55" s="1"/>
  <c r="F84" i="55"/>
  <c r="I84" i="55" s="1"/>
  <c r="F69" i="55"/>
  <c r="I69" i="55" s="1"/>
  <c r="F167" i="55"/>
  <c r="I167" i="55" s="1"/>
  <c r="F120" i="55"/>
  <c r="I120" i="55" s="1"/>
  <c r="F62" i="55"/>
  <c r="I62" i="55" s="1"/>
  <c r="F137" i="55"/>
  <c r="I137" i="55" s="1"/>
  <c r="F154" i="55"/>
  <c r="I154" i="55" s="1"/>
  <c r="F172" i="55"/>
  <c r="I172" i="55" s="1"/>
  <c r="F173" i="55"/>
  <c r="I173" i="55" s="1"/>
  <c r="F40" i="55"/>
  <c r="I40" i="55" s="1"/>
  <c r="F29" i="55"/>
  <c r="I29" i="55" s="1"/>
  <c r="F189" i="55"/>
  <c r="I189" i="55" s="1"/>
  <c r="F105" i="55"/>
  <c r="I105" i="55" s="1"/>
  <c r="F93" i="55"/>
  <c r="I93" i="55" s="1"/>
  <c r="F89" i="55"/>
  <c r="I89" i="55" s="1"/>
  <c r="F143" i="55"/>
  <c r="I143" i="55" s="1"/>
  <c r="F37" i="55"/>
  <c r="I37" i="55" s="1"/>
  <c r="F96" i="55"/>
  <c r="I96" i="55" s="1"/>
  <c r="F98" i="55"/>
  <c r="I98" i="55" s="1"/>
  <c r="F94" i="55"/>
  <c r="I94" i="55" s="1"/>
  <c r="F196" i="55"/>
  <c r="I196" i="55" s="1"/>
  <c r="F138" i="55"/>
  <c r="I138" i="55" s="1"/>
  <c r="F72" i="55"/>
  <c r="I72" i="55" s="1"/>
  <c r="F148" i="55"/>
  <c r="I148" i="55" s="1"/>
  <c r="F115" i="55"/>
  <c r="I115" i="55" s="1"/>
  <c r="F197" i="55"/>
  <c r="I197" i="55" s="1"/>
  <c r="F65" i="55"/>
  <c r="I65" i="55" s="1"/>
  <c r="F78" i="55"/>
  <c r="I78" i="55" s="1"/>
  <c r="F61" i="55"/>
  <c r="I61" i="55" s="1"/>
  <c r="F144" i="55"/>
  <c r="I144" i="55" s="1"/>
  <c r="F110" i="55"/>
  <c r="I110" i="55" s="1"/>
  <c r="F58" i="55"/>
  <c r="I58" i="55" s="1"/>
  <c r="F133" i="55"/>
  <c r="I133" i="55" s="1"/>
  <c r="F102" i="55"/>
  <c r="I102" i="55" s="1"/>
  <c r="F183" i="55"/>
  <c r="I183" i="55" s="1"/>
  <c r="F56" i="55"/>
  <c r="I56" i="55" s="1"/>
  <c r="F134" i="55"/>
  <c r="I134" i="55" s="1"/>
  <c r="F116" i="55"/>
  <c r="I116" i="55" s="1"/>
  <c r="F132" i="55"/>
  <c r="I132" i="55" s="1"/>
  <c r="F36" i="55"/>
  <c r="I36" i="55" s="1"/>
  <c r="F158" i="55"/>
  <c r="I158" i="55" s="1"/>
  <c r="F82" i="55"/>
  <c r="I82" i="55" s="1"/>
  <c r="F180" i="55"/>
  <c r="I180" i="55" s="1"/>
  <c r="F126" i="55"/>
  <c r="I126" i="55" s="1"/>
  <c r="F86" i="55"/>
  <c r="I86" i="55" s="1"/>
  <c r="F177" i="55"/>
  <c r="I177" i="55" s="1"/>
  <c r="F169" i="55"/>
  <c r="I169" i="55" s="1"/>
  <c r="F104" i="55"/>
  <c r="I104" i="55" s="1"/>
  <c r="F31" i="55"/>
  <c r="I31" i="55" s="1"/>
  <c r="F92" i="55"/>
  <c r="I92" i="55" s="1"/>
  <c r="F151" i="55"/>
  <c r="I151" i="55" s="1"/>
  <c r="F81" i="55"/>
  <c r="I81" i="55" s="1"/>
  <c r="F168" i="55"/>
  <c r="I168" i="55" s="1"/>
  <c r="F87" i="55"/>
  <c r="I87" i="55" s="1"/>
  <c r="F188" i="55"/>
  <c r="I188" i="55" s="1"/>
  <c r="F136" i="55"/>
  <c r="I136" i="55" s="1"/>
  <c r="F186" i="55"/>
  <c r="I186" i="55" s="1"/>
  <c r="F48" i="55"/>
  <c r="I48" i="55" s="1"/>
  <c r="F182" i="55"/>
  <c r="I182" i="55" s="1"/>
  <c r="F91" i="55"/>
  <c r="I91" i="55" s="1"/>
  <c r="F171" i="55"/>
  <c r="I171" i="55" s="1"/>
  <c r="F135" i="55"/>
  <c r="I135" i="55" s="1"/>
  <c r="F42" i="55"/>
  <c r="I42" i="55" s="1"/>
  <c r="F114" i="55"/>
  <c r="I114" i="55" s="1"/>
  <c r="F152" i="55"/>
  <c r="I152" i="55" s="1"/>
  <c r="F73" i="55"/>
  <c r="I73" i="55" s="1"/>
  <c r="F155" i="55"/>
  <c r="I155" i="55" s="1"/>
  <c r="F146" i="55"/>
  <c r="I146" i="55" s="1"/>
  <c r="F54" i="55"/>
  <c r="I54" i="55" s="1"/>
  <c r="F95" i="55"/>
  <c r="I95" i="55" s="1"/>
  <c r="F141" i="55"/>
  <c r="I141" i="55" s="1"/>
  <c r="F194" i="55"/>
  <c r="I194" i="55" s="1"/>
  <c r="F198" i="55"/>
  <c r="I198" i="55" s="1"/>
  <c r="F85" i="55"/>
  <c r="I85" i="55" s="1"/>
  <c r="F119" i="55"/>
  <c r="I119" i="55" s="1"/>
  <c r="F41" i="55"/>
  <c r="I41" i="55" s="1"/>
  <c r="F142" i="55"/>
  <c r="I142" i="55" s="1"/>
  <c r="F145" i="55"/>
  <c r="I145" i="55" s="1"/>
  <c r="F123" i="55"/>
  <c r="I123" i="55" s="1"/>
  <c r="F68" i="55"/>
  <c r="I68" i="55" s="1"/>
  <c r="F47" i="55"/>
  <c r="I47" i="55" s="1"/>
  <c r="F33" i="55"/>
  <c r="I33" i="55" s="1"/>
  <c r="F103" i="55"/>
  <c r="I103" i="55" s="1"/>
  <c r="F112" i="55"/>
  <c r="I112" i="55" s="1"/>
  <c r="F150" i="55"/>
  <c r="I150" i="55" s="1"/>
  <c r="F153" i="55"/>
  <c r="I153" i="55" s="1"/>
  <c r="F157" i="55"/>
  <c r="I157" i="55" s="1"/>
  <c r="F32" i="55"/>
  <c r="I32" i="55" s="1"/>
  <c r="F38" i="55"/>
  <c r="I38" i="55" s="1"/>
  <c r="F200" i="55"/>
  <c r="I200" i="55" s="1"/>
  <c r="F125" i="55"/>
  <c r="I125" i="55" s="1"/>
  <c r="F166" i="55"/>
  <c r="I166" i="55" s="1"/>
  <c r="F44" i="55"/>
  <c r="I44" i="55" s="1"/>
  <c r="F66" i="55"/>
  <c r="I66" i="55" s="1"/>
  <c r="F193" i="55"/>
  <c r="I193" i="55" s="1"/>
  <c r="F179" i="55"/>
  <c r="I179" i="55" s="1"/>
  <c r="F109" i="55"/>
  <c r="I109" i="55" s="1"/>
  <c r="F27" i="55"/>
  <c r="I27" i="55" s="1"/>
  <c r="F25" i="55"/>
  <c r="I25" i="55" s="1"/>
  <c r="F192" i="55"/>
  <c r="I192" i="55" s="1"/>
  <c r="F175" i="55"/>
  <c r="I175" i="55" s="1"/>
  <c r="F199" i="55"/>
  <c r="I199" i="55" s="1"/>
  <c r="F59" i="55"/>
  <c r="I59" i="55" s="1"/>
  <c r="F83" i="55"/>
  <c r="I83" i="55" s="1"/>
  <c r="F43" i="55"/>
  <c r="I43" i="55" s="1"/>
  <c r="F75" i="55"/>
  <c r="I75" i="55" s="1"/>
  <c r="F131" i="55"/>
  <c r="I131" i="55" s="1"/>
  <c r="F67" i="55"/>
  <c r="I67" i="55" s="1"/>
  <c r="F30" i="55"/>
  <c r="I30" i="55" s="1"/>
  <c r="F88" i="55"/>
  <c r="I88" i="55" s="1"/>
  <c r="F57" i="55"/>
  <c r="I57" i="55" s="1"/>
  <c r="F191" i="55"/>
  <c r="I191" i="55" s="1"/>
  <c r="F108" i="55"/>
  <c r="I108" i="55" s="1"/>
  <c r="F28" i="55"/>
  <c r="I28" i="55" s="1"/>
  <c r="F77" i="55"/>
  <c r="I77" i="55" s="1"/>
  <c r="F121" i="55"/>
  <c r="I121" i="55" s="1"/>
  <c r="F122" i="55"/>
  <c r="I122" i="55" s="1"/>
  <c r="F156" i="55"/>
  <c r="I156" i="55" s="1"/>
  <c r="F60" i="55"/>
  <c r="I60" i="55" s="1"/>
  <c r="F99" i="55"/>
  <c r="I99" i="55" s="1"/>
  <c r="F165" i="55"/>
  <c r="I165" i="55" s="1"/>
  <c r="F111" i="55"/>
  <c r="I111" i="55" s="1"/>
  <c r="F187" i="55"/>
  <c r="I187" i="55" s="1"/>
  <c r="F49" i="55"/>
  <c r="I49" i="55" s="1"/>
  <c r="F130" i="55"/>
  <c r="I130" i="55" s="1"/>
  <c r="G38" i="8"/>
  <c r="P26" i="8" s="1"/>
  <c r="Q26" i="8" s="1"/>
  <c r="J27" i="12"/>
  <c r="K27" i="12" s="1"/>
  <c r="L27" i="12" s="1"/>
  <c r="H27" i="12"/>
  <c r="G27" i="13"/>
  <c r="J26" i="12"/>
  <c r="H26" i="12"/>
  <c r="G14" i="13"/>
  <c r="J24" i="12"/>
  <c r="K24" i="12" s="1"/>
  <c r="L24" i="12" s="1"/>
  <c r="H24" i="12"/>
  <c r="J9" i="12"/>
  <c r="K9" i="12" s="1"/>
  <c r="L9" i="12" s="1"/>
  <c r="H9" i="12"/>
  <c r="J19" i="12"/>
  <c r="K19" i="12" s="1"/>
  <c r="L19" i="12" s="1"/>
  <c r="H19" i="12"/>
  <c r="G20" i="13"/>
  <c r="J18" i="12"/>
  <c r="H18" i="12"/>
  <c r="J14" i="12"/>
  <c r="K14" i="12" s="1"/>
  <c r="L14" i="12" s="1"/>
  <c r="H14" i="12"/>
  <c r="J12" i="12"/>
  <c r="K12" i="12" s="1"/>
  <c r="L12" i="12" s="1"/>
  <c r="H12" i="12"/>
  <c r="I24" i="13"/>
  <c r="H27" i="13"/>
  <c r="H14" i="13"/>
  <c r="I9" i="13"/>
  <c r="J11" i="12"/>
  <c r="H11" i="12"/>
  <c r="I7" i="13"/>
  <c r="G7" i="13"/>
  <c r="J13" i="12"/>
  <c r="K13" i="12" s="1"/>
  <c r="L13" i="12" s="1"/>
  <c r="H13" i="12"/>
  <c r="J33" i="12"/>
  <c r="K33" i="12" s="1"/>
  <c r="L33" i="12" s="1"/>
  <c r="H33" i="12"/>
  <c r="H20" i="13"/>
  <c r="I16" i="13"/>
  <c r="J20" i="12"/>
  <c r="K20" i="12" s="1"/>
  <c r="L20" i="12" s="1"/>
  <c r="H20" i="12"/>
  <c r="I29" i="13"/>
  <c r="J31" i="12"/>
  <c r="K31" i="12" s="1"/>
  <c r="L31" i="12" s="1"/>
  <c r="H31" i="12"/>
  <c r="I14" i="55" l="1"/>
  <c r="I18" i="55"/>
  <c r="I19" i="55"/>
  <c r="I17" i="55"/>
  <c r="I21" i="55"/>
  <c r="I16" i="55"/>
  <c r="I15" i="55"/>
  <c r="I10" i="55"/>
  <c r="I12" i="55" s="1"/>
  <c r="P8" i="8"/>
  <c r="Q8" i="8" s="1"/>
  <c r="R8" i="8" s="1"/>
  <c r="P14" i="8"/>
  <c r="Q14" i="8" s="1"/>
  <c r="P11" i="8"/>
  <c r="Q11" i="8" s="1"/>
  <c r="S11" i="8" s="1"/>
  <c r="P7" i="8"/>
  <c r="Q7" i="8" s="1"/>
  <c r="R7" i="8" s="1"/>
  <c r="P13" i="8"/>
  <c r="Q13" i="8" s="1"/>
  <c r="S13" i="8" s="1"/>
  <c r="G42" i="8"/>
  <c r="G62" i="8" s="1"/>
  <c r="P16" i="8"/>
  <c r="Q16" i="8" s="1"/>
  <c r="S16" i="8" s="1"/>
  <c r="P28" i="8"/>
  <c r="Q28" i="8" s="1"/>
  <c r="R28" i="8" s="1"/>
  <c r="P10" i="8"/>
  <c r="Q10" i="8" s="1"/>
  <c r="S10" i="8" s="1"/>
  <c r="P12" i="8"/>
  <c r="Q12" i="8" s="1"/>
  <c r="R12" i="8" s="1"/>
  <c r="P17" i="8"/>
  <c r="Q17" i="8" s="1"/>
  <c r="R17" i="8" s="1"/>
  <c r="G45" i="8"/>
  <c r="G49" i="8" s="1"/>
  <c r="G63" i="8" s="1"/>
  <c r="P18" i="8"/>
  <c r="Q18" i="8" s="1"/>
  <c r="R18" i="8" s="1"/>
  <c r="P15" i="8"/>
  <c r="Q15" i="8" s="1"/>
  <c r="R15" i="8" s="1"/>
  <c r="P9" i="8"/>
  <c r="Q9" i="8" s="1"/>
  <c r="S9" i="8" s="1"/>
  <c r="S26" i="8"/>
  <c r="R26" i="8"/>
  <c r="G33" i="13"/>
  <c r="F20" i="13"/>
  <c r="I20" i="13"/>
  <c r="I27" i="13"/>
  <c r="F27" i="13"/>
  <c r="J29" i="12"/>
  <c r="G29" i="12" s="1"/>
  <c r="H29" i="12" s="1"/>
  <c r="K26" i="12"/>
  <c r="H33" i="13"/>
  <c r="K11" i="12"/>
  <c r="J16" i="12"/>
  <c r="F14" i="13"/>
  <c r="I14" i="13"/>
  <c r="J22" i="12"/>
  <c r="G22" i="12" s="1"/>
  <c r="H22" i="12" s="1"/>
  <c r="K18" i="12"/>
  <c r="I22" i="55" l="1"/>
  <c r="S8" i="8"/>
  <c r="R16" i="8"/>
  <c r="S7" i="8"/>
  <c r="R11" i="8"/>
  <c r="S28" i="8"/>
  <c r="S17" i="8"/>
  <c r="S15" i="8"/>
  <c r="R10" i="8"/>
  <c r="R9" i="8"/>
  <c r="R13" i="8"/>
  <c r="S18" i="8"/>
  <c r="P20" i="8"/>
  <c r="P24" i="8" s="1"/>
  <c r="S12" i="8"/>
  <c r="S14" i="8"/>
  <c r="R14" i="8"/>
  <c r="Q20" i="8"/>
  <c r="K22" i="12"/>
  <c r="L22" i="12" s="1"/>
  <c r="L18" i="12"/>
  <c r="G16" i="12"/>
  <c r="H16" i="12" s="1"/>
  <c r="J35" i="12"/>
  <c r="G35" i="12" s="1"/>
  <c r="H35" i="12" s="1"/>
  <c r="F33" i="13"/>
  <c r="I33" i="13"/>
  <c r="K16" i="12"/>
  <c r="L11" i="12"/>
  <c r="K29" i="12"/>
  <c r="L29" i="12" s="1"/>
  <c r="L26" i="12"/>
  <c r="P22" i="8" l="1"/>
  <c r="R20" i="8"/>
  <c r="R24" i="8" s="1"/>
  <c r="Q24" i="8"/>
  <c r="Q22" i="8"/>
  <c r="S22" i="8" s="1"/>
  <c r="S20" i="8"/>
  <c r="L16" i="12"/>
  <c r="K35" i="12"/>
  <c r="L35" i="12" s="1"/>
  <c r="R22" i="8" l="1"/>
</calcChain>
</file>

<file path=xl/sharedStrings.xml><?xml version="1.0" encoding="utf-8"?>
<sst xmlns="http://schemas.openxmlformats.org/spreadsheetml/2006/main" count="708" uniqueCount="367">
  <si>
    <t>Schedule</t>
  </si>
  <si>
    <t>Residential</t>
  </si>
  <si>
    <t>PUGET SOUND ENERGY</t>
  </si>
  <si>
    <t>LOW INCOME PROGRAM</t>
  </si>
  <si>
    <t>ELECTRIC</t>
  </si>
  <si>
    <t>GAS</t>
  </si>
  <si>
    <t>TOTAL</t>
  </si>
  <si>
    <t>Puget Sound Energy</t>
  </si>
  <si>
    <t>Settlement Methodology</t>
  </si>
  <si>
    <t>Line No.</t>
  </si>
  <si>
    <t>Lamp Type</t>
  </si>
  <si>
    <t>$ / kWh</t>
  </si>
  <si>
    <t>Mercury Vapor</t>
  </si>
  <si>
    <t>Sodium Vapor</t>
  </si>
  <si>
    <t>A</t>
  </si>
  <si>
    <t>B</t>
  </si>
  <si>
    <t>C</t>
  </si>
  <si>
    <t>Residential Customer Impacts</t>
  </si>
  <si>
    <t>Customer Bill</t>
  </si>
  <si>
    <t>Month</t>
  </si>
  <si>
    <t>kWh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</si>
  <si>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</si>
  <si>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</si>
  <si>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</si>
  <si>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</si>
  <si>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</si>
  <si>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</si>
  <si>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</si>
  <si>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</si>
  <si>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</si>
  <si>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</si>
  <si>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</si>
  <si>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</si>
  <si>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</si>
  <si>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</si>
  <si>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</si>
  <si>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</si>
  <si>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Average Cents</t>
  </si>
  <si>
    <t>Customer Monthly Charge:</t>
  </si>
  <si>
    <t>per Month</t>
  </si>
  <si>
    <t>Energy Charge:</t>
  </si>
  <si>
    <t>Schedule 7 first 600 kWh</t>
  </si>
  <si>
    <t>Schedule 7 over 600 kWh</t>
  </si>
  <si>
    <t>Schedule 95 - Power Cost Adjustment Clause</t>
  </si>
  <si>
    <t>Schedule 95A - Wind Power Production Credit</t>
  </si>
  <si>
    <t>Schedule 120 - Conservation Rider</t>
  </si>
  <si>
    <t>Schedule 129 - Low Income</t>
  </si>
  <si>
    <t>Schedule 194 - BPA Exchange Credit</t>
  </si>
  <si>
    <t>D</t>
  </si>
  <si>
    <t>Sec Gen Svc - Small</t>
  </si>
  <si>
    <t>Sec Gen Svc - Medium</t>
  </si>
  <si>
    <t>Sec Gen Svc - Large</t>
  </si>
  <si>
    <t>Sec Irrigation Svc</t>
  </si>
  <si>
    <t>Secondary Service Total</t>
  </si>
  <si>
    <t>Pri Gen Svc</t>
  </si>
  <si>
    <t>Pri Irrigation Svc</t>
  </si>
  <si>
    <t>Pri Interruptible Svc</t>
  </si>
  <si>
    <t>Primary Service Total</t>
  </si>
  <si>
    <t>Campus Service</t>
  </si>
  <si>
    <t>HV Interruptible Svc</t>
  </si>
  <si>
    <t>HV Gen Svc</t>
  </si>
  <si>
    <t>High Voltage Service Total</t>
  </si>
  <si>
    <t>Lights</t>
  </si>
  <si>
    <t>Total</t>
  </si>
  <si>
    <t>Firm Resale</t>
  </si>
  <si>
    <t>Total Sales</t>
  </si>
  <si>
    <t>Check</t>
  </si>
  <si>
    <t>check</t>
  </si>
  <si>
    <t>Customer Rate Impacts</t>
  </si>
  <si>
    <t>Customer Class</t>
  </si>
  <si>
    <t>$ Increase (Decrease) Due To Rate Change</t>
  </si>
  <si>
    <t>% Increase (Decrease) Due To Rate Change</t>
  </si>
  <si>
    <t>D=
B+E</t>
  </si>
  <si>
    <t>E=
A*C</t>
  </si>
  <si>
    <t>F=
E/B</t>
  </si>
  <si>
    <t>Low Income Revenue Requirement</t>
  </si>
  <si>
    <t>aa</t>
  </si>
  <si>
    <t>Campus Rate</t>
  </si>
  <si>
    <t xml:space="preserve"> </t>
  </si>
  <si>
    <t xml:space="preserve">REVENUE REQUIREMENTS </t>
  </si>
  <si>
    <t>Revenue Sensitive Items:</t>
  </si>
  <si>
    <t>Current Annual Filing Fee</t>
  </si>
  <si>
    <t>E = D - C</t>
  </si>
  <si>
    <t>H=
G - F</t>
  </si>
  <si>
    <t>I=
H / F</t>
  </si>
  <si>
    <t>Schedule 132 - Merger Credit</t>
  </si>
  <si>
    <t>Change In Rates</t>
  </si>
  <si>
    <t>Low Income Revenue Requirement as % of Total</t>
  </si>
  <si>
    <t xml:space="preserve">Current State Utility Tax </t>
  </si>
  <si>
    <t>Schedule 133 - Regulatory Asset Tracker</t>
  </si>
  <si>
    <t>Voltage Level</t>
  </si>
  <si>
    <t>(a)</t>
  </si>
  <si>
    <t>(b)</t>
  </si>
  <si>
    <t>(d)</t>
  </si>
  <si>
    <t>(f)</t>
  </si>
  <si>
    <t>Total Residential</t>
  </si>
  <si>
    <t>Secondary Voltage</t>
  </si>
  <si>
    <t>Demand &lt;= 50 kW</t>
  </si>
  <si>
    <t>Demand &gt; 50 kW but &lt;= 350 kW</t>
  </si>
  <si>
    <t>Demand &gt; 350 kW</t>
  </si>
  <si>
    <t>Seasonal Irrigation &amp; Drainage Pumping</t>
  </si>
  <si>
    <t>Total Secondary Voltage</t>
  </si>
  <si>
    <t>Primary Voltage</t>
  </si>
  <si>
    <t>General Service</t>
  </si>
  <si>
    <t>Interruptible Total Electric Schools</t>
  </si>
  <si>
    <t>Total Primary Voltage</t>
  </si>
  <si>
    <t>High Voltage</t>
  </si>
  <si>
    <t>Interruptible</t>
  </si>
  <si>
    <t>Total High Voltage</t>
  </si>
  <si>
    <t>Lighting</t>
  </si>
  <si>
    <t>Retail Wheeling</t>
  </si>
  <si>
    <t>Total Jurisdictional Retail Sales</t>
  </si>
  <si>
    <t>Total Firm Resale / Special Contract</t>
  </si>
  <si>
    <t>Total Sales to Customers</t>
  </si>
  <si>
    <t>Schedule 137 - Renewable Energy Credit</t>
  </si>
  <si>
    <t>Proposed % to Forecast Revenue</t>
  </si>
  <si>
    <t>LINE 
NO.</t>
  </si>
  <si>
    <t>Electric</t>
  </si>
  <si>
    <t>Gas</t>
  </si>
  <si>
    <t xml:space="preserve">(c) </t>
  </si>
  <si>
    <t>(e)</t>
  </si>
  <si>
    <t>(g)</t>
  </si>
  <si>
    <t>(h)</t>
  </si>
  <si>
    <t>(i)</t>
  </si>
  <si>
    <t>Schedule 140 - Property Tax Rider</t>
  </si>
  <si>
    <t>Schedule 141 - ERF Rider - 1 Phase Basic Charge</t>
  </si>
  <si>
    <t>Schedule 141 - ERF Rider - First 600 kWh</t>
  </si>
  <si>
    <t>Schedule 141 - ERF Rider - Over 600 kWh</t>
  </si>
  <si>
    <t>Schedule 142 - Decoupling Rider</t>
  </si>
  <si>
    <t>Year</t>
  </si>
  <si>
    <t>Subtotal Base Monthly Charge</t>
  </si>
  <si>
    <t>Subtotal Base First 600 kWh Charge</t>
  </si>
  <si>
    <t>Subtotal Base Over 600 kWh Charge</t>
  </si>
  <si>
    <t>Estimated Proforma Revenue $ / kWh</t>
  </si>
  <si>
    <t>Notes</t>
  </si>
  <si>
    <t>8 / 24</t>
  </si>
  <si>
    <t>11 / 25 / 7A</t>
  </si>
  <si>
    <t>12 / 26 / 26P</t>
  </si>
  <si>
    <t>3, 50 - 59</t>
  </si>
  <si>
    <t>10 / 31</t>
  </si>
  <si>
    <t>449 / 459</t>
  </si>
  <si>
    <t>RC 05</t>
  </si>
  <si>
    <t>RC 07</t>
  </si>
  <si>
    <t>RC 7A</t>
  </si>
  <si>
    <t>RC 08</t>
  </si>
  <si>
    <t>RC 10</t>
  </si>
  <si>
    <t>RC 11</t>
  </si>
  <si>
    <t>RC 12</t>
  </si>
  <si>
    <t>RC 24C</t>
  </si>
  <si>
    <t>RC 24I</t>
  </si>
  <si>
    <t>RC 25C</t>
  </si>
  <si>
    <t>RC 25I</t>
  </si>
  <si>
    <t>RC 26C</t>
  </si>
  <si>
    <t>RC 26I</t>
  </si>
  <si>
    <t>RC 29</t>
  </si>
  <si>
    <t>RC 31C</t>
  </si>
  <si>
    <t>RC 31I</t>
  </si>
  <si>
    <t>RC 35</t>
  </si>
  <si>
    <t>RC 43</t>
  </si>
  <si>
    <t>RC 46C</t>
  </si>
  <si>
    <t>RC 46I</t>
  </si>
  <si>
    <t>RC 49C</t>
  </si>
  <si>
    <t>RC 49I</t>
  </si>
  <si>
    <t>RC 24L</t>
  </si>
  <si>
    <t>RC 25L</t>
  </si>
  <si>
    <t>8&amp;24</t>
  </si>
  <si>
    <t>10&amp;31</t>
  </si>
  <si>
    <t>Note 1 -  Excludes Rider Schedules 95a, 120, 129,132, 137, 140 and 194
              - Includes Rider Schedules 95, 141 and 142 Revenue</t>
  </si>
  <si>
    <t>11,25 &amp; 7A</t>
  </si>
  <si>
    <t>12,26 &amp; 26P</t>
  </si>
  <si>
    <t>449&amp;459</t>
  </si>
  <si>
    <t>F=
B+(A*C)</t>
  </si>
  <si>
    <t>G=
B+(A*D)</t>
  </si>
  <si>
    <t>C=
(aa*B)/A</t>
  </si>
  <si>
    <t>Note 1 -  Excludes Rider Schedules 95a, 120, 129,132, 137, 140 and 194
           -  Includes Rider Schedules 95, 141 and 142 Revenue</t>
  </si>
  <si>
    <t>As-Delivered Monthly Sales &amp; Transportation by Rate Schedule</t>
  </si>
  <si>
    <t>Tariff 7</t>
  </si>
  <si>
    <t>Tariff 7A</t>
  </si>
  <si>
    <t>Tariff 24</t>
  </si>
  <si>
    <t>Tariff 25</t>
  </si>
  <si>
    <t>Tariff 26</t>
  </si>
  <si>
    <t>Tariff 29</t>
  </si>
  <si>
    <t>Tariff 31</t>
  </si>
  <si>
    <t>Tariff 35</t>
  </si>
  <si>
    <t>Tariff 43</t>
  </si>
  <si>
    <t>Tariff 46</t>
  </si>
  <si>
    <t>Tariff 49</t>
  </si>
  <si>
    <t>Transportation</t>
  </si>
  <si>
    <t>Total Tariff</t>
  </si>
  <si>
    <t>Present Base Rates</t>
  </si>
  <si>
    <t>Sch 95</t>
  </si>
  <si>
    <t>Sch 95A</t>
  </si>
  <si>
    <t>Sch 120</t>
  </si>
  <si>
    <t>Sch 129</t>
  </si>
  <si>
    <t>Sch 132</t>
  </si>
  <si>
    <t>Sch 137</t>
  </si>
  <si>
    <t>Sch 140</t>
  </si>
  <si>
    <t>Sch 141</t>
  </si>
  <si>
    <t>Sch 142</t>
  </si>
  <si>
    <t>Sch 194</t>
  </si>
  <si>
    <t>Current Residential Bill</t>
  </si>
  <si>
    <t>Remove:  Schedule 129</t>
  </si>
  <si>
    <t>Add:  Schedule 129</t>
  </si>
  <si>
    <t>Proposed Residential Bill</t>
  </si>
  <si>
    <t xml:space="preserve">Typical Residential 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</si>
  <si>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</si>
  <si>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</si>
  <si>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</si>
  <si>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</si>
  <si>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</si>
  <si>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</si>
  <si>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Forecast kWh</t>
  </si>
  <si>
    <t>Forecast Customer Count</t>
  </si>
  <si>
    <t>Average Use per Customer</t>
  </si>
  <si>
    <t>Average</t>
  </si>
  <si>
    <t>Forecast Delivered kWh
Oct 2017 Through
Sept 2018</t>
  </si>
  <si>
    <t>Forecast Delivered Revenue
Oct 2017 Through
Sept 2018
(Note 1)</t>
  </si>
  <si>
    <t>$ Including Proposed 2017 Low Income</t>
  </si>
  <si>
    <t>2017 Low Income Customer Charge</t>
  </si>
  <si>
    <t xml:space="preserve">Proposed Equal %
2017 Low Income Rider </t>
  </si>
  <si>
    <t>Proposed 2017 Low Income $</t>
  </si>
  <si>
    <t>RC 03</t>
  </si>
  <si>
    <t>RC 50</t>
  </si>
  <si>
    <t>RC 51</t>
  </si>
  <si>
    <t>RC 52</t>
  </si>
  <si>
    <t>RC 53</t>
  </si>
  <si>
    <t>RC 54</t>
  </si>
  <si>
    <t>RC 55</t>
  </si>
  <si>
    <t>RC 56</t>
  </si>
  <si>
    <t>RC 57</t>
  </si>
  <si>
    <t>RC 58</t>
  </si>
  <si>
    <t>RC 59</t>
  </si>
  <si>
    <t>Summary Page Bill Calc</t>
  </si>
  <si>
    <t>Current Year Low Income Cap</t>
  </si>
  <si>
    <t>Public Utility Tax Credits Received from Department of Revenue under RCW 82.16.0497</t>
  </si>
  <si>
    <t>Note 1 -  Includes all Rider Revenue and Revenue Credits from Schedules 95, 95a, 120, 132, 137, 140, 141, 142 and 194
               - Excludes Sch 129 Low Income</t>
  </si>
  <si>
    <t>2018 Low Income Customer Charge</t>
  </si>
  <si>
    <t>For the Twelve Months ended September 2019</t>
  </si>
  <si>
    <t>Forecast Delivered kWh
Oct 2018 Through
Sept 2019</t>
  </si>
  <si>
    <t>Forecast Delivered Revenue
Oct 2018 Through
Sept 2019
(Note 1)</t>
  </si>
  <si>
    <t>2017
Low Income
Rider Effective
10-1-17</t>
  </si>
  <si>
    <t xml:space="preserve">Proposed
2018
Low Income
Rider </t>
  </si>
  <si>
    <t>$ Including 2017 Low Income Effective
10-1-17</t>
  </si>
  <si>
    <t>$ Including Proposed 2018 Low Income</t>
  </si>
  <si>
    <t xml:space="preserve">Proposed Equal %
2018 Low Income Rider </t>
  </si>
  <si>
    <t>Proposed 2018 Low Income $</t>
  </si>
  <si>
    <t>Present Rates Effective 
5-1-18</t>
  </si>
  <si>
    <t>kWh
October 2018 to September 2019</t>
  </si>
  <si>
    <t>Estimated Revenue October 2018 to September 2019</t>
  </si>
  <si>
    <t>Estimated Base Revenue October 2018 to September 2019</t>
  </si>
  <si>
    <t>Estimated Sch 142 Revenue October 2018 to September 2019</t>
  </si>
  <si>
    <t>Total Estimated Revenue less Schedule 129
(October 2018 to September 2019)</t>
  </si>
  <si>
    <t>Electric Rates Effective 6-1-2018</t>
  </si>
  <si>
    <t>Twelve Months ended September 2019</t>
  </si>
  <si>
    <t>RC 40C</t>
  </si>
  <si>
    <t>RC 40I</t>
  </si>
  <si>
    <t>Sales Total</t>
  </si>
  <si>
    <t>RC 449PV</t>
  </si>
  <si>
    <t>RC449HV</t>
  </si>
  <si>
    <t>RC 459HV</t>
  </si>
  <si>
    <t>Sales+Transport</t>
  </si>
  <si>
    <t>Transport</t>
  </si>
  <si>
    <t>Commercial</t>
  </si>
  <si>
    <t>Industrial</t>
  </si>
  <si>
    <t>Customers</t>
  </si>
  <si>
    <t>Date</t>
  </si>
  <si>
    <t>Streetlight</t>
  </si>
  <si>
    <t>Resale</t>
  </si>
  <si>
    <t>F2018 Final Electric Load Forecast</t>
  </si>
  <si>
    <t>F2018 Average Residential Usage YE September 2019</t>
  </si>
  <si>
    <t>Load (MWh)</t>
  </si>
  <si>
    <t>Losses were assumed at 7.1%</t>
  </si>
  <si>
    <t>Net of Conservation</t>
  </si>
  <si>
    <t>Total Delivered</t>
  </si>
  <si>
    <t>Losses</t>
  </si>
  <si>
    <t>Total Load</t>
  </si>
  <si>
    <t>Station Service</t>
  </si>
  <si>
    <t>Station Service Losses</t>
  </si>
  <si>
    <t>Full Load</t>
  </si>
  <si>
    <t>Total Oct 2018-Sept 2019</t>
  </si>
  <si>
    <t>Tariff 40 &amp; 451</t>
  </si>
  <si>
    <t>(c)</t>
  </si>
  <si>
    <t>(d) = (e) + (f)</t>
  </si>
  <si>
    <t>(i) = (g) - (h)</t>
  </si>
  <si>
    <t>Per W charge</t>
  </si>
  <si>
    <t>57E</t>
  </si>
  <si>
    <t>Sch 57</t>
  </si>
  <si>
    <t>800.01 - 900</t>
  </si>
  <si>
    <t>Light Emitting Diode</t>
  </si>
  <si>
    <t>700.01 - 800</t>
  </si>
  <si>
    <t>600.01 - 700</t>
  </si>
  <si>
    <t>500.01 - 600</t>
  </si>
  <si>
    <t>400.01 - 500</t>
  </si>
  <si>
    <t>300.01 - 400</t>
  </si>
  <si>
    <t>270.01 - 300</t>
  </si>
  <si>
    <t>240.01 - 270</t>
  </si>
  <si>
    <t>210.01 - 240</t>
  </si>
  <si>
    <t>180.01 - 210</t>
  </si>
  <si>
    <t>150.01 - 180</t>
  </si>
  <si>
    <t>120.01 - 150</t>
  </si>
  <si>
    <t>90.01 - 120</t>
  </si>
  <si>
    <t>60.01 - 90</t>
  </si>
  <si>
    <t>30.01 - 60</t>
  </si>
  <si>
    <t>58E &amp; 59E</t>
  </si>
  <si>
    <t>Metal Halide</t>
  </si>
  <si>
    <t>58E &amp; 59E - Horizontal</t>
  </si>
  <si>
    <t>58E &amp; 59E - Directional</t>
  </si>
  <si>
    <t>Sch 58 &amp; 59</t>
  </si>
  <si>
    <t>55E &amp; 56E</t>
  </si>
  <si>
    <t>Sch 55 &amp; 56</t>
  </si>
  <si>
    <t>54E</t>
  </si>
  <si>
    <t>Sch 54E</t>
  </si>
  <si>
    <t>53E - Customer Owned</t>
  </si>
  <si>
    <t>53E - Company Owned</t>
  </si>
  <si>
    <t>Sch 53E</t>
  </si>
  <si>
    <t xml:space="preserve">52E </t>
  </si>
  <si>
    <t>Sch 52E</t>
  </si>
  <si>
    <t>51E</t>
  </si>
  <si>
    <t>Sch 51E</t>
  </si>
  <si>
    <t>50E-B</t>
  </si>
  <si>
    <t>50E-A</t>
  </si>
  <si>
    <t>Compact Flourescent</t>
  </si>
  <si>
    <t>003</t>
  </si>
  <si>
    <t>Sch 50E</t>
  </si>
  <si>
    <t>Wattage (W)</t>
  </si>
  <si>
    <t>2018 Low Income Workpapers</t>
  </si>
  <si>
    <t>Test Year Ending September 30, 2019</t>
  </si>
  <si>
    <t>= (a) * (d)</t>
  </si>
  <si>
    <t>= (b) * (d)</t>
  </si>
  <si>
    <t>Schedule 50</t>
  </si>
  <si>
    <t>Schedule 51</t>
  </si>
  <si>
    <t>Schedule 52</t>
  </si>
  <si>
    <t>Schedule 53</t>
  </si>
  <si>
    <t>Schedule 54</t>
  </si>
  <si>
    <t>Schedule 57</t>
  </si>
  <si>
    <t>Schedule 55-56</t>
  </si>
  <si>
    <t>Schedule 58-59</t>
  </si>
  <si>
    <t>All Lighting</t>
  </si>
  <si>
    <t>= (a) * (AA)</t>
  </si>
  <si>
    <t>AA</t>
  </si>
  <si>
    <t>Difference Due to Rounding</t>
  </si>
  <si>
    <t>50 - 59</t>
  </si>
  <si>
    <t>50-59</t>
  </si>
  <si>
    <t>LFG's F2018 Forecast as of May 25, 2018</t>
  </si>
  <si>
    <t>Annual Lamp Inventory @ 7/31/2018</t>
  </si>
  <si>
    <t>Schedule 129 Lighting Revenue Requirement to Collect</t>
  </si>
  <si>
    <t>Total Lamp Revenue Requirement Based on Inventory</t>
  </si>
  <si>
    <t>Forecast Delivered Base Revenue
Oct 2018 Through
Sept 2019
(Note 1)</t>
  </si>
  <si>
    <t>Less Sch 129 
(Rates Effective 10-1-2017)</t>
  </si>
  <si>
    <t>Estimated Revenue October 2018 to September 2019 (All Riders + Base) 
Rates Effective
6-1-2018</t>
  </si>
  <si>
    <t>Base Rates include Schedule 142 (Schedules 95 (PCA) and 141 (ERF) currently set to zero)</t>
  </si>
  <si>
    <t>OCTOBER 2018 THROUGH SEPTEMBER 2019</t>
  </si>
  <si>
    <t>Under / (Over) collection through September 2018 (Excludes Revenue Sensitive Items)</t>
  </si>
  <si>
    <t>Amount to be recovered October 2018 through September 2019 = Line 1 + Line 1 + Line 4</t>
  </si>
  <si>
    <t>Bad Debts Conversion Factor used in 2017GRC UE-170033, et al</t>
  </si>
  <si>
    <t>Conversion Factor = 1 - Line 9 - Line 10 - Line 11</t>
  </si>
  <si>
    <t>Low income revenue requirement to be recovered in rates = Line 6 ÷ Line 13</t>
  </si>
  <si>
    <t>Low Income revenue requirement set in rates in October 2017</t>
  </si>
  <si>
    <t>Change in Revenue Requirement</t>
  </si>
  <si>
    <t>Current Base Lamp Demand &amp; Energy Charges from COS Effective 
6-1-2018</t>
  </si>
  <si>
    <t>Demand-Related</t>
  </si>
  <si>
    <t>Energy-Related</t>
  </si>
  <si>
    <t>Low Income Revenue Requirement Ratio to Base Demand &amp; Energy Light Charge Cost</t>
  </si>
  <si>
    <t>Current Base Lamp Demand &amp; Energy Cost @ 10-4-2018</t>
  </si>
  <si>
    <t>Proposed Schedule 129 Lamp Revenue @ 10-4-2018</t>
  </si>
  <si>
    <t>Proposed Schedule 129 Lamp Charge Effective 
10-4-2018</t>
  </si>
  <si>
    <t>Proposed Rates Effective 
10-4-18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</si>
</sst>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0_);_(&quot;$&quot;* \(#,##0.000000\);_(&quot;$&quot;* &quot;-&quot;??_);_(@_)"/>
    <numFmt numFmtId="167" formatCode="_(* #,##0_);_(* \(#,##0\);_(* &quot;-&quot;??_);_(@_)"/>
    <numFmt numFmtId="168" formatCode="_(* #,##0.0000000_);_(* \(#,##0.0000000\);_(* &quot;-&quot;??_);_(@_)"/>
    <numFmt numFmtId="169" formatCode="0.000%"/>
    <numFmt numFmtId="170" formatCode="0.0000\ \¢"/>
    <numFmt numFmtId="171" formatCode="&quot;$&quot;#,##0.00"/>
    <numFmt numFmtId="172" formatCode="0.0000000"/>
    <numFmt numFmtId="173" formatCode="#,##0.000000_);\(#,##0.000000\)"/>
    <numFmt numFmtId="174" formatCode="0.0000%"/>
    <numFmt numFmtId="175" formatCode="_(* #,##0.000000_);_(* \(#,##0.00000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name val="Arial"/>
      <family val="2"/>
    </font>
    <font>
      <sz val="24"/>
      <color theme="1"/>
      <name val="Calibri"/>
      <family val="2"/>
    </font>
    <font>
      <sz val="16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Times New Roman"/>
      <family val="1"/>
    </font>
    <font>
      <sz val="9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366">
    <xf numFmtId="0" fontId="0" fillId="0" borderId="0" xfId="0"/>
    <xf numFmtId="0" fontId="0" fillId="0" borderId="0" xfId="0" applyFill="1" applyBorder="1" applyAlignment="1">
      <alignment horizontal="centerContinuous"/>
    </xf>
    <xf numFmtId="0" fontId="0" fillId="0" borderId="0" xfId="0" applyBorder="1"/>
    <xf numFmtId="0" fontId="0" fillId="0" borderId="6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quotePrefix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67" fontId="2" fillId="0" borderId="13" xfId="0" applyNumberFormat="1" applyFont="1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167" fontId="2" fillId="0" borderId="0" xfId="0" applyNumberFormat="1" applyFont="1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1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7" fontId="2" fillId="0" borderId="6" xfId="0" quotePrefix="1" applyNumberFormat="1" applyFont="1" applyBorder="1" applyAlignment="1">
      <alignment horizontal="center" wrapText="1"/>
    </xf>
    <xf numFmtId="0" fontId="0" fillId="0" borderId="6" xfId="0" quotePrefix="1" applyBorder="1" applyAlignment="1">
      <alignment horizontal="center" wrapText="1"/>
    </xf>
    <xf numFmtId="0" fontId="0" fillId="0" borderId="18" xfId="0" quotePrefix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7" fontId="2" fillId="0" borderId="0" xfId="0" applyNumberFormat="1" applyFont="1" applyBorder="1"/>
    <xf numFmtId="0" fontId="0" fillId="0" borderId="16" xfId="0" applyBorder="1"/>
    <xf numFmtId="164" fontId="2" fillId="0" borderId="0" xfId="0" applyNumberFormat="1" applyFont="1" applyBorder="1"/>
    <xf numFmtId="170" fontId="0" fillId="0" borderId="0" xfId="0" applyNumberFormat="1" applyBorder="1"/>
    <xf numFmtId="0" fontId="0" fillId="0" borderId="6" xfId="0" applyBorder="1" applyAlignment="1">
      <alignment horizontal="center"/>
    </xf>
    <xf numFmtId="167" fontId="2" fillId="0" borderId="6" xfId="0" applyNumberFormat="1" applyFont="1" applyBorder="1"/>
    <xf numFmtId="0" fontId="0" fillId="0" borderId="6" xfId="0" applyBorder="1"/>
    <xf numFmtId="164" fontId="2" fillId="0" borderId="6" xfId="0" applyNumberFormat="1" applyFont="1" applyBorder="1"/>
    <xf numFmtId="0" fontId="0" fillId="0" borderId="0" xfId="0" applyBorder="1" applyAlignment="1">
      <alignment horizontal="left"/>
    </xf>
    <xf numFmtId="164" fontId="0" fillId="0" borderId="0" xfId="0" applyNumberFormat="1" applyBorder="1"/>
    <xf numFmtId="167" fontId="2" fillId="0" borderId="0" xfId="0" applyNumberFormat="1" applyFont="1" applyFill="1" applyBorder="1"/>
    <xf numFmtId="164" fontId="2" fillId="0" borderId="0" xfId="0" applyNumberFormat="1" applyFont="1" applyFill="1" applyBorder="1"/>
    <xf numFmtId="167" fontId="2" fillId="0" borderId="6" xfId="0" applyNumberFormat="1" applyFont="1" applyBorder="1" applyAlignment="1">
      <alignment horizontal="center" wrapText="1"/>
    </xf>
    <xf numFmtId="0" fontId="0" fillId="0" borderId="12" xfId="0" applyFill="1" applyBorder="1" applyAlignment="1">
      <alignment horizontal="centerContinuous"/>
    </xf>
    <xf numFmtId="0" fontId="0" fillId="0" borderId="13" xfId="0" applyFill="1" applyBorder="1" applyAlignment="1">
      <alignment horizontal="centerContinuous"/>
    </xf>
    <xf numFmtId="167" fontId="2" fillId="0" borderId="13" xfId="0" applyNumberFormat="1" applyFont="1" applyFill="1" applyBorder="1" applyAlignment="1">
      <alignment horizontal="centerContinuous"/>
    </xf>
    <xf numFmtId="0" fontId="0" fillId="0" borderId="14" xfId="0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167" fontId="2" fillId="0" borderId="0" xfId="0" applyNumberFormat="1" applyFont="1" applyFill="1" applyBorder="1" applyAlignment="1">
      <alignment horizontal="centerContinuous"/>
    </xf>
    <xf numFmtId="0" fontId="0" fillId="0" borderId="16" xfId="0" applyFill="1" applyBorder="1" applyAlignment="1">
      <alignment horizontal="centerContinuous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167" fontId="2" fillId="0" borderId="6" xfId="0" applyNumberFormat="1" applyFont="1" applyFill="1" applyBorder="1" applyAlignment="1">
      <alignment horizontal="center" wrapText="1"/>
    </xf>
    <xf numFmtId="0" fontId="0" fillId="0" borderId="6" xfId="0" quotePrefix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167" fontId="2" fillId="0" borderId="0" xfId="0" applyNumberFormat="1" applyFont="1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2" xfId="0" applyFill="1" applyBorder="1"/>
    <xf numFmtId="0" fontId="0" fillId="0" borderId="13" xfId="0" applyFill="1" applyBorder="1" applyAlignment="1">
      <alignment horizontal="center"/>
    </xf>
    <xf numFmtId="167" fontId="2" fillId="0" borderId="13" xfId="0" applyNumberFormat="1" applyFont="1" applyFill="1" applyBorder="1"/>
    <xf numFmtId="0" fontId="0" fillId="0" borderId="13" xfId="0" applyFill="1" applyBorder="1"/>
    <xf numFmtId="0" fontId="0" fillId="0" borderId="14" xfId="0" applyFill="1" applyBorder="1"/>
    <xf numFmtId="170" fontId="0" fillId="0" borderId="0" xfId="0" applyNumberFormat="1" applyFill="1" applyBorder="1"/>
    <xf numFmtId="169" fontId="0" fillId="0" borderId="16" xfId="0" applyNumberFormat="1" applyFill="1" applyBorder="1"/>
    <xf numFmtId="0" fontId="0" fillId="0" borderId="6" xfId="0" applyFill="1" applyBorder="1" applyAlignment="1">
      <alignment horizontal="center"/>
    </xf>
    <xf numFmtId="167" fontId="2" fillId="0" borderId="6" xfId="0" applyNumberFormat="1" applyFont="1" applyFill="1" applyBorder="1"/>
    <xf numFmtId="164" fontId="2" fillId="0" borderId="6" xfId="0" applyNumberFormat="1" applyFont="1" applyFill="1" applyBorder="1"/>
    <xf numFmtId="0" fontId="0" fillId="0" borderId="18" xfId="0" applyFill="1" applyBorder="1"/>
    <xf numFmtId="0" fontId="5" fillId="0" borderId="0" xfId="0" applyFont="1" applyFill="1" applyBorder="1"/>
    <xf numFmtId="167" fontId="2" fillId="0" borderId="0" xfId="0" applyNumberFormat="1" applyFont="1" applyBorder="1"/>
    <xf numFmtId="164" fontId="2" fillId="0" borderId="0" xfId="0" applyNumberFormat="1" applyFont="1" applyBorder="1"/>
    <xf numFmtId="167" fontId="2" fillId="0" borderId="0" xfId="0" applyNumberFormat="1" applyFont="1" applyFill="1" applyBorder="1"/>
    <xf numFmtId="164" fontId="2" fillId="0" borderId="0" xfId="0" applyNumberFormat="1" applyFont="1" applyFill="1" applyBorder="1"/>
    <xf numFmtId="167" fontId="2" fillId="0" borderId="6" xfId="0" applyNumberFormat="1" applyFont="1" applyFill="1" applyBorder="1"/>
    <xf numFmtId="169" fontId="2" fillId="0" borderId="0" xfId="0" applyNumberFormat="1" applyFont="1" applyFill="1" applyBorder="1"/>
    <xf numFmtId="167" fontId="2" fillId="0" borderId="6" xfId="0" quotePrefix="1" applyNumberFormat="1" applyFont="1" applyFill="1" applyBorder="1" applyAlignment="1">
      <alignment horizontal="center" wrapText="1"/>
    </xf>
    <xf numFmtId="164" fontId="0" fillId="0" borderId="0" xfId="0" applyNumberFormat="1" applyFill="1" applyBorder="1"/>
    <xf numFmtId="0" fontId="0" fillId="0" borderId="0" xfId="0" quotePrefix="1" applyFill="1" applyBorder="1" applyAlignment="1">
      <alignment horizontal="left"/>
    </xf>
    <xf numFmtId="0" fontId="8" fillId="0" borderId="0" xfId="0" applyFont="1" applyFill="1"/>
    <xf numFmtId="0" fontId="8" fillId="0" borderId="8" xfId="0" applyFont="1" applyFill="1" applyBorder="1" applyAlignment="1">
      <alignment horizontal="center" wrapText="1"/>
    </xf>
    <xf numFmtId="0" fontId="8" fillId="0" borderId="8" xfId="0" quotePrefix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quotePrefix="1" applyFont="1" applyFill="1" applyBorder="1" applyAlignment="1">
      <alignment horizontal="center" wrapText="1"/>
    </xf>
    <xf numFmtId="0" fontId="8" fillId="0" borderId="0" xfId="0" quotePrefix="1" applyFont="1" applyFill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167" fontId="8" fillId="0" borderId="0" xfId="0" quotePrefix="1" applyNumberFormat="1" applyFont="1" applyFill="1" applyAlignment="1">
      <alignment horizontal="left"/>
    </xf>
    <xf numFmtId="164" fontId="8" fillId="0" borderId="0" xfId="0" quotePrefix="1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167" fontId="8" fillId="0" borderId="2" xfId="0" applyNumberFormat="1" applyFont="1" applyFill="1" applyBorder="1"/>
    <xf numFmtId="164" fontId="8" fillId="0" borderId="2" xfId="0" applyNumberFormat="1" applyFont="1" applyFill="1" applyBorder="1"/>
    <xf numFmtId="167" fontId="8" fillId="0" borderId="0" xfId="0" applyNumberFormat="1" applyFont="1" applyFill="1" applyBorder="1"/>
    <xf numFmtId="164" fontId="8" fillId="0" borderId="0" xfId="0" applyNumberFormat="1" applyFont="1" applyFill="1" applyBorder="1"/>
    <xf numFmtId="0" fontId="8" fillId="0" borderId="0" xfId="0" quotePrefix="1" applyFont="1" applyFill="1" applyAlignment="1">
      <alignment horizontal="left" indent="1"/>
    </xf>
    <xf numFmtId="0" fontId="8" fillId="0" borderId="0" xfId="0" quotePrefix="1" applyFont="1" applyFill="1" applyAlignment="1">
      <alignment horizontal="left"/>
    </xf>
    <xf numFmtId="164" fontId="8" fillId="0" borderId="7" xfId="0" applyNumberFormat="1" applyFont="1" applyFill="1" applyBorder="1"/>
    <xf numFmtId="164" fontId="8" fillId="0" borderId="9" xfId="0" applyNumberFormat="1" applyFont="1" applyFill="1" applyBorder="1"/>
    <xf numFmtId="167" fontId="8" fillId="0" borderId="7" xfId="0" applyNumberFormat="1" applyFont="1" applyFill="1" applyBorder="1"/>
    <xf numFmtId="167" fontId="8" fillId="0" borderId="0" xfId="0" applyNumberFormat="1" applyFont="1" applyFill="1"/>
    <xf numFmtId="0" fontId="0" fillId="0" borderId="0" xfId="0" applyFill="1" applyBorder="1" applyAlignment="1">
      <alignment horizontal="left"/>
    </xf>
    <xf numFmtId="41" fontId="0" fillId="0" borderId="0" xfId="0" applyNumberFormat="1" applyFill="1" applyBorder="1"/>
    <xf numFmtId="167" fontId="0" fillId="0" borderId="0" xfId="0" applyNumberFormat="1" applyFill="1" applyBorder="1"/>
    <xf numFmtId="0" fontId="0" fillId="0" borderId="18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41" fontId="0" fillId="0" borderId="0" xfId="0" applyNumberFormat="1" applyFill="1" applyBorder="1" applyAlignment="1">
      <alignment wrapText="1"/>
    </xf>
    <xf numFmtId="169" fontId="0" fillId="0" borderId="18" xfId="0" applyNumberFormat="1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16" fontId="0" fillId="0" borderId="0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8" fillId="0" borderId="0" xfId="0" quotePrefix="1" applyFont="1" applyFill="1" applyAlignment="1">
      <alignment horizontal="center"/>
    </xf>
    <xf numFmtId="3" fontId="8" fillId="0" borderId="0" xfId="0" applyNumberFormat="1" applyFont="1" applyFill="1"/>
    <xf numFmtId="3" fontId="0" fillId="0" borderId="0" xfId="0" applyNumberFormat="1" applyFill="1"/>
    <xf numFmtId="166" fontId="0" fillId="0" borderId="0" xfId="0" applyNumberFormat="1" applyFont="1" applyBorder="1"/>
    <xf numFmtId="166" fontId="0" fillId="0" borderId="0" xfId="0" applyNumberFormat="1" applyFont="1" applyFill="1" applyBorder="1"/>
    <xf numFmtId="44" fontId="0" fillId="0" borderId="0" xfId="0" applyNumberFormat="1" applyFill="1"/>
    <xf numFmtId="0" fontId="12" fillId="0" borderId="4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7" fontId="10" fillId="0" borderId="0" xfId="0" applyNumberFormat="1" applyFont="1" applyFill="1" applyBorder="1"/>
    <xf numFmtId="164" fontId="8" fillId="0" borderId="0" xfId="0" applyNumberFormat="1" applyFont="1" applyFill="1"/>
    <xf numFmtId="44" fontId="2" fillId="0" borderId="0" xfId="0" applyNumberFormat="1" applyFont="1" applyFill="1"/>
    <xf numFmtId="0" fontId="2" fillId="0" borderId="0" xfId="0" applyFont="1" applyFill="1"/>
    <xf numFmtId="43" fontId="0" fillId="0" borderId="0" xfId="0" applyNumberFormat="1" applyFont="1" applyFill="1"/>
    <xf numFmtId="0" fontId="12" fillId="0" borderId="45" xfId="0" applyFont="1" applyFill="1" applyBorder="1" applyAlignment="1">
      <alignment horizontal="center"/>
    </xf>
    <xf numFmtId="0" fontId="12" fillId="0" borderId="45" xfId="0" quotePrefix="1" applyFont="1" applyFill="1" applyBorder="1" applyAlignment="1">
      <alignment horizontal="center"/>
    </xf>
    <xf numFmtId="0" fontId="0" fillId="0" borderId="0" xfId="0" quotePrefix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quotePrefix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quotePrefix="1" applyBorder="1" applyAlignment="1">
      <alignment vertical="top" wrapText="1"/>
    </xf>
    <xf numFmtId="0" fontId="0" fillId="0" borderId="17" xfId="0" applyBorder="1" applyAlignment="1">
      <alignment horizontal="center"/>
    </xf>
    <xf numFmtId="0" fontId="0" fillId="0" borderId="0" xfId="0" quotePrefix="1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6" xfId="0" applyFill="1" applyBorder="1" applyAlignment="1">
      <alignment horizontal="center"/>
    </xf>
    <xf numFmtId="14" fontId="0" fillId="0" borderId="0" xfId="0" applyNumberFormat="1" applyFill="1"/>
    <xf numFmtId="167" fontId="0" fillId="0" borderId="12" xfId="0" applyNumberFormat="1" applyFont="1" applyFill="1" applyBorder="1"/>
    <xf numFmtId="167" fontId="0" fillId="0" borderId="13" xfId="0" applyNumberFormat="1" applyFont="1" applyFill="1" applyBorder="1"/>
    <xf numFmtId="167" fontId="0" fillId="0" borderId="14" xfId="0" applyNumberFormat="1" applyFont="1" applyFill="1" applyBorder="1"/>
    <xf numFmtId="167" fontId="0" fillId="0" borderId="15" xfId="0" applyNumberFormat="1" applyFont="1" applyFill="1" applyBorder="1"/>
    <xf numFmtId="167" fontId="0" fillId="0" borderId="0" xfId="0" applyNumberFormat="1" applyFont="1" applyFill="1" applyBorder="1"/>
    <xf numFmtId="167" fontId="0" fillId="0" borderId="16" xfId="0" applyNumberFormat="1" applyFont="1" applyFill="1" applyBorder="1"/>
    <xf numFmtId="167" fontId="0" fillId="0" borderId="0" xfId="0" applyNumberFormat="1"/>
    <xf numFmtId="0" fontId="0" fillId="0" borderId="0" xfId="0" applyFill="1" applyAlignment="1">
      <alignment horizontal="left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3" fontId="0" fillId="2" borderId="21" xfId="0" applyNumberFormat="1" applyFill="1" applyBorder="1" applyAlignment="1">
      <alignment horizontal="right"/>
    </xf>
    <xf numFmtId="3" fontId="0" fillId="2" borderId="0" xfId="0" applyNumberFormat="1" applyFill="1" applyBorder="1"/>
    <xf numFmtId="3" fontId="0" fillId="2" borderId="10" xfId="0" applyNumberFormat="1" applyFill="1" applyBorder="1"/>
    <xf numFmtId="0" fontId="0" fillId="2" borderId="0" xfId="0" applyFill="1"/>
    <xf numFmtId="167" fontId="10" fillId="2" borderId="0" xfId="0" applyNumberFormat="1" applyFont="1" applyFill="1" applyBorder="1"/>
    <xf numFmtId="3" fontId="0" fillId="2" borderId="0" xfId="0" applyNumberFormat="1" applyFill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3" fontId="0" fillId="2" borderId="23" xfId="0" applyNumberFormat="1" applyFill="1" applyBorder="1" applyAlignment="1">
      <alignment horizontal="right"/>
    </xf>
    <xf numFmtId="3" fontId="0" fillId="2" borderId="8" xfId="0" applyNumberFormat="1" applyFill="1" applyBorder="1"/>
    <xf numFmtId="3" fontId="0" fillId="2" borderId="11" xfId="0" applyNumberFormat="1" applyFill="1" applyBorder="1"/>
    <xf numFmtId="0" fontId="0" fillId="2" borderId="19" xfId="0" applyFill="1" applyBorder="1" applyAlignment="1">
      <alignment horizontal="center"/>
    </xf>
    <xf numFmtId="3" fontId="0" fillId="2" borderId="20" xfId="0" applyNumberFormat="1" applyFill="1" applyBorder="1" applyAlignment="1">
      <alignment horizontal="right"/>
    </xf>
    <xf numFmtId="3" fontId="0" fillId="2" borderId="45" xfId="0" applyNumberFormat="1" applyFill="1" applyBorder="1"/>
    <xf numFmtId="3" fontId="0" fillId="2" borderId="19" xfId="0" applyNumberFormat="1" applyFill="1" applyBorder="1"/>
    <xf numFmtId="0" fontId="6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13" fillId="0" borderId="0" xfId="0" applyFont="1" applyFill="1"/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0" fontId="13" fillId="0" borderId="27" xfId="0" applyFont="1" applyFill="1" applyBorder="1" applyAlignment="1">
      <alignment horizontal="centerContinuous"/>
    </xf>
    <xf numFmtId="0" fontId="13" fillId="0" borderId="27" xfId="0" applyFont="1" applyFill="1" applyBorder="1"/>
    <xf numFmtId="0" fontId="4" fillId="0" borderId="31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/>
    </xf>
    <xf numFmtId="0" fontId="0" fillId="0" borderId="33" xfId="0" applyFill="1" applyBorder="1"/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9" fontId="4" fillId="0" borderId="39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42" fontId="2" fillId="0" borderId="26" xfId="0" applyNumberFormat="1" applyFont="1" applyFill="1" applyBorder="1" applyAlignment="1"/>
    <xf numFmtId="42" fontId="0" fillId="0" borderId="26" xfId="0" applyNumberFormat="1" applyFill="1" applyBorder="1" applyAlignment="1">
      <alignment horizontal="center"/>
    </xf>
    <xf numFmtId="41" fontId="2" fillId="0" borderId="26" xfId="0" applyNumberFormat="1" applyFont="1" applyFill="1" applyBorder="1" applyAlignment="1"/>
    <xf numFmtId="174" fontId="0" fillId="0" borderId="0" xfId="0" applyNumberFormat="1" applyFont="1" applyFill="1" applyBorder="1"/>
    <xf numFmtId="174" fontId="0" fillId="0" borderId="5" xfId="0" applyNumberFormat="1" applyFont="1" applyFill="1" applyBorder="1"/>
    <xf numFmtId="0" fontId="0" fillId="0" borderId="26" xfId="0" applyFill="1" applyBorder="1"/>
    <xf numFmtId="164" fontId="2" fillId="0" borderId="26" xfId="0" applyNumberFormat="1" applyFont="1" applyFill="1" applyBorder="1" applyAlignment="1"/>
    <xf numFmtId="164" fontId="0" fillId="0" borderId="26" xfId="0" applyNumberFormat="1" applyFill="1" applyBorder="1" applyAlignment="1">
      <alignment horizontal="center"/>
    </xf>
    <xf numFmtId="0" fontId="2" fillId="0" borderId="24" xfId="0" applyFont="1" applyFill="1" applyBorder="1"/>
    <xf numFmtId="0" fontId="0" fillId="0" borderId="5" xfId="0" applyFill="1" applyBorder="1" applyAlignment="1">
      <alignment horizontal="left"/>
    </xf>
    <xf numFmtId="0" fontId="0" fillId="0" borderId="24" xfId="0" applyFill="1" applyBorder="1"/>
    <xf numFmtId="0" fontId="0" fillId="0" borderId="5" xfId="0" applyFill="1" applyBorder="1"/>
    <xf numFmtId="167" fontId="2" fillId="0" borderId="30" xfId="0" applyNumberFormat="1" applyFont="1" applyFill="1" applyBorder="1" applyAlignment="1"/>
    <xf numFmtId="41" fontId="2" fillId="0" borderId="30" xfId="0" applyNumberFormat="1" applyFont="1" applyFill="1" applyBorder="1"/>
    <xf numFmtId="37" fontId="2" fillId="0" borderId="26" xfId="0" applyNumberFormat="1" applyFont="1" applyFill="1" applyBorder="1" applyAlignment="1">
      <alignment horizontal="right"/>
    </xf>
    <xf numFmtId="42" fontId="2" fillId="0" borderId="26" xfId="0" applyNumberFormat="1" applyFont="1" applyFill="1" applyBorder="1"/>
    <xf numFmtId="164" fontId="2" fillId="0" borderId="26" xfId="0" applyNumberFormat="1" applyFont="1" applyFill="1" applyBorder="1"/>
    <xf numFmtId="0" fontId="7" fillId="0" borderId="24" xfId="0" applyFont="1" applyFill="1" applyBorder="1"/>
    <xf numFmtId="173" fontId="2" fillId="0" borderId="26" xfId="0" applyNumberFormat="1" applyFont="1" applyFill="1" applyBorder="1"/>
    <xf numFmtId="172" fontId="2" fillId="0" borderId="26" xfId="0" applyNumberFormat="1" applyFont="1" applyFill="1" applyBorder="1"/>
    <xf numFmtId="173" fontId="2" fillId="0" borderId="30" xfId="0" applyNumberFormat="1" applyFont="1" applyFill="1" applyBorder="1"/>
    <xf numFmtId="168" fontId="2" fillId="0" borderId="30" xfId="0" applyNumberFormat="1" applyFont="1" applyFill="1" applyBorder="1"/>
    <xf numFmtId="9" fontId="2" fillId="0" borderId="26" xfId="0" applyNumberFormat="1" applyFont="1" applyFill="1" applyBorder="1" applyAlignment="1">
      <alignment horizontal="center"/>
    </xf>
    <xf numFmtId="37" fontId="2" fillId="0" borderId="30" xfId="0" applyNumberFormat="1" applyFont="1" applyFill="1" applyBorder="1"/>
    <xf numFmtId="42" fontId="2" fillId="0" borderId="30" xfId="0" applyNumberFormat="1" applyFont="1" applyFill="1" applyBorder="1"/>
    <xf numFmtId="0" fontId="4" fillId="0" borderId="0" xfId="0" applyFont="1" applyFill="1" applyBorder="1"/>
    <xf numFmtId="0" fontId="0" fillId="0" borderId="35" xfId="0" applyFill="1" applyBorder="1"/>
    <xf numFmtId="0" fontId="2" fillId="0" borderId="29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8" xfId="0" applyFont="1" applyFill="1" applyBorder="1"/>
    <xf numFmtId="42" fontId="4" fillId="0" borderId="36" xfId="0" applyNumberFormat="1" applyFont="1" applyFill="1" applyBorder="1"/>
    <xf numFmtId="0" fontId="0" fillId="0" borderId="29" xfId="0" applyFill="1" applyBorder="1"/>
    <xf numFmtId="0" fontId="1" fillId="0" borderId="0" xfId="0" applyFont="1"/>
    <xf numFmtId="164" fontId="17" fillId="0" borderId="0" xfId="0" applyNumberFormat="1" applyFont="1" applyFill="1"/>
    <xf numFmtId="0" fontId="17" fillId="0" borderId="0" xfId="0" applyFont="1" applyFill="1"/>
    <xf numFmtId="0" fontId="8" fillId="0" borderId="0" xfId="0" applyFont="1" applyFill="1" applyBorder="1"/>
    <xf numFmtId="0" fontId="17" fillId="0" borderId="0" xfId="0" applyFont="1" applyFill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17" fillId="0" borderId="0" xfId="0" quotePrefix="1" applyFont="1" applyFill="1" applyAlignment="1">
      <alignment horizontal="left"/>
    </xf>
    <xf numFmtId="41" fontId="17" fillId="0" borderId="0" xfId="0" applyNumberFormat="1" applyFont="1" applyFill="1"/>
    <xf numFmtId="167" fontId="17" fillId="0" borderId="0" xfId="0" applyNumberFormat="1" applyFont="1" applyFill="1"/>
    <xf numFmtId="171" fontId="17" fillId="0" borderId="0" xfId="0" applyNumberFormat="1" applyFont="1" applyFill="1" applyBorder="1"/>
    <xf numFmtId="167" fontId="8" fillId="0" borderId="0" xfId="0" applyNumberFormat="1" applyFont="1" applyFill="1" applyBorder="1"/>
    <xf numFmtId="0" fontId="8" fillId="0" borderId="0" xfId="0" quotePrefix="1" applyFont="1" applyFill="1" applyBorder="1" applyAlignment="1">
      <alignment horizontal="left" indent="1"/>
    </xf>
    <xf numFmtId="0" fontId="17" fillId="0" borderId="0" xfId="0" applyFont="1" applyFill="1" applyBorder="1"/>
    <xf numFmtId="0" fontId="8" fillId="0" borderId="0" xfId="0" applyFont="1" applyFill="1" applyBorder="1" applyAlignment="1">
      <alignment horizontal="left" indent="1"/>
    </xf>
    <xf numFmtId="167" fontId="8" fillId="0" borderId="0" xfId="0" applyNumberFormat="1" applyFont="1" applyFill="1" applyBorder="1" applyAlignment="1">
      <alignment horizontal="center"/>
    </xf>
    <xf numFmtId="167" fontId="18" fillId="0" borderId="0" xfId="0" applyNumberFormat="1" applyFont="1" applyFill="1" applyBorder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167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8" fillId="0" borderId="0" xfId="0" quotePrefix="1" applyFont="1" applyFill="1" applyBorder="1" applyAlignment="1">
      <alignment horizontal="center" wrapText="1"/>
    </xf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8" fillId="0" borderId="0" xfId="0" quotePrefix="1" applyFont="1" applyFill="1" applyBorder="1" applyAlignment="1">
      <alignment horizontal="right" wrapText="1"/>
    </xf>
    <xf numFmtId="0" fontId="17" fillId="0" borderId="0" xfId="0" quotePrefix="1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17" fillId="0" borderId="0" xfId="0" quotePrefix="1" applyFont="1" applyFill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0" fontId="8" fillId="0" borderId="8" xfId="0" quotePrefix="1" applyFont="1" applyFill="1" applyBorder="1" applyAlignment="1">
      <alignment horizontal="center" wrapText="1"/>
    </xf>
    <xf numFmtId="0" fontId="17" fillId="0" borderId="0" xfId="0" quotePrefix="1" applyFont="1" applyFill="1" applyAlignment="1">
      <alignment horizontal="center"/>
    </xf>
    <xf numFmtId="44" fontId="1" fillId="0" borderId="0" xfId="0" applyNumberFormat="1" applyFont="1"/>
    <xf numFmtId="165" fontId="1" fillId="0" borderId="0" xfId="0" applyNumberFormat="1" applyFont="1"/>
    <xf numFmtId="0" fontId="17" fillId="0" borderId="0" xfId="0" applyFont="1" applyFill="1" applyAlignment="1">
      <alignment horizontal="center"/>
    </xf>
    <xf numFmtId="167" fontId="1" fillId="0" borderId="0" xfId="0" applyNumberFormat="1" applyFont="1"/>
    <xf numFmtId="164" fontId="17" fillId="0" borderId="0" xfId="0" applyNumberFormat="1" applyFont="1" applyFill="1"/>
    <xf numFmtId="164" fontId="1" fillId="0" borderId="0" xfId="0" applyNumberFormat="1" applyFont="1"/>
    <xf numFmtId="175" fontId="1" fillId="0" borderId="0" xfId="0" applyNumberFormat="1" applyFont="1"/>
    <xf numFmtId="0" fontId="9" fillId="0" borderId="52" xfId="0" applyFont="1" applyBorder="1" applyAlignment="1">
      <alignment horizontal="center"/>
    </xf>
    <xf numFmtId="175" fontId="9" fillId="0" borderId="53" xfId="0" applyNumberFormat="1" applyFont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0" fontId="4" fillId="0" borderId="1" xfId="0" quotePrefix="1" applyFont="1" applyFill="1" applyBorder="1" applyAlignment="1">
      <alignment horizontal="left"/>
    </xf>
    <xf numFmtId="169" fontId="4" fillId="0" borderId="1" xfId="0" applyNumberFormat="1" applyFont="1" applyFill="1" applyBorder="1"/>
    <xf numFmtId="167" fontId="2" fillId="0" borderId="1" xfId="0" applyNumberFormat="1" applyFont="1" applyFill="1" applyBorder="1"/>
    <xf numFmtId="0" fontId="0" fillId="0" borderId="1" xfId="0" applyFill="1" applyBorder="1"/>
    <xf numFmtId="0" fontId="0" fillId="0" borderId="55" xfId="0" applyFill="1" applyBorder="1"/>
    <xf numFmtId="0" fontId="0" fillId="0" borderId="19" xfId="0" applyFill="1" applyBorder="1" applyAlignment="1">
      <alignment horizontal="center"/>
    </xf>
    <xf numFmtId="3" fontId="0" fillId="0" borderId="20" xfId="0" applyNumberFormat="1" applyFill="1" applyBorder="1" applyAlignment="1">
      <alignment horizontal="right"/>
    </xf>
    <xf numFmtId="3" fontId="0" fillId="0" borderId="45" xfId="0" applyNumberFormat="1" applyFill="1" applyBorder="1"/>
    <xf numFmtId="3" fontId="0" fillId="0" borderId="19" xfId="0" applyNumberForma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3" fontId="0" fillId="0" borderId="21" xfId="0" applyNumberFormat="1" applyFill="1" applyBorder="1" applyAlignment="1">
      <alignment horizontal="right"/>
    </xf>
    <xf numFmtId="3" fontId="0" fillId="0" borderId="0" xfId="0" applyNumberFormat="1" applyFill="1" applyBorder="1"/>
    <xf numFmtId="3" fontId="0" fillId="0" borderId="10" xfId="0" applyNumberFormat="1" applyFill="1" applyBorder="1"/>
    <xf numFmtId="0" fontId="0" fillId="0" borderId="46" xfId="0" applyFill="1" applyBorder="1"/>
    <xf numFmtId="0" fontId="0" fillId="0" borderId="46" xfId="0" applyFill="1" applyBorder="1" applyAlignment="1">
      <alignment horizontal="center"/>
    </xf>
    <xf numFmtId="3" fontId="0" fillId="0" borderId="47" xfId="0" applyNumberFormat="1" applyFill="1" applyBorder="1" applyAlignment="1">
      <alignment horizontal="right"/>
    </xf>
    <xf numFmtId="3" fontId="0" fillId="0" borderId="6" xfId="0" applyNumberFormat="1" applyFill="1" applyBorder="1"/>
    <xf numFmtId="3" fontId="0" fillId="0" borderId="46" xfId="0" applyNumberFormat="1" applyFill="1" applyBorder="1"/>
    <xf numFmtId="0" fontId="0" fillId="0" borderId="51" xfId="0" applyFill="1" applyBorder="1"/>
    <xf numFmtId="0" fontId="0" fillId="0" borderId="51" xfId="0" applyFill="1" applyBorder="1" applyAlignment="1">
      <alignment horizontal="center"/>
    </xf>
    <xf numFmtId="3" fontId="0" fillId="0" borderId="50" xfId="0" applyNumberFormat="1" applyFill="1" applyBorder="1" applyAlignment="1">
      <alignment horizontal="right"/>
    </xf>
    <xf numFmtId="3" fontId="0" fillId="0" borderId="13" xfId="0" applyNumberFormat="1" applyFill="1" applyBorder="1"/>
    <xf numFmtId="3" fontId="0" fillId="0" borderId="51" xfId="0" applyNumberFormat="1" applyFill="1" applyBorder="1"/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3" fontId="0" fillId="0" borderId="23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11" xfId="0" applyNumberFormat="1" applyFill="1" applyBorder="1"/>
    <xf numFmtId="0" fontId="0" fillId="2" borderId="0" xfId="0" applyFill="1" applyAlignment="1">
      <alignment horizontal="center"/>
    </xf>
    <xf numFmtId="14" fontId="0" fillId="2" borderId="0" xfId="0" applyNumberFormat="1" applyFill="1"/>
    <xf numFmtId="167" fontId="0" fillId="2" borderId="15" xfId="0" applyNumberFormat="1" applyFont="1" applyFill="1" applyBorder="1"/>
    <xf numFmtId="167" fontId="0" fillId="2" borderId="0" xfId="0" applyNumberFormat="1" applyFont="1" applyFill="1" applyBorder="1"/>
    <xf numFmtId="167" fontId="0" fillId="2" borderId="16" xfId="0" applyNumberFormat="1" applyFont="1" applyFill="1" applyBorder="1"/>
    <xf numFmtId="0" fontId="0" fillId="0" borderId="15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centerContinuous"/>
    </xf>
    <xf numFmtId="0" fontId="0" fillId="0" borderId="8" xfId="0" applyFill="1" applyBorder="1" applyAlignment="1">
      <alignment horizontal="center" wrapText="1"/>
    </xf>
    <xf numFmtId="0" fontId="0" fillId="0" borderId="8" xfId="0" quotePrefix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67" fontId="2" fillId="0" borderId="0" xfId="0" applyNumberFormat="1" applyFont="1" applyFill="1"/>
    <xf numFmtId="10" fontId="2" fillId="0" borderId="0" xfId="0" applyNumberFormat="1" applyFont="1" applyFill="1"/>
    <xf numFmtId="0" fontId="0" fillId="0" borderId="0" xfId="0" quotePrefix="1" applyFill="1" applyAlignment="1">
      <alignment horizontal="left"/>
    </xf>
    <xf numFmtId="167" fontId="0" fillId="0" borderId="7" xfId="0" applyNumberFormat="1" applyFill="1" applyBorder="1"/>
    <xf numFmtId="44" fontId="2" fillId="0" borderId="7" xfId="0" applyNumberFormat="1" applyFont="1" applyFill="1" applyBorder="1"/>
    <xf numFmtId="10" fontId="2" fillId="0" borderId="7" xfId="0" applyNumberFormat="1" applyFont="1" applyFill="1" applyBorder="1"/>
    <xf numFmtId="44" fontId="0" fillId="0" borderId="0" xfId="0" applyNumberFormat="1" applyFont="1" applyFill="1"/>
    <xf numFmtId="10" fontId="0" fillId="0" borderId="0" xfId="0" applyNumberFormat="1" applyFont="1" applyFill="1"/>
    <xf numFmtId="0" fontId="0" fillId="0" borderId="8" xfId="0" quotePrefix="1" applyFill="1" applyBorder="1" applyAlignment="1">
      <alignment horizontal="left"/>
    </xf>
    <xf numFmtId="0" fontId="0" fillId="0" borderId="8" xfId="0" applyFill="1" applyBorder="1"/>
    <xf numFmtId="0" fontId="0" fillId="0" borderId="3" xfId="0" quotePrefix="1" applyFill="1" applyBorder="1" applyAlignment="1">
      <alignment horizontal="center" wrapText="1"/>
    </xf>
    <xf numFmtId="0" fontId="0" fillId="0" borderId="22" xfId="0" quotePrefix="1" applyFill="1" applyBorder="1" applyAlignment="1">
      <alignment horizontal="center" wrapText="1"/>
    </xf>
    <xf numFmtId="0" fontId="0" fillId="0" borderId="19" xfId="0" quotePrefix="1" applyFill="1" applyBorder="1" applyAlignment="1">
      <alignment horizontal="center" wrapText="1"/>
    </xf>
    <xf numFmtId="0" fontId="0" fillId="0" borderId="41" xfId="0" quotePrefix="1" applyFill="1" applyBorder="1" applyAlignment="1">
      <alignment horizontal="center" wrapText="1"/>
    </xf>
    <xf numFmtId="166" fontId="2" fillId="0" borderId="19" xfId="0" applyNumberFormat="1" applyFont="1" applyFill="1" applyBorder="1"/>
    <xf numFmtId="166" fontId="2" fillId="0" borderId="41" xfId="0" applyNumberFormat="1" applyFont="1" applyFill="1" applyBorder="1"/>
    <xf numFmtId="166" fontId="2" fillId="0" borderId="10" xfId="0" applyNumberFormat="1" applyFont="1" applyFill="1" applyBorder="1"/>
    <xf numFmtId="166" fontId="2" fillId="0" borderId="42" xfId="0" applyNumberFormat="1" applyFont="1" applyFill="1" applyBorder="1"/>
    <xf numFmtId="166" fontId="2" fillId="0" borderId="38" xfId="0" applyNumberFormat="1" applyFont="1" applyFill="1" applyBorder="1"/>
    <xf numFmtId="166" fontId="2" fillId="0" borderId="43" xfId="0" applyNumberFormat="1" applyFont="1" applyFill="1" applyBorder="1"/>
    <xf numFmtId="0" fontId="0" fillId="0" borderId="42" xfId="0" applyFill="1" applyBorder="1"/>
    <xf numFmtId="166" fontId="2" fillId="0" borderId="10" xfId="0" quotePrefix="1" applyNumberFormat="1" applyFont="1" applyFill="1" applyBorder="1" applyAlignment="1"/>
    <xf numFmtId="166" fontId="2" fillId="0" borderId="42" xfId="0" quotePrefix="1" applyNumberFormat="1" applyFont="1" applyFill="1" applyBorder="1" applyAlignment="1"/>
    <xf numFmtId="166" fontId="2" fillId="0" borderId="38" xfId="0" quotePrefix="1" applyNumberFormat="1" applyFont="1" applyFill="1" applyBorder="1" applyAlignment="1"/>
    <xf numFmtId="166" fontId="2" fillId="0" borderId="43" xfId="0" quotePrefix="1" applyNumberFormat="1" applyFont="1" applyFill="1" applyBorder="1" applyAlignment="1"/>
    <xf numFmtId="166" fontId="0" fillId="0" borderId="10" xfId="0" applyNumberFormat="1" applyFill="1" applyBorder="1"/>
    <xf numFmtId="166" fontId="0" fillId="0" borderId="42" xfId="0" applyNumberFormat="1" applyFill="1" applyBorder="1"/>
    <xf numFmtId="166" fontId="0" fillId="0" borderId="11" xfId="0" applyNumberFormat="1" applyFill="1" applyBorder="1"/>
    <xf numFmtId="166" fontId="0" fillId="0" borderId="44" xfId="0" applyNumberFormat="1" applyFill="1" applyBorder="1"/>
    <xf numFmtId="167" fontId="0" fillId="0" borderId="0" xfId="0" applyNumberFormat="1" applyFont="1" applyFill="1"/>
    <xf numFmtId="166" fontId="2" fillId="2" borderId="42" xfId="0" quotePrefix="1" applyNumberFormat="1" applyFont="1" applyFill="1" applyBorder="1" applyAlignment="1"/>
    <xf numFmtId="0" fontId="13" fillId="0" borderId="0" xfId="0" applyFont="1" applyBorder="1"/>
    <xf numFmtId="0" fontId="13" fillId="0" borderId="0" xfId="0" applyFont="1"/>
    <xf numFmtId="9" fontId="0" fillId="0" borderId="0" xfId="0" applyNumberFormat="1" applyFill="1" applyBorder="1"/>
    <xf numFmtId="9" fontId="0" fillId="0" borderId="5" xfId="0" applyNumberFormat="1" applyFill="1" applyBorder="1"/>
    <xf numFmtId="0" fontId="2" fillId="0" borderId="56" xfId="0" applyFont="1" applyFill="1" applyBorder="1"/>
    <xf numFmtId="44" fontId="0" fillId="0" borderId="0" xfId="0" applyNumberFormat="1" applyFont="1" applyFill="1" applyBorder="1"/>
    <xf numFmtId="44" fontId="0" fillId="0" borderId="0" xfId="0" applyNumberFormat="1" applyFill="1" applyBorder="1"/>
    <xf numFmtId="10" fontId="0" fillId="0" borderId="16" xfId="0" applyNumberFormat="1" applyBorder="1"/>
    <xf numFmtId="44" fontId="1" fillId="0" borderId="0" xfId="1" applyFont="1"/>
    <xf numFmtId="0" fontId="1" fillId="0" borderId="0" xfId="0" applyFont="1" applyAlignment="1">
      <alignment horizontal="center"/>
    </xf>
    <xf numFmtId="0" fontId="0" fillId="0" borderId="0" xfId="0" quotePrefix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0" fillId="0" borderId="0" xfId="0" quotePrefix="1" applyFill="1" applyAlignment="1">
      <alignment horizontal="left" indent="1"/>
    </xf>
    <xf numFmtId="0" fontId="0" fillId="0" borderId="0" xfId="0" quotePrefix="1" applyFill="1" applyAlignment="1">
      <alignment horizontal="left" indent="3"/>
    </xf>
    <xf numFmtId="0" fontId="0" fillId="0" borderId="0" xfId="0" quotePrefix="1" applyFill="1" applyAlignment="1">
      <alignment horizontal="left" indent="2"/>
    </xf>
    <xf numFmtId="0" fontId="0" fillId="0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/>
    </xf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16" fillId="0" borderId="48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0" fillId="0" borderId="0" xfId="0" quotePrefix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173377</xdr:colOff>
      <xdr:row>9</xdr:row>
      <xdr:rowOff>153484</xdr:rowOff>
    </xdr:from>
    <xdr:ext cx="9146863" cy="2628220"/>
    <xdr:sp macro="" textlink="">
      <xdr:nvSpPr>
        <xdr:cNvPr id="2" name="Rectangle 1"/>
        <xdr:cNvSpPr/>
      </xdr:nvSpPr>
      <xdr:spPr>
        <a:xfrm rot="20397266">
          <a:off x="173377" y="2718884"/>
          <a:ext cx="9146863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Source:</a:t>
          </a:r>
        </a:p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2017 Electric Low Income Filing</a:t>
          </a:r>
        </a:p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Docket No. UE-170944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480692</xdr:colOff>
      <xdr:row>27</xdr:row>
      <xdr:rowOff>45535</xdr:rowOff>
    </xdr:from>
    <xdr:ext cx="7481600" cy="2628220"/>
    <xdr:sp macro="" textlink="">
      <xdr:nvSpPr>
        <xdr:cNvPr id="2" name="Rectangle 1"/>
        <xdr:cNvSpPr/>
      </xdr:nvSpPr>
      <xdr:spPr>
        <a:xfrm>
          <a:off x="968372" y="5105215"/>
          <a:ext cx="7481600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Source: </a:t>
          </a:r>
        </a:p>
        <a:p>
          <a:pPr algn="ctr"/>
          <a:r>
            <a:rPr lang="en-US" sz="5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2018</a:t>
          </a:r>
          <a:r>
            <a:rPr lang="en-US" sz="5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Revenue Revenue </a:t>
          </a:r>
        </a:p>
        <a:p>
          <a:pPr algn="ctr"/>
          <a:r>
            <a:rPr lang="en-US" sz="54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Requirement Workpapers</a:t>
          </a:r>
          <a:endParaRPr lang="en-US" sz="5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Rate%20Filings/Sch%20129%20Low%20Income/2018%20Filing/NEW-PSE-WP-2018-Electric-Low-Income-Rate-Impa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Impacts 10-1-2018"/>
      <sheetName val="F2018 Sch Level Delivered Load"/>
      <sheetName val="F2018 Demand"/>
      <sheetName val="Revenue Impacts"/>
      <sheetName val="UE-180282 Prof Prop Rev"/>
      <sheetName val="Sch 95"/>
      <sheetName val="Sch 95a"/>
      <sheetName val="Sch 120"/>
      <sheetName val="Sch 129"/>
      <sheetName val="Sch 132"/>
      <sheetName val="Sch 137"/>
      <sheetName val="Sch 140"/>
      <sheetName val="Sch 141"/>
      <sheetName val="Sch 142 Deferral"/>
      <sheetName val="Sch 194"/>
      <sheetName val="Proposed Filings 10-2018"/>
      <sheetName val="Proposed Sch 129"/>
      <sheetName val="Compliance Filings"/>
      <sheetName val="UE-170033 (Sch 95)"/>
      <sheetName val="UE-180284 (Sch 95A)"/>
      <sheetName val="UE-180185 (Sch 120)"/>
      <sheetName val="UE-171167 (Sch 132)"/>
      <sheetName val="UE-171169 (Sch 137)"/>
      <sheetName val="UE-180257 (Sch 140)"/>
      <sheetName val="UE-180289 (Sch 142)"/>
      <sheetName val="UE-170946 (Sch 194)"/>
    </sheetNames>
    <sheetDataSet>
      <sheetData sheetId="0">
        <row r="9">
          <cell r="D9">
            <v>1124904000</v>
          </cell>
          <cell r="H9">
            <v>10129000</v>
          </cell>
          <cell r="L9">
            <v>-12193000</v>
          </cell>
          <cell r="O9">
            <v>1106022000</v>
          </cell>
        </row>
        <row r="12">
          <cell r="D12">
            <v>296137000</v>
          </cell>
          <cell r="H12">
            <v>2607000</v>
          </cell>
          <cell r="L12">
            <v>4174000</v>
          </cell>
          <cell r="O12">
            <v>315698000</v>
          </cell>
        </row>
        <row r="13">
          <cell r="D13">
            <v>288839000</v>
          </cell>
          <cell r="H13">
            <v>2548000</v>
          </cell>
          <cell r="L13">
            <v>4890000</v>
          </cell>
          <cell r="O13">
            <v>310234000</v>
          </cell>
        </row>
        <row r="14">
          <cell r="D14">
            <v>158173000</v>
          </cell>
          <cell r="H14">
            <v>1359000</v>
          </cell>
          <cell r="L14">
            <v>184000</v>
          </cell>
          <cell r="O14">
            <v>168337000</v>
          </cell>
        </row>
        <row r="15">
          <cell r="D15">
            <v>1297000</v>
          </cell>
          <cell r="H15">
            <v>11000</v>
          </cell>
          <cell r="L15">
            <v>25000</v>
          </cell>
          <cell r="O15">
            <v>1275000</v>
          </cell>
        </row>
        <row r="18">
          <cell r="D18">
            <v>114296000</v>
          </cell>
          <cell r="H18">
            <v>981000</v>
          </cell>
          <cell r="L18">
            <v>-156000</v>
          </cell>
          <cell r="O18">
            <v>121142000</v>
          </cell>
        </row>
        <row r="19">
          <cell r="D19">
            <v>295000</v>
          </cell>
          <cell r="H19">
            <v>2000</v>
          </cell>
          <cell r="L19">
            <v>8000</v>
          </cell>
          <cell r="O19">
            <v>286000</v>
          </cell>
        </row>
        <row r="20">
          <cell r="D20">
            <v>10894000</v>
          </cell>
          <cell r="H20">
            <v>95000</v>
          </cell>
          <cell r="L20">
            <v>189000</v>
          </cell>
          <cell r="O20">
            <v>11771000</v>
          </cell>
        </row>
        <row r="23">
          <cell r="D23">
            <v>42551000</v>
          </cell>
          <cell r="H23">
            <v>393000</v>
          </cell>
          <cell r="L23">
            <v>1121000</v>
          </cell>
          <cell r="O23">
            <v>46383000</v>
          </cell>
        </row>
        <row r="25">
          <cell r="D25">
            <v>5249000</v>
          </cell>
          <cell r="H25">
            <v>47000</v>
          </cell>
          <cell r="L25">
            <v>112000</v>
          </cell>
          <cell r="O25">
            <v>5666000</v>
          </cell>
        </row>
        <row r="26">
          <cell r="D26">
            <v>38525000</v>
          </cell>
          <cell r="H26">
            <v>344000</v>
          </cell>
          <cell r="L26">
            <v>848000</v>
          </cell>
          <cell r="O26">
            <v>41941000</v>
          </cell>
        </row>
        <row r="29">
          <cell r="D29">
            <v>15916000</v>
          </cell>
          <cell r="H29">
            <v>154000</v>
          </cell>
          <cell r="L29">
            <v>0</v>
          </cell>
          <cell r="O29">
            <v>16777000</v>
          </cell>
        </row>
        <row r="31">
          <cell r="D31">
            <v>7703000</v>
          </cell>
          <cell r="H31">
            <v>67000</v>
          </cell>
          <cell r="L31">
            <v>0</v>
          </cell>
          <cell r="O31">
            <v>9915000</v>
          </cell>
        </row>
        <row r="35">
          <cell r="D35">
            <v>616000</v>
          </cell>
          <cell r="H35">
            <v>0</v>
          </cell>
          <cell r="L35">
            <v>0</v>
          </cell>
          <cell r="O35">
            <v>602000</v>
          </cell>
        </row>
        <row r="37">
          <cell r="D37">
            <v>2105395000</v>
          </cell>
          <cell r="H37">
            <v>18737000</v>
          </cell>
          <cell r="L37">
            <v>-798000</v>
          </cell>
          <cell r="O37">
            <v>2156049000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zoomScale="90" workbookViewId="0">
      <pane xSplit="3" ySplit="6" topLeftCell="D7" activePane="bottomRight" state="frozen"/>
      <selection activeCell="B13" sqref="B13"/>
      <selection pane="topRight" activeCell="B13" sqref="B13"/>
      <selection pane="bottomLeft" activeCell="B13" sqref="B13"/>
      <selection pane="bottomRight" activeCell="J6" sqref="J6"/>
    </sheetView>
  </sheetViews>
  <sheetFormatPr defaultColWidth="9.140625" defaultRowHeight="12.75" x14ac:dyDescent="0.2"/>
  <cols>
    <col min="1" max="1" width="5.7109375" style="2" customWidth="1"/>
    <col min="2" max="2" width="31.85546875" style="2" customWidth="1"/>
    <col min="3" max="3" width="11.7109375" style="23" bestFit="1" customWidth="1"/>
    <col min="4" max="5" width="16.140625" style="24" bestFit="1" customWidth="1"/>
    <col min="6" max="6" width="13.28515625" style="2" bestFit="1" customWidth="1"/>
    <col min="7" max="7" width="12.85546875" style="2" bestFit="1" customWidth="1"/>
    <col min="8" max="8" width="12.85546875" style="2" customWidth="1"/>
    <col min="9" max="9" width="16.140625" style="24" bestFit="1" customWidth="1"/>
    <col min="10" max="10" width="16.5703125" style="24" customWidth="1"/>
    <col min="11" max="12" width="13.5703125" style="2" bestFit="1" customWidth="1"/>
    <col min="13" max="13" width="9.140625" style="2"/>
    <col min="14" max="15" width="9.85546875" style="2" bestFit="1" customWidth="1"/>
    <col min="16" max="16" width="6.85546875" style="2" bestFit="1" customWidth="1"/>
    <col min="17" max="18" width="14" style="2" bestFit="1" customWidth="1"/>
    <col min="19" max="16384" width="9.140625" style="2"/>
  </cols>
  <sheetData>
    <row r="1" spans="1:12" x14ac:dyDescent="0.2">
      <c r="A1" s="9" t="s">
        <v>236</v>
      </c>
      <c r="B1" s="10"/>
      <c r="C1" s="10"/>
      <c r="D1" s="11"/>
      <c r="E1" s="11"/>
      <c r="F1" s="10"/>
      <c r="G1" s="10"/>
      <c r="H1" s="10"/>
      <c r="I1" s="11"/>
      <c r="J1" s="11"/>
      <c r="K1" s="10"/>
      <c r="L1" s="12"/>
    </row>
    <row r="2" spans="1:12" x14ac:dyDescent="0.2">
      <c r="A2" s="13" t="s">
        <v>8</v>
      </c>
      <c r="B2" s="14"/>
      <c r="C2" s="14"/>
      <c r="D2" s="15"/>
      <c r="E2" s="15"/>
      <c r="F2" s="14"/>
      <c r="G2" s="14"/>
      <c r="H2" s="14"/>
      <c r="I2" s="15"/>
      <c r="J2" s="15"/>
      <c r="K2" s="14"/>
      <c r="L2" s="16"/>
    </row>
    <row r="3" spans="1:12" x14ac:dyDescent="0.2">
      <c r="A3" s="13" t="s">
        <v>68</v>
      </c>
      <c r="B3" s="14"/>
      <c r="C3" s="14"/>
      <c r="D3" s="15"/>
      <c r="E3" s="15"/>
      <c r="F3" s="14"/>
      <c r="G3" s="14"/>
      <c r="H3" s="14"/>
      <c r="I3" s="15"/>
      <c r="J3" s="15"/>
      <c r="K3" s="14"/>
      <c r="L3" s="16"/>
    </row>
    <row r="4" spans="1:12" x14ac:dyDescent="0.2">
      <c r="A4" s="13" t="s">
        <v>237</v>
      </c>
      <c r="B4" s="14"/>
      <c r="C4" s="14"/>
      <c r="D4" s="15"/>
      <c r="E4" s="15"/>
      <c r="F4" s="14"/>
      <c r="G4" s="14"/>
      <c r="H4" s="14"/>
      <c r="I4" s="15"/>
      <c r="J4" s="15"/>
      <c r="K4" s="14"/>
      <c r="L4" s="16"/>
    </row>
    <row r="5" spans="1:12" x14ac:dyDescent="0.2">
      <c r="A5" s="13"/>
      <c r="B5" s="14"/>
      <c r="C5" s="14"/>
      <c r="D5" s="15"/>
      <c r="E5" s="15"/>
      <c r="F5" s="14"/>
      <c r="G5" s="14"/>
      <c r="H5" s="14"/>
      <c r="I5" s="15"/>
      <c r="J5" s="15"/>
      <c r="K5" s="14"/>
      <c r="L5" s="16"/>
    </row>
    <row r="6" spans="1:12" s="22" customFormat="1" ht="64.5" thickBot="1" x14ac:dyDescent="0.25">
      <c r="A6" s="17" t="s">
        <v>9</v>
      </c>
      <c r="B6" s="18" t="s">
        <v>69</v>
      </c>
      <c r="C6" s="18" t="s">
        <v>0</v>
      </c>
      <c r="D6" s="19" t="s">
        <v>238</v>
      </c>
      <c r="E6" s="19" t="s">
        <v>239</v>
      </c>
      <c r="F6" s="20" t="s">
        <v>240</v>
      </c>
      <c r="G6" s="20" t="s">
        <v>241</v>
      </c>
      <c r="H6" s="20" t="s">
        <v>86</v>
      </c>
      <c r="I6" s="19" t="s">
        <v>242</v>
      </c>
      <c r="J6" s="19" t="s">
        <v>243</v>
      </c>
      <c r="K6" s="20" t="s">
        <v>70</v>
      </c>
      <c r="L6" s="21" t="s">
        <v>71</v>
      </c>
    </row>
    <row r="7" spans="1:12" s="22" customFormat="1" ht="26.25" thickBot="1" x14ac:dyDescent="0.25">
      <c r="A7" s="17"/>
      <c r="B7" s="18"/>
      <c r="C7" s="18"/>
      <c r="D7" s="36" t="s">
        <v>14</v>
      </c>
      <c r="E7" s="36" t="s">
        <v>15</v>
      </c>
      <c r="F7" s="18" t="s">
        <v>16</v>
      </c>
      <c r="G7" s="18" t="s">
        <v>48</v>
      </c>
      <c r="H7" s="20" t="s">
        <v>82</v>
      </c>
      <c r="I7" s="19" t="s">
        <v>171</v>
      </c>
      <c r="J7" s="19" t="s">
        <v>172</v>
      </c>
      <c r="K7" s="20" t="s">
        <v>83</v>
      </c>
      <c r="L7" s="21" t="s">
        <v>84</v>
      </c>
    </row>
    <row r="8" spans="1:12" x14ac:dyDescent="0.2">
      <c r="A8" s="129"/>
      <c r="L8" s="25"/>
    </row>
    <row r="9" spans="1:12" x14ac:dyDescent="0.2">
      <c r="A9" s="129">
        <v>1</v>
      </c>
      <c r="B9" s="32" t="s">
        <v>1</v>
      </c>
      <c r="C9" s="23">
        <v>7</v>
      </c>
      <c r="D9" s="65">
        <f>+'2018 Equal % Allocation'!D7</f>
        <v>10809562000</v>
      </c>
      <c r="E9" s="66">
        <f>+'Estimated Proforma Base Revenue'!K10</f>
        <v>1095893000</v>
      </c>
      <c r="F9" s="111">
        <f>ROUND('2017 Equal % Allocation '!F7,6)</f>
        <v>9.3700000000000001E-4</v>
      </c>
      <c r="G9" s="111">
        <f>ROUND(+'2018 Equal % Allocation'!F7,6)</f>
        <v>8.9499999999999996E-4</v>
      </c>
      <c r="H9" s="111">
        <f>G9-F9</f>
        <v>-4.2000000000000045E-5</v>
      </c>
      <c r="I9" s="26">
        <f>+F9*D9+E9</f>
        <v>1106021559.5940001</v>
      </c>
      <c r="J9" s="26">
        <f>+G9*D9+E9</f>
        <v>1105567557.99</v>
      </c>
      <c r="K9" s="26">
        <f>+J9-I9</f>
        <v>-454001.60400009155</v>
      </c>
      <c r="L9" s="339">
        <f>IF(I9&gt;0,+K9/I9,0)</f>
        <v>-4.1048169455823908E-4</v>
      </c>
    </row>
    <row r="10" spans="1:12" x14ac:dyDescent="0.2">
      <c r="A10" s="129">
        <f>+A9+1</f>
        <v>2</v>
      </c>
      <c r="B10" s="32"/>
      <c r="D10" s="65"/>
      <c r="E10" s="66"/>
      <c r="F10" s="27"/>
      <c r="G10" s="27"/>
      <c r="H10" s="111" t="s">
        <v>78</v>
      </c>
      <c r="I10" s="26"/>
      <c r="J10" s="26"/>
      <c r="K10" s="26"/>
      <c r="L10" s="339"/>
    </row>
    <row r="11" spans="1:12" x14ac:dyDescent="0.2">
      <c r="A11" s="129">
        <f t="shared" ref="A11:A44" si="0">+A10+1</f>
        <v>3</v>
      </c>
      <c r="B11" s="125" t="s">
        <v>49</v>
      </c>
      <c r="C11" s="106" t="s">
        <v>135</v>
      </c>
      <c r="D11" s="65">
        <f>+'2018 Equal % Allocation'!D9</f>
        <v>3049254000</v>
      </c>
      <c r="E11" s="66">
        <f>+'Estimated Proforma Base Revenue'!K14</f>
        <v>313091000</v>
      </c>
      <c r="F11" s="111">
        <f>ROUND('2017 Equal % Allocation '!F9,6)</f>
        <v>8.5499999999999997E-4</v>
      </c>
      <c r="G11" s="111">
        <f>ROUND(+'2018 Equal % Allocation'!F9,6)</f>
        <v>8.5700000000000001E-4</v>
      </c>
      <c r="H11" s="111">
        <f t="shared" ref="H11:H35" si="1">G11-F11</f>
        <v>2.0000000000000486E-6</v>
      </c>
      <c r="I11" s="26">
        <f t="shared" ref="I11:I14" si="2">+F11*D11+E11</f>
        <v>315698112.17000002</v>
      </c>
      <c r="J11" s="26">
        <f t="shared" ref="J11:J14" si="3">+G11*D11+E11</f>
        <v>315704210.67799997</v>
      </c>
      <c r="K11" s="26">
        <f>+J11-I11</f>
        <v>6098.5079999566078</v>
      </c>
      <c r="L11" s="339">
        <f>IF(I11&gt;0,+K11/I11,0)</f>
        <v>1.931753078292919E-5</v>
      </c>
    </row>
    <row r="12" spans="1:12" x14ac:dyDescent="0.2">
      <c r="A12" s="129">
        <f t="shared" si="0"/>
        <v>4</v>
      </c>
      <c r="B12" s="126" t="s">
        <v>50</v>
      </c>
      <c r="C12" s="107" t="s">
        <v>136</v>
      </c>
      <c r="D12" s="65">
        <f>+'2018 Equal % Allocation'!D10</f>
        <v>3208495000</v>
      </c>
      <c r="E12" s="66">
        <f>+'Estimated Proforma Base Revenue'!K15</f>
        <v>307686000</v>
      </c>
      <c r="F12" s="111">
        <f>ROUND('2017 Equal % Allocation '!F10,6)</f>
        <v>7.94E-4</v>
      </c>
      <c r="G12" s="111">
        <f>ROUND(+'2018 Equal % Allocation'!F10,6)</f>
        <v>7.9600000000000005E-4</v>
      </c>
      <c r="H12" s="111">
        <f t="shared" si="1"/>
        <v>2.0000000000000486E-6</v>
      </c>
      <c r="I12" s="26">
        <f t="shared" si="2"/>
        <v>310233545.02999997</v>
      </c>
      <c r="J12" s="26">
        <f t="shared" si="3"/>
        <v>310239962.01999998</v>
      </c>
      <c r="K12" s="26">
        <f>+J12-I12</f>
        <v>6416.9900000095367</v>
      </c>
      <c r="L12" s="339">
        <f>IF(I12&gt;0,+K12/I12,0)</f>
        <v>2.0684384725027095E-5</v>
      </c>
    </row>
    <row r="13" spans="1:12" x14ac:dyDescent="0.2">
      <c r="A13" s="129">
        <f t="shared" si="0"/>
        <v>5</v>
      </c>
      <c r="B13" s="126" t="s">
        <v>51</v>
      </c>
      <c r="C13" s="107" t="s">
        <v>137</v>
      </c>
      <c r="D13" s="65">
        <f>+'2018 Equal % Allocation'!D11</f>
        <v>1921550000</v>
      </c>
      <c r="E13" s="66">
        <f>+'Estimated Proforma Base Revenue'!K16</f>
        <v>166978000</v>
      </c>
      <c r="F13" s="111">
        <f>ROUND('2017 Equal % Allocation '!F11,6)</f>
        <v>7.0699999999999995E-4</v>
      </c>
      <c r="G13" s="111">
        <f>ROUND(+'2018 Equal % Allocation'!F11,6)</f>
        <v>7.1699999999999997E-4</v>
      </c>
      <c r="H13" s="111">
        <f t="shared" si="1"/>
        <v>1.0000000000000026E-5</v>
      </c>
      <c r="I13" s="26">
        <f t="shared" si="2"/>
        <v>168336535.84999999</v>
      </c>
      <c r="J13" s="26">
        <f t="shared" si="3"/>
        <v>168355751.34999999</v>
      </c>
      <c r="K13" s="26">
        <f>+J13-I13</f>
        <v>19215.5</v>
      </c>
      <c r="L13" s="339">
        <f>IF(I13&gt;0,+K13/I13,0)</f>
        <v>1.1414931347477887E-4</v>
      </c>
    </row>
    <row r="14" spans="1:12" x14ac:dyDescent="0.2">
      <c r="A14" s="129">
        <f t="shared" si="0"/>
        <v>6</v>
      </c>
      <c r="B14" s="126" t="s">
        <v>52</v>
      </c>
      <c r="C14" s="23">
        <v>29</v>
      </c>
      <c r="D14" s="65">
        <f>+'2018 Equal % Allocation'!D12</f>
        <v>16140000</v>
      </c>
      <c r="E14" s="66">
        <f>+'Estimated Proforma Base Revenue'!K17</f>
        <v>1264000</v>
      </c>
      <c r="F14" s="111">
        <f>ROUND('2017 Equal % Allocation '!F12,6)</f>
        <v>7.1199999999999996E-4</v>
      </c>
      <c r="G14" s="111">
        <f>ROUND(+'2018 Equal % Allocation'!F12,6)</f>
        <v>7.1199999999999996E-4</v>
      </c>
      <c r="H14" s="111">
        <f t="shared" si="1"/>
        <v>0</v>
      </c>
      <c r="I14" s="26">
        <f t="shared" si="2"/>
        <v>1275491.68</v>
      </c>
      <c r="J14" s="26">
        <f t="shared" si="3"/>
        <v>1275491.68</v>
      </c>
      <c r="K14" s="26">
        <f>+J14-I14</f>
        <v>0</v>
      </c>
      <c r="L14" s="339">
        <f>IF(I14&gt;0,+K14/I14,0)</f>
        <v>0</v>
      </c>
    </row>
    <row r="15" spans="1:12" x14ac:dyDescent="0.2">
      <c r="A15" s="129">
        <f t="shared" si="0"/>
        <v>7</v>
      </c>
      <c r="B15" s="32"/>
      <c r="D15" s="65"/>
      <c r="E15" s="66"/>
      <c r="F15" s="27"/>
      <c r="G15" s="27"/>
      <c r="H15" s="111" t="s">
        <v>78</v>
      </c>
      <c r="I15" s="26"/>
      <c r="J15" s="26"/>
      <c r="K15" s="26"/>
      <c r="L15" s="339"/>
    </row>
    <row r="16" spans="1:12" x14ac:dyDescent="0.2">
      <c r="A16" s="129">
        <f t="shared" si="0"/>
        <v>8</v>
      </c>
      <c r="B16" s="32" t="s">
        <v>53</v>
      </c>
      <c r="D16" s="65">
        <f>SUM(D11:D15)</f>
        <v>8195439000</v>
      </c>
      <c r="E16" s="66">
        <f>SUM(E11:E15)</f>
        <v>789019000</v>
      </c>
      <c r="F16" s="111">
        <f>($I16-$E16)/$D16</f>
        <v>7.9613608618159671E-4</v>
      </c>
      <c r="G16" s="111">
        <f>($J16-$E16)/$D16</f>
        <v>8.0000787364776008E-4</v>
      </c>
      <c r="H16" s="111">
        <f t="shared" si="1"/>
        <v>3.8717874661633664E-6</v>
      </c>
      <c r="I16" s="26">
        <f>SUM(I11:I15)</f>
        <v>795543684.73000002</v>
      </c>
      <c r="J16" s="26">
        <f>SUM(J11:J15)</f>
        <v>795575415.72799993</v>
      </c>
      <c r="K16" s="26">
        <f>SUM(K11:K14)</f>
        <v>31730.997999966145</v>
      </c>
      <c r="L16" s="339">
        <f>IF(I16&gt;0,+K16/I16,0)</f>
        <v>3.9885927836552864E-5</v>
      </c>
    </row>
    <row r="17" spans="1:12" x14ac:dyDescent="0.2">
      <c r="A17" s="129">
        <f t="shared" si="0"/>
        <v>9</v>
      </c>
      <c r="B17" s="32"/>
      <c r="D17" s="65"/>
      <c r="E17" s="66"/>
      <c r="F17" s="27"/>
      <c r="G17" s="27"/>
      <c r="H17" s="111" t="s">
        <v>78</v>
      </c>
      <c r="I17" s="26"/>
      <c r="J17" s="26"/>
      <c r="K17" s="26"/>
      <c r="L17" s="339"/>
    </row>
    <row r="18" spans="1:12" x14ac:dyDescent="0.2">
      <c r="A18" s="129">
        <f t="shared" si="0"/>
        <v>10</v>
      </c>
      <c r="B18" s="126" t="s">
        <v>54</v>
      </c>
      <c r="C18" s="106" t="s">
        <v>139</v>
      </c>
      <c r="D18" s="65">
        <f>+'2018 Equal % Allocation'!D16</f>
        <v>1409546000</v>
      </c>
      <c r="E18" s="66">
        <f>+'Estimated Proforma Base Revenue'!K21</f>
        <v>120161000</v>
      </c>
      <c r="F18" s="111">
        <f>ROUND('2017 Equal % Allocation '!F16,6)</f>
        <v>6.96E-4</v>
      </c>
      <c r="G18" s="111">
        <f>ROUND(+'2018 Equal % Allocation'!F16,6)</f>
        <v>7.0399999999999998E-4</v>
      </c>
      <c r="H18" s="111">
        <f t="shared" si="1"/>
        <v>7.9999999999999776E-6</v>
      </c>
      <c r="I18" s="26">
        <f t="shared" ref="I18:I20" si="4">+F18*D18+E18</f>
        <v>121142044.016</v>
      </c>
      <c r="J18" s="26">
        <f t="shared" ref="J18:J20" si="5">+G18*D18+E18</f>
        <v>121153320.384</v>
      </c>
      <c r="K18" s="26">
        <f>+J18-I18</f>
        <v>11276.368000000715</v>
      </c>
      <c r="L18" s="339">
        <f>IF(I18&gt;0,+K18/I18,0)</f>
        <v>9.3083851206203629E-5</v>
      </c>
    </row>
    <row r="19" spans="1:12" x14ac:dyDescent="0.2">
      <c r="A19" s="129">
        <f t="shared" si="0"/>
        <v>11</v>
      </c>
      <c r="B19" s="126" t="s">
        <v>55</v>
      </c>
      <c r="C19" s="23">
        <v>35</v>
      </c>
      <c r="D19" s="65">
        <f>+'2018 Equal % Allocation'!D17</f>
        <v>5150000</v>
      </c>
      <c r="E19" s="66">
        <f>+'Estimated Proforma Base Revenue'!K22</f>
        <v>284000</v>
      </c>
      <c r="F19" s="111">
        <f>ROUND('2017 Equal % Allocation '!F17,6)</f>
        <v>4.64E-4</v>
      </c>
      <c r="G19" s="111">
        <f>ROUND(+'2018 Equal % Allocation'!F17,6)</f>
        <v>5.1199999999999998E-4</v>
      </c>
      <c r="H19" s="111">
        <f t="shared" si="1"/>
        <v>4.7999999999999974E-5</v>
      </c>
      <c r="I19" s="26">
        <f t="shared" si="4"/>
        <v>286389.59999999998</v>
      </c>
      <c r="J19" s="26">
        <f t="shared" si="5"/>
        <v>286636.79999999999</v>
      </c>
      <c r="K19" s="26">
        <f>+J19-I19</f>
        <v>247.20000000001164</v>
      </c>
      <c r="L19" s="339">
        <f>IF(I19&gt;0,+K19/I19,0)</f>
        <v>8.6315983541305856E-4</v>
      </c>
    </row>
    <row r="20" spans="1:12" x14ac:dyDescent="0.2">
      <c r="A20" s="129">
        <f t="shared" si="0"/>
        <v>12</v>
      </c>
      <c r="B20" s="126" t="s">
        <v>56</v>
      </c>
      <c r="C20" s="23">
        <v>43</v>
      </c>
      <c r="D20" s="65">
        <f>+'2018 Equal % Allocation'!D18</f>
        <v>123766000</v>
      </c>
      <c r="E20" s="66">
        <f>+'Estimated Proforma Base Revenue'!K23</f>
        <v>11676000</v>
      </c>
      <c r="F20" s="111">
        <f>ROUND('2017 Equal % Allocation '!F18,6)</f>
        <v>7.6999999999999996E-4</v>
      </c>
      <c r="G20" s="111">
        <f>ROUND(+'2018 Equal % Allocation'!F18,6)</f>
        <v>7.7899999999999996E-4</v>
      </c>
      <c r="H20" s="111">
        <f t="shared" si="1"/>
        <v>9.0000000000000019E-6</v>
      </c>
      <c r="I20" s="26">
        <f t="shared" si="4"/>
        <v>11771299.82</v>
      </c>
      <c r="J20" s="26">
        <f t="shared" si="5"/>
        <v>11772413.714</v>
      </c>
      <c r="K20" s="26">
        <f>+J20-I20</f>
        <v>1113.8939999993891</v>
      </c>
      <c r="L20" s="339">
        <f>IF(I20&gt;0,+K20/I20,0)</f>
        <v>9.4627952480390485E-5</v>
      </c>
    </row>
    <row r="21" spans="1:12" x14ac:dyDescent="0.2">
      <c r="A21" s="129">
        <f t="shared" si="0"/>
        <v>13</v>
      </c>
      <c r="B21" s="127"/>
      <c r="D21" s="65"/>
      <c r="E21" s="66"/>
      <c r="F21" s="27"/>
      <c r="G21" s="27"/>
      <c r="H21" s="111" t="s">
        <v>78</v>
      </c>
      <c r="I21" s="26"/>
      <c r="J21" s="26"/>
      <c r="K21" s="26"/>
      <c r="L21" s="339"/>
    </row>
    <row r="22" spans="1:12" x14ac:dyDescent="0.2">
      <c r="A22" s="129">
        <f t="shared" si="0"/>
        <v>14</v>
      </c>
      <c r="B22" s="127" t="s">
        <v>57</v>
      </c>
      <c r="D22" s="65">
        <f>SUM(D18:D21)</f>
        <v>1538462000</v>
      </c>
      <c r="E22" s="66">
        <f>SUM(E18:E21)</f>
        <v>132121000</v>
      </c>
      <c r="F22" s="111">
        <f>($I22-$E22)/$D22</f>
        <v>7.0117652304703632E-4</v>
      </c>
      <c r="G22" s="111">
        <f>($J22-$E22)/$D22</f>
        <v>7.0939087088274001E-4</v>
      </c>
      <c r="H22" s="111">
        <f t="shared" si="1"/>
        <v>8.2143478357036941E-6</v>
      </c>
      <c r="I22" s="26">
        <f>SUM(I18:I20)</f>
        <v>133199733.43599999</v>
      </c>
      <c r="J22" s="26">
        <f>SUM(J18:J20)</f>
        <v>133212370.898</v>
      </c>
      <c r="K22" s="26">
        <f>SUM(K18:K20)</f>
        <v>12637.462000000116</v>
      </c>
      <c r="L22" s="339">
        <f>IF(I22&gt;0,+K22/I22,0)</f>
        <v>9.4876030709717475E-5</v>
      </c>
    </row>
    <row r="23" spans="1:12" x14ac:dyDescent="0.2">
      <c r="A23" s="129">
        <f t="shared" si="0"/>
        <v>15</v>
      </c>
      <c r="B23" s="127"/>
      <c r="D23" s="65"/>
      <c r="E23" s="66"/>
      <c r="F23" s="27"/>
      <c r="G23" s="27"/>
      <c r="H23" s="111" t="s">
        <v>78</v>
      </c>
      <c r="I23" s="26"/>
      <c r="J23" s="26"/>
      <c r="K23" s="26"/>
      <c r="L23" s="339"/>
    </row>
    <row r="24" spans="1:12" x14ac:dyDescent="0.2">
      <c r="A24" s="129">
        <f t="shared" si="0"/>
        <v>16</v>
      </c>
      <c r="B24" s="32" t="s">
        <v>58</v>
      </c>
      <c r="C24" s="23">
        <v>40</v>
      </c>
      <c r="D24" s="65">
        <f>+'2018 Equal % Allocation'!D22</f>
        <v>586365000</v>
      </c>
      <c r="E24" s="66">
        <f>+'Estimated Proforma Base Revenue'!K26</f>
        <v>45990000</v>
      </c>
      <c r="F24" s="111">
        <f>ROUND('2017 Equal % Allocation '!F22,6)</f>
        <v>6.7000000000000002E-4</v>
      </c>
      <c r="G24" s="111">
        <f>ROUND(+'2018 Equal % Allocation'!F22,6)</f>
        <v>6.4800000000000003E-4</v>
      </c>
      <c r="H24" s="111">
        <f t="shared" si="1"/>
        <v>-2.1999999999999993E-5</v>
      </c>
      <c r="I24" s="26">
        <f t="shared" ref="I24" si="6">+F24*D24+E24</f>
        <v>46382864.549999997</v>
      </c>
      <c r="J24" s="26">
        <f>+G24*D24+E24</f>
        <v>46369964.520000003</v>
      </c>
      <c r="K24" s="26">
        <f>+J24-I24</f>
        <v>-12900.029999993742</v>
      </c>
      <c r="L24" s="339">
        <f>IF(I24&gt;0,+K24/I24,0)</f>
        <v>-2.7812059744795865E-4</v>
      </c>
    </row>
    <row r="25" spans="1:12" x14ac:dyDescent="0.2">
      <c r="A25" s="129">
        <f t="shared" si="0"/>
        <v>17</v>
      </c>
      <c r="B25" s="127"/>
      <c r="D25" s="65"/>
      <c r="E25" s="66"/>
      <c r="F25" s="27"/>
      <c r="G25" s="27"/>
      <c r="H25" s="111" t="s">
        <v>78</v>
      </c>
      <c r="I25" s="26"/>
      <c r="J25" s="26"/>
      <c r="K25" s="26"/>
      <c r="L25" s="339"/>
    </row>
    <row r="26" spans="1:12" x14ac:dyDescent="0.2">
      <c r="A26" s="129">
        <f t="shared" si="0"/>
        <v>18</v>
      </c>
      <c r="B26" s="126" t="s">
        <v>59</v>
      </c>
      <c r="C26" s="23">
        <v>46</v>
      </c>
      <c r="D26" s="65">
        <f>+'2018 Equal % Allocation'!D24</f>
        <v>79268000</v>
      </c>
      <c r="E26" s="66">
        <f>+'Estimated Proforma Base Revenue'!K29</f>
        <v>5619000</v>
      </c>
      <c r="F26" s="111">
        <f>ROUND('2017 Equal % Allocation '!F24,6)</f>
        <v>5.9800000000000001E-4</v>
      </c>
      <c r="G26" s="111">
        <f>ROUND(+'2018 Equal % Allocation'!F24,6)</f>
        <v>5.8799999999999998E-4</v>
      </c>
      <c r="H26" s="111">
        <f t="shared" si="1"/>
        <v>-1.0000000000000026E-5</v>
      </c>
      <c r="I26" s="26">
        <f t="shared" ref="I26:I27" si="7">+F26*D26+E26</f>
        <v>5666402.2640000004</v>
      </c>
      <c r="J26" s="26">
        <f t="shared" ref="J26:J27" si="8">+G26*D26+E26</f>
        <v>5665609.5839999998</v>
      </c>
      <c r="K26" s="26">
        <f>+J26-I26</f>
        <v>-792.6800000006333</v>
      </c>
      <c r="L26" s="339">
        <f>IF(I26&gt;0,+K26/I26,0)</f>
        <v>-1.3989123310865478E-4</v>
      </c>
    </row>
    <row r="27" spans="1:12" x14ac:dyDescent="0.2">
      <c r="A27" s="129">
        <f t="shared" si="0"/>
        <v>19</v>
      </c>
      <c r="B27" s="125" t="s">
        <v>60</v>
      </c>
      <c r="C27" s="23">
        <v>49</v>
      </c>
      <c r="D27" s="65">
        <f>+'2018 Equal % Allocation'!D25</f>
        <v>597895000</v>
      </c>
      <c r="E27" s="66">
        <f>+'Estimated Proforma Base Revenue'!K30</f>
        <v>41597000</v>
      </c>
      <c r="F27" s="111">
        <f>ROUND('2017 Equal % Allocation '!F25,6)</f>
        <v>5.7600000000000001E-4</v>
      </c>
      <c r="G27" s="111">
        <f>ROUND(+'2018 Equal % Allocation'!F25,6)</f>
        <v>5.7300000000000005E-4</v>
      </c>
      <c r="H27" s="111">
        <f t="shared" si="1"/>
        <v>-2.9999999999999645E-6</v>
      </c>
      <c r="I27" s="26">
        <f t="shared" si="7"/>
        <v>41941387.520000003</v>
      </c>
      <c r="J27" s="26">
        <f t="shared" si="8"/>
        <v>41939593.835000001</v>
      </c>
      <c r="K27" s="26">
        <f>+J27-I27</f>
        <v>-1793.6850000023842</v>
      </c>
      <c r="L27" s="339">
        <f>IF(I27&gt;0,+K27/I27,0)</f>
        <v>-4.2766467827204205E-5</v>
      </c>
    </row>
    <row r="28" spans="1:12" x14ac:dyDescent="0.2">
      <c r="A28" s="129">
        <f t="shared" si="0"/>
        <v>20</v>
      </c>
      <c r="B28" s="32"/>
      <c r="D28" s="65"/>
      <c r="E28" s="66"/>
      <c r="F28" s="27"/>
      <c r="G28" s="27"/>
      <c r="H28" s="111" t="s">
        <v>78</v>
      </c>
      <c r="I28" s="26"/>
      <c r="J28" s="26"/>
      <c r="K28" s="26"/>
      <c r="L28" s="339"/>
    </row>
    <row r="29" spans="1:12" x14ac:dyDescent="0.2">
      <c r="A29" s="129">
        <f t="shared" si="0"/>
        <v>21</v>
      </c>
      <c r="B29" s="32" t="s">
        <v>61</v>
      </c>
      <c r="D29" s="65">
        <f>SUM(D26:D28)</f>
        <v>677163000</v>
      </c>
      <c r="E29" s="66">
        <f>SUM(E26:E28)</f>
        <v>47216000</v>
      </c>
      <c r="F29" s="111">
        <f>($I29-$E29)/$D29</f>
        <v>5.7857529723272217E-4</v>
      </c>
      <c r="G29" s="111">
        <f>($J29-$E29)/$D29</f>
        <v>5.7475588447685377E-4</v>
      </c>
      <c r="H29" s="111">
        <f t="shared" si="1"/>
        <v>-3.819412755868396E-6</v>
      </c>
      <c r="I29" s="24">
        <f>SUM(I26:I28)</f>
        <v>47607789.784000002</v>
      </c>
      <c r="J29" s="24">
        <f>SUM(J26:J28)</f>
        <v>47605203.419</v>
      </c>
      <c r="K29" s="26">
        <f>SUM(K26:K28)</f>
        <v>-2586.3650000030175</v>
      </c>
      <c r="L29" s="339">
        <f>IF(I29&gt;0,+K29/I29,0)</f>
        <v>-5.4326508576380948E-5</v>
      </c>
    </row>
    <row r="30" spans="1:12" x14ac:dyDescent="0.2">
      <c r="A30" s="129">
        <f t="shared" si="0"/>
        <v>22</v>
      </c>
      <c r="B30" s="32"/>
      <c r="D30" s="65"/>
      <c r="E30" s="66"/>
      <c r="F30" s="27"/>
      <c r="G30" s="27"/>
      <c r="H30" s="111"/>
      <c r="K30" s="26"/>
      <c r="L30" s="339"/>
    </row>
    <row r="31" spans="1:12" x14ac:dyDescent="0.2">
      <c r="A31" s="129">
        <f t="shared" si="0"/>
        <v>23</v>
      </c>
      <c r="B31" s="32" t="s">
        <v>62</v>
      </c>
      <c r="C31" s="107" t="s">
        <v>138</v>
      </c>
      <c r="D31" s="65">
        <f>+'2018 Equal % Allocation'!D29</f>
        <v>70960000</v>
      </c>
      <c r="E31" s="66">
        <f>+'Estimated Proforma Base Revenue'!K33</f>
        <v>16623000</v>
      </c>
      <c r="F31" s="111">
        <f>ROUND('2017 Equal % Allocation '!F29,6)</f>
        <v>2.1689999999999999E-3</v>
      </c>
      <c r="G31" s="111">
        <f>ROUND(+'2018 Equal % Allocation'!F29,6)</f>
        <v>1.951E-3</v>
      </c>
      <c r="H31" s="111">
        <f>G31-F31</f>
        <v>-2.1799999999999988E-4</v>
      </c>
      <c r="I31" s="26">
        <f t="shared" ref="I31" si="9">+F31*D31+E31</f>
        <v>16776912.24</v>
      </c>
      <c r="J31" s="26">
        <f>+G31*D31+E31</f>
        <v>16761442.960000001</v>
      </c>
      <c r="K31" s="26">
        <f>+J31-I31</f>
        <v>-15469.279999999329</v>
      </c>
      <c r="L31" s="339">
        <f>IF(I31&gt;0,+K31/I31,0)</f>
        <v>-9.2205763365186015E-4</v>
      </c>
    </row>
    <row r="32" spans="1:12" x14ac:dyDescent="0.2">
      <c r="A32" s="129">
        <f t="shared" si="0"/>
        <v>24</v>
      </c>
      <c r="B32" s="32"/>
      <c r="D32" s="65"/>
      <c r="E32" s="66"/>
      <c r="H32" s="111" t="s">
        <v>78</v>
      </c>
      <c r="I32" s="26"/>
      <c r="J32" s="26"/>
      <c r="K32" s="26"/>
      <c r="L32" s="339"/>
    </row>
    <row r="33" spans="1:12" x14ac:dyDescent="0.2">
      <c r="A33" s="129">
        <f t="shared" si="0"/>
        <v>25</v>
      </c>
      <c r="B33" s="32" t="s">
        <v>110</v>
      </c>
      <c r="C33" s="107" t="s">
        <v>140</v>
      </c>
      <c r="D33" s="65">
        <f>+'2018 Equal % Allocation'!D31</f>
        <v>2030932000</v>
      </c>
      <c r="E33" s="66">
        <f>+'Estimated Proforma Base Revenue'!K35</f>
        <v>9848000</v>
      </c>
      <c r="F33" s="111">
        <f>ROUND('2017 Equal % Allocation '!F31,6)</f>
        <v>3.3000000000000003E-5</v>
      </c>
      <c r="G33" s="111">
        <f>ROUND(+'2018 Equal % Allocation'!F31,6)</f>
        <v>3.3000000000000003E-5</v>
      </c>
      <c r="H33" s="111">
        <f>G33-F33</f>
        <v>0</v>
      </c>
      <c r="I33" s="26">
        <f t="shared" ref="I33" si="10">+F33*D33+E33</f>
        <v>9915020.7559999991</v>
      </c>
      <c r="J33" s="26">
        <f>+G33*D33+E33</f>
        <v>9915020.7559999991</v>
      </c>
      <c r="K33" s="26">
        <f>+J33-I33</f>
        <v>0</v>
      </c>
      <c r="L33" s="339">
        <f>IF(I33&gt;0,+K33/I33,0)</f>
        <v>0</v>
      </c>
    </row>
    <row r="34" spans="1:12" x14ac:dyDescent="0.2">
      <c r="A34" s="129">
        <f t="shared" si="0"/>
        <v>26</v>
      </c>
      <c r="B34" s="32"/>
      <c r="D34" s="65"/>
      <c r="E34" s="66"/>
      <c r="F34" s="27"/>
      <c r="G34" s="27"/>
      <c r="H34" s="111" t="s">
        <v>78</v>
      </c>
      <c r="I34" s="26"/>
      <c r="J34" s="26"/>
      <c r="K34" s="26"/>
      <c r="L34" s="339"/>
    </row>
    <row r="35" spans="1:12" x14ac:dyDescent="0.2">
      <c r="A35" s="129">
        <f t="shared" si="0"/>
        <v>27</v>
      </c>
      <c r="B35" s="32" t="s">
        <v>63</v>
      </c>
      <c r="D35" s="24">
        <f>SUM(D9,D16,D22,D24,D29,D31,D33)</f>
        <v>23908883000</v>
      </c>
      <c r="E35" s="26">
        <f>SUM(E9,E16,E22,E24,E29,E31,E33)</f>
        <v>2136710000</v>
      </c>
      <c r="F35" s="111">
        <f>($I35-$E35)/$D35</f>
        <v>7.8370725600188649E-4</v>
      </c>
      <c r="G35" s="111">
        <f>($J35-$E35)/$D35</f>
        <v>7.6527942652109297E-4</v>
      </c>
      <c r="H35" s="111">
        <f t="shared" si="1"/>
        <v>-1.8427829480793518E-5</v>
      </c>
      <c r="I35" s="26">
        <f>SUM(I9,I16,I22,I24,I29,I31,I33)</f>
        <v>2155447565.0900002</v>
      </c>
      <c r="J35" s="26">
        <f>SUM(J9,J16,J22,J24,J29,J31,J33)</f>
        <v>2155006976.2709999</v>
      </c>
      <c r="K35" s="26">
        <f>SUM(K9,K16,K22,K24,K29,K31,K33)</f>
        <v>-440588.81900012138</v>
      </c>
      <c r="L35" s="339">
        <f>IF(I35&gt;0,+K35/I35,0)</f>
        <v>-2.0440711531840243E-4</v>
      </c>
    </row>
    <row r="36" spans="1:12" ht="13.5" thickBot="1" x14ac:dyDescent="0.25">
      <c r="A36" s="131">
        <f t="shared" si="0"/>
        <v>28</v>
      </c>
      <c r="B36" s="128"/>
      <c r="C36" s="28"/>
      <c r="D36" s="29"/>
      <c r="E36" s="29"/>
      <c r="F36" s="30"/>
      <c r="G36" s="30"/>
      <c r="H36" s="30"/>
      <c r="I36" s="29"/>
      <c r="J36" s="29"/>
      <c r="K36" s="31"/>
      <c r="L36" s="103"/>
    </row>
    <row r="37" spans="1:12" x14ac:dyDescent="0.2">
      <c r="A37" s="23">
        <f t="shared" si="0"/>
        <v>29</v>
      </c>
      <c r="B37" s="32"/>
    </row>
    <row r="38" spans="1:12" x14ac:dyDescent="0.2">
      <c r="A38" s="23">
        <f t="shared" si="0"/>
        <v>30</v>
      </c>
      <c r="B38" s="32" t="s">
        <v>64</v>
      </c>
      <c r="D38" s="65">
        <f>+'2018 Equal % Allocation'!D36</f>
        <v>7036000</v>
      </c>
      <c r="E38" s="66">
        <f>+'Estimated Proforma Base Revenue'!K39</f>
        <v>602000</v>
      </c>
    </row>
    <row r="39" spans="1:12" x14ac:dyDescent="0.2">
      <c r="A39" s="23">
        <f t="shared" si="0"/>
        <v>31</v>
      </c>
      <c r="B39" s="32"/>
      <c r="E39" s="26"/>
    </row>
    <row r="40" spans="1:12" x14ac:dyDescent="0.2">
      <c r="A40" s="23">
        <f t="shared" si="0"/>
        <v>32</v>
      </c>
      <c r="B40" s="32" t="s">
        <v>65</v>
      </c>
      <c r="D40" s="24">
        <f>+D38+D35</f>
        <v>23915919000</v>
      </c>
      <c r="E40" s="26">
        <f>+E38+E35</f>
        <v>2137312000</v>
      </c>
    </row>
    <row r="41" spans="1:12" x14ac:dyDescent="0.2">
      <c r="A41" s="23">
        <f t="shared" si="0"/>
        <v>33</v>
      </c>
      <c r="B41" s="32"/>
      <c r="E41" s="26"/>
    </row>
    <row r="42" spans="1:12" x14ac:dyDescent="0.2">
      <c r="A42" s="23">
        <f t="shared" si="0"/>
        <v>34</v>
      </c>
      <c r="B42" s="32" t="s">
        <v>66</v>
      </c>
      <c r="D42" s="24">
        <f>+'Estimated Proforma Base Revenue'!D41</f>
        <v>23915919000</v>
      </c>
      <c r="E42" s="26">
        <f>+'Estimated Proforma Base Revenue'!K43</f>
        <v>2137312000</v>
      </c>
    </row>
    <row r="43" spans="1:12" x14ac:dyDescent="0.2">
      <c r="A43" s="23">
        <f t="shared" si="0"/>
        <v>35</v>
      </c>
      <c r="B43" s="32"/>
      <c r="E43" s="26"/>
    </row>
    <row r="44" spans="1:12" x14ac:dyDescent="0.2">
      <c r="A44" s="23">
        <f t="shared" si="0"/>
        <v>36</v>
      </c>
      <c r="B44" s="32" t="s">
        <v>67</v>
      </c>
      <c r="D44" s="24">
        <f>+D42-D40</f>
        <v>0</v>
      </c>
      <c r="E44" s="26">
        <f>+E42-E40</f>
        <v>0</v>
      </c>
    </row>
    <row r="45" spans="1:12" x14ac:dyDescent="0.2">
      <c r="A45" s="32"/>
      <c r="B45" s="32"/>
    </row>
    <row r="46" spans="1:12" x14ac:dyDescent="0.2">
      <c r="A46" s="32"/>
      <c r="B46" s="32"/>
      <c r="K46" s="33"/>
    </row>
    <row r="47" spans="1:12" ht="30.6" customHeight="1" x14ac:dyDescent="0.2">
      <c r="A47" s="130"/>
      <c r="B47" s="342" t="s">
        <v>235</v>
      </c>
      <c r="C47" s="342"/>
      <c r="D47" s="342"/>
      <c r="E47" s="342"/>
      <c r="F47" s="342"/>
      <c r="G47" s="342"/>
      <c r="H47" s="342"/>
      <c r="I47" s="342"/>
      <c r="J47" s="342"/>
      <c r="K47" s="342"/>
      <c r="L47" s="342"/>
    </row>
    <row r="48" spans="1:12" x14ac:dyDescent="0.2">
      <c r="A48" s="32"/>
      <c r="B48" s="32"/>
    </row>
    <row r="49" spans="1:2" x14ac:dyDescent="0.2">
      <c r="A49" s="32"/>
      <c r="B49" s="32"/>
    </row>
    <row r="50" spans="1:2" x14ac:dyDescent="0.2">
      <c r="A50" s="32"/>
      <c r="B50" s="32"/>
    </row>
    <row r="51" spans="1:2" x14ac:dyDescent="0.2">
      <c r="A51" s="32"/>
      <c r="B51" s="32"/>
    </row>
    <row r="52" spans="1:2" x14ac:dyDescent="0.2">
      <c r="A52" s="32"/>
      <c r="B52" s="32"/>
    </row>
    <row r="53" spans="1:2" x14ac:dyDescent="0.2">
      <c r="A53" s="32"/>
      <c r="B53" s="32"/>
    </row>
    <row r="54" spans="1:2" x14ac:dyDescent="0.2">
      <c r="A54" s="32"/>
      <c r="B54" s="32"/>
    </row>
    <row r="55" spans="1:2" x14ac:dyDescent="0.2">
      <c r="A55" s="32"/>
      <c r="B55" s="32"/>
    </row>
    <row r="56" spans="1:2" x14ac:dyDescent="0.2">
      <c r="A56" s="32"/>
      <c r="B56" s="32"/>
    </row>
    <row r="57" spans="1:2" x14ac:dyDescent="0.2">
      <c r="A57" s="32"/>
      <c r="B57" s="32"/>
    </row>
    <row r="58" spans="1:2" x14ac:dyDescent="0.2">
      <c r="A58" s="32"/>
      <c r="B58" s="32"/>
    </row>
    <row r="59" spans="1:2" x14ac:dyDescent="0.2">
      <c r="A59" s="32"/>
      <c r="B59" s="32"/>
    </row>
    <row r="60" spans="1:2" x14ac:dyDescent="0.2">
      <c r="A60" s="32"/>
      <c r="B60" s="32"/>
    </row>
    <row r="61" spans="1:2" x14ac:dyDescent="0.2">
      <c r="A61" s="32"/>
      <c r="B61" s="32"/>
    </row>
    <row r="62" spans="1:2" x14ac:dyDescent="0.2">
      <c r="A62" s="32"/>
      <c r="B62" s="32"/>
    </row>
    <row r="63" spans="1:2" x14ac:dyDescent="0.2">
      <c r="A63" s="32"/>
      <c r="B63" s="32"/>
    </row>
    <row r="64" spans="1:2" x14ac:dyDescent="0.2">
      <c r="A64" s="32"/>
      <c r="B64" s="32"/>
    </row>
    <row r="65" spans="1:2" x14ac:dyDescent="0.2">
      <c r="A65" s="32"/>
      <c r="B65" s="32"/>
    </row>
    <row r="66" spans="1:2" x14ac:dyDescent="0.2">
      <c r="A66" s="32"/>
      <c r="B66" s="32"/>
    </row>
    <row r="67" spans="1:2" x14ac:dyDescent="0.2">
      <c r="A67" s="32"/>
      <c r="B67" s="32"/>
    </row>
    <row r="68" spans="1:2" x14ac:dyDescent="0.2">
      <c r="A68" s="32"/>
      <c r="B68" s="32"/>
    </row>
    <row r="69" spans="1:2" x14ac:dyDescent="0.2">
      <c r="A69" s="32"/>
      <c r="B69" s="32"/>
    </row>
    <row r="70" spans="1:2" x14ac:dyDescent="0.2">
      <c r="A70" s="32"/>
      <c r="B70" s="32"/>
    </row>
    <row r="71" spans="1:2" x14ac:dyDescent="0.2">
      <c r="A71" s="32"/>
      <c r="B71" s="32"/>
    </row>
    <row r="72" spans="1:2" x14ac:dyDescent="0.2">
      <c r="A72" s="32"/>
      <c r="B72" s="32"/>
    </row>
    <row r="73" spans="1:2" x14ac:dyDescent="0.2">
      <c r="A73" s="32"/>
      <c r="B73" s="32"/>
    </row>
    <row r="74" spans="1:2" x14ac:dyDescent="0.2">
      <c r="A74" s="32"/>
      <c r="B74" s="32"/>
    </row>
    <row r="75" spans="1:2" x14ac:dyDescent="0.2">
      <c r="A75" s="32"/>
      <c r="B75" s="32"/>
    </row>
    <row r="76" spans="1:2" x14ac:dyDescent="0.2">
      <c r="A76" s="32"/>
      <c r="B76" s="32"/>
    </row>
    <row r="77" spans="1:2" x14ac:dyDescent="0.2">
      <c r="A77" s="32"/>
      <c r="B77" s="32"/>
    </row>
    <row r="78" spans="1:2" x14ac:dyDescent="0.2">
      <c r="A78" s="32"/>
      <c r="B78" s="32"/>
    </row>
    <row r="79" spans="1:2" x14ac:dyDescent="0.2">
      <c r="A79" s="32"/>
      <c r="B79" s="32"/>
    </row>
    <row r="80" spans="1:2" x14ac:dyDescent="0.2">
      <c r="A80" s="32"/>
      <c r="B80" s="32"/>
    </row>
    <row r="81" spans="1:2" x14ac:dyDescent="0.2">
      <c r="A81" s="32"/>
      <c r="B81" s="32"/>
    </row>
    <row r="82" spans="1:2" x14ac:dyDescent="0.2">
      <c r="A82" s="32"/>
      <c r="B82" s="32"/>
    </row>
    <row r="83" spans="1:2" x14ac:dyDescent="0.2">
      <c r="A83" s="32"/>
      <c r="B83" s="32"/>
    </row>
    <row r="84" spans="1:2" x14ac:dyDescent="0.2">
      <c r="A84" s="32"/>
      <c r="B84" s="32"/>
    </row>
    <row r="85" spans="1:2" x14ac:dyDescent="0.2">
      <c r="A85" s="32"/>
      <c r="B85" s="32"/>
    </row>
    <row r="86" spans="1:2" x14ac:dyDescent="0.2">
      <c r="A86" s="32"/>
      <c r="B86" s="32"/>
    </row>
    <row r="87" spans="1:2" x14ac:dyDescent="0.2">
      <c r="A87" s="32"/>
      <c r="B87" s="32"/>
    </row>
    <row r="88" spans="1:2" x14ac:dyDescent="0.2">
      <c r="A88" s="32"/>
      <c r="B88" s="32"/>
    </row>
    <row r="89" spans="1:2" x14ac:dyDescent="0.2">
      <c r="A89" s="32"/>
      <c r="B89" s="32"/>
    </row>
    <row r="90" spans="1:2" x14ac:dyDescent="0.2">
      <c r="A90" s="32"/>
      <c r="B90" s="32"/>
    </row>
    <row r="91" spans="1:2" x14ac:dyDescent="0.2">
      <c r="A91" s="32"/>
      <c r="B91" s="32"/>
    </row>
    <row r="92" spans="1:2" x14ac:dyDescent="0.2">
      <c r="A92" s="32"/>
      <c r="B92" s="32"/>
    </row>
    <row r="93" spans="1:2" x14ac:dyDescent="0.2">
      <c r="A93" s="32"/>
      <c r="B93" s="32"/>
    </row>
    <row r="94" spans="1:2" x14ac:dyDescent="0.2">
      <c r="A94" s="32"/>
      <c r="B94" s="32"/>
    </row>
    <row r="95" spans="1:2" x14ac:dyDescent="0.2">
      <c r="A95" s="32"/>
      <c r="B95" s="32"/>
    </row>
    <row r="96" spans="1:2" x14ac:dyDescent="0.2">
      <c r="A96" s="32"/>
      <c r="B96" s="32"/>
    </row>
    <row r="97" spans="1:2" x14ac:dyDescent="0.2">
      <c r="A97" s="32"/>
      <c r="B97" s="32"/>
    </row>
    <row r="98" spans="1:2" x14ac:dyDescent="0.2">
      <c r="A98" s="32"/>
      <c r="B98" s="32"/>
    </row>
    <row r="99" spans="1:2" x14ac:dyDescent="0.2">
      <c r="A99" s="32"/>
      <c r="B99" s="32"/>
    </row>
    <row r="100" spans="1:2" x14ac:dyDescent="0.2">
      <c r="A100" s="32"/>
      <c r="B100" s="32"/>
    </row>
    <row r="101" spans="1:2" x14ac:dyDescent="0.2">
      <c r="A101" s="32"/>
      <c r="B101" s="32"/>
    </row>
    <row r="102" spans="1:2" x14ac:dyDescent="0.2">
      <c r="A102" s="32"/>
      <c r="B102" s="32"/>
    </row>
    <row r="103" spans="1:2" x14ac:dyDescent="0.2">
      <c r="A103" s="32"/>
      <c r="B103" s="32"/>
    </row>
    <row r="104" spans="1:2" x14ac:dyDescent="0.2">
      <c r="A104" s="32"/>
      <c r="B104" s="32"/>
    </row>
    <row r="105" spans="1:2" x14ac:dyDescent="0.2">
      <c r="A105" s="32"/>
      <c r="B105" s="32"/>
    </row>
    <row r="106" spans="1:2" x14ac:dyDescent="0.2">
      <c r="A106" s="32"/>
      <c r="B106" s="32"/>
    </row>
    <row r="107" spans="1:2" x14ac:dyDescent="0.2">
      <c r="A107" s="32"/>
      <c r="B107" s="32"/>
    </row>
    <row r="108" spans="1:2" x14ac:dyDescent="0.2">
      <c r="A108" s="32"/>
      <c r="B108" s="32"/>
    </row>
    <row r="109" spans="1:2" x14ac:dyDescent="0.2">
      <c r="A109" s="32"/>
      <c r="B109" s="32"/>
    </row>
    <row r="110" spans="1:2" x14ac:dyDescent="0.2">
      <c r="A110" s="32"/>
      <c r="B110" s="32"/>
    </row>
    <row r="111" spans="1:2" x14ac:dyDescent="0.2">
      <c r="A111" s="32"/>
      <c r="B111" s="32"/>
    </row>
    <row r="112" spans="1:2" x14ac:dyDescent="0.2">
      <c r="A112" s="32"/>
      <c r="B112" s="32"/>
    </row>
    <row r="113" spans="1:2" x14ac:dyDescent="0.2">
      <c r="A113" s="32"/>
      <c r="B113" s="32"/>
    </row>
    <row r="114" spans="1:2" x14ac:dyDescent="0.2">
      <c r="A114" s="32"/>
      <c r="B114" s="32"/>
    </row>
    <row r="115" spans="1:2" x14ac:dyDescent="0.2">
      <c r="A115" s="32"/>
      <c r="B115" s="32"/>
    </row>
    <row r="116" spans="1:2" x14ac:dyDescent="0.2">
      <c r="A116" s="32"/>
      <c r="B116" s="32"/>
    </row>
    <row r="117" spans="1:2" x14ac:dyDescent="0.2">
      <c r="A117" s="32"/>
      <c r="B117" s="32"/>
    </row>
    <row r="118" spans="1:2" x14ac:dyDescent="0.2">
      <c r="A118" s="32"/>
      <c r="B118" s="32"/>
    </row>
    <row r="119" spans="1:2" x14ac:dyDescent="0.2">
      <c r="A119" s="32"/>
      <c r="B119" s="32"/>
    </row>
    <row r="120" spans="1:2" x14ac:dyDescent="0.2">
      <c r="A120" s="32"/>
      <c r="B120" s="32"/>
    </row>
    <row r="121" spans="1:2" x14ac:dyDescent="0.2">
      <c r="A121" s="32"/>
      <c r="B121" s="32"/>
    </row>
    <row r="122" spans="1:2" x14ac:dyDescent="0.2">
      <c r="A122" s="32"/>
      <c r="B122" s="32"/>
    </row>
    <row r="123" spans="1:2" x14ac:dyDescent="0.2">
      <c r="A123" s="32"/>
      <c r="B123" s="32"/>
    </row>
    <row r="124" spans="1:2" x14ac:dyDescent="0.2">
      <c r="A124" s="32"/>
      <c r="B124" s="32"/>
    </row>
    <row r="125" spans="1:2" x14ac:dyDescent="0.2">
      <c r="A125" s="32"/>
      <c r="B125" s="32"/>
    </row>
    <row r="126" spans="1:2" x14ac:dyDescent="0.2">
      <c r="A126" s="32"/>
      <c r="B126" s="32"/>
    </row>
    <row r="127" spans="1:2" x14ac:dyDescent="0.2">
      <c r="A127" s="32"/>
      <c r="B127" s="32"/>
    </row>
    <row r="128" spans="1:2" x14ac:dyDescent="0.2">
      <c r="A128" s="32"/>
      <c r="B128" s="32"/>
    </row>
    <row r="129" spans="1:2" x14ac:dyDescent="0.2">
      <c r="A129" s="32"/>
      <c r="B129" s="32"/>
    </row>
    <row r="130" spans="1:2" x14ac:dyDescent="0.2">
      <c r="A130" s="32"/>
      <c r="B130" s="32"/>
    </row>
    <row r="131" spans="1:2" x14ac:dyDescent="0.2">
      <c r="A131" s="32"/>
      <c r="B131" s="32"/>
    </row>
    <row r="132" spans="1:2" x14ac:dyDescent="0.2">
      <c r="A132" s="32"/>
      <c r="B132" s="32"/>
    </row>
    <row r="133" spans="1:2" x14ac:dyDescent="0.2">
      <c r="A133" s="32"/>
      <c r="B133" s="32"/>
    </row>
    <row r="134" spans="1:2" x14ac:dyDescent="0.2">
      <c r="A134" s="32"/>
      <c r="B134" s="32"/>
    </row>
    <row r="135" spans="1:2" x14ac:dyDescent="0.2">
      <c r="A135" s="32"/>
      <c r="B135" s="32"/>
    </row>
    <row r="136" spans="1:2" x14ac:dyDescent="0.2">
      <c r="A136" s="32"/>
      <c r="B136" s="32"/>
    </row>
    <row r="137" spans="1:2" x14ac:dyDescent="0.2">
      <c r="A137" s="32"/>
      <c r="B137" s="32"/>
    </row>
    <row r="138" spans="1:2" x14ac:dyDescent="0.2">
      <c r="A138" s="32"/>
      <c r="B138" s="32"/>
    </row>
    <row r="139" spans="1:2" x14ac:dyDescent="0.2">
      <c r="A139" s="32"/>
      <c r="B139" s="32"/>
    </row>
    <row r="140" spans="1:2" x14ac:dyDescent="0.2">
      <c r="A140" s="32"/>
      <c r="B140" s="32"/>
    </row>
    <row r="141" spans="1:2" x14ac:dyDescent="0.2">
      <c r="A141" s="32"/>
      <c r="B141" s="32"/>
    </row>
    <row r="142" spans="1:2" x14ac:dyDescent="0.2">
      <c r="A142" s="32"/>
      <c r="B142" s="32"/>
    </row>
    <row r="143" spans="1:2" x14ac:dyDescent="0.2">
      <c r="A143" s="32"/>
      <c r="B143" s="32"/>
    </row>
    <row r="144" spans="1:2" x14ac:dyDescent="0.2">
      <c r="A144" s="32"/>
      <c r="B144" s="32"/>
    </row>
    <row r="145" spans="1:2" x14ac:dyDescent="0.2">
      <c r="A145" s="32"/>
      <c r="B145" s="32"/>
    </row>
    <row r="146" spans="1:2" x14ac:dyDescent="0.2">
      <c r="A146" s="32"/>
      <c r="B146" s="32"/>
    </row>
    <row r="147" spans="1:2" x14ac:dyDescent="0.2">
      <c r="A147" s="32"/>
      <c r="B147" s="32"/>
    </row>
    <row r="148" spans="1:2" x14ac:dyDescent="0.2">
      <c r="A148" s="32"/>
      <c r="B148" s="32"/>
    </row>
    <row r="149" spans="1:2" x14ac:dyDescent="0.2">
      <c r="A149" s="32"/>
      <c r="B149" s="32"/>
    </row>
    <row r="150" spans="1:2" x14ac:dyDescent="0.2">
      <c r="A150" s="32"/>
      <c r="B150" s="32"/>
    </row>
    <row r="151" spans="1:2" x14ac:dyDescent="0.2">
      <c r="A151" s="32"/>
      <c r="B151" s="32"/>
    </row>
    <row r="152" spans="1:2" x14ac:dyDescent="0.2">
      <c r="A152" s="32"/>
      <c r="B152" s="32"/>
    </row>
    <row r="153" spans="1:2" x14ac:dyDescent="0.2">
      <c r="A153" s="32"/>
      <c r="B153" s="32"/>
    </row>
    <row r="154" spans="1:2" x14ac:dyDescent="0.2">
      <c r="A154" s="32"/>
      <c r="B154" s="32"/>
    </row>
    <row r="155" spans="1:2" x14ac:dyDescent="0.2">
      <c r="A155" s="32"/>
      <c r="B155" s="32"/>
    </row>
    <row r="156" spans="1:2" x14ac:dyDescent="0.2">
      <c r="A156" s="32"/>
      <c r="B156" s="32"/>
    </row>
    <row r="157" spans="1:2" x14ac:dyDescent="0.2">
      <c r="A157" s="32"/>
      <c r="B157" s="32"/>
    </row>
    <row r="158" spans="1:2" x14ac:dyDescent="0.2">
      <c r="A158" s="32"/>
      <c r="B158" s="32"/>
    </row>
    <row r="159" spans="1:2" x14ac:dyDescent="0.2">
      <c r="A159" s="32"/>
      <c r="B159" s="32"/>
    </row>
    <row r="160" spans="1:2" x14ac:dyDescent="0.2">
      <c r="A160" s="32"/>
      <c r="B160" s="32"/>
    </row>
    <row r="161" spans="1:2" x14ac:dyDescent="0.2">
      <c r="A161" s="32"/>
      <c r="B161" s="32"/>
    </row>
    <row r="162" spans="1:2" x14ac:dyDescent="0.2">
      <c r="A162" s="32"/>
      <c r="B162" s="32"/>
    </row>
    <row r="163" spans="1:2" x14ac:dyDescent="0.2">
      <c r="A163" s="32"/>
      <c r="B163" s="32"/>
    </row>
    <row r="164" spans="1:2" x14ac:dyDescent="0.2">
      <c r="A164" s="32"/>
      <c r="B164" s="32"/>
    </row>
    <row r="165" spans="1:2" x14ac:dyDescent="0.2">
      <c r="A165" s="32"/>
      <c r="B165" s="32"/>
    </row>
    <row r="166" spans="1:2" x14ac:dyDescent="0.2">
      <c r="A166" s="32"/>
      <c r="B166" s="32"/>
    </row>
    <row r="167" spans="1:2" x14ac:dyDescent="0.2">
      <c r="A167" s="32"/>
      <c r="B167" s="32"/>
    </row>
    <row r="168" spans="1:2" x14ac:dyDescent="0.2">
      <c r="A168" s="32"/>
      <c r="B168" s="32"/>
    </row>
    <row r="169" spans="1:2" x14ac:dyDescent="0.2">
      <c r="A169" s="32"/>
      <c r="B169" s="32"/>
    </row>
    <row r="170" spans="1:2" x14ac:dyDescent="0.2">
      <c r="A170" s="32"/>
      <c r="B170" s="32"/>
    </row>
    <row r="171" spans="1:2" x14ac:dyDescent="0.2">
      <c r="A171" s="32"/>
      <c r="B171" s="32"/>
    </row>
    <row r="172" spans="1:2" x14ac:dyDescent="0.2">
      <c r="A172" s="32"/>
      <c r="B172" s="32"/>
    </row>
    <row r="173" spans="1:2" x14ac:dyDescent="0.2">
      <c r="A173" s="32"/>
      <c r="B173" s="32"/>
    </row>
    <row r="174" spans="1:2" x14ac:dyDescent="0.2">
      <c r="A174" s="32"/>
      <c r="B174" s="32"/>
    </row>
    <row r="175" spans="1:2" x14ac:dyDescent="0.2">
      <c r="A175" s="32"/>
      <c r="B175" s="32"/>
    </row>
    <row r="176" spans="1:2" x14ac:dyDescent="0.2">
      <c r="A176" s="32"/>
      <c r="B176" s="32"/>
    </row>
    <row r="177" spans="1:2" x14ac:dyDescent="0.2">
      <c r="A177" s="32"/>
      <c r="B177" s="32"/>
    </row>
    <row r="178" spans="1:2" x14ac:dyDescent="0.2">
      <c r="A178" s="32"/>
      <c r="B178" s="32"/>
    </row>
    <row r="179" spans="1:2" x14ac:dyDescent="0.2">
      <c r="A179" s="32"/>
      <c r="B179" s="32"/>
    </row>
    <row r="180" spans="1:2" x14ac:dyDescent="0.2">
      <c r="A180" s="32"/>
      <c r="B180" s="32"/>
    </row>
    <row r="181" spans="1:2" x14ac:dyDescent="0.2">
      <c r="A181" s="32"/>
      <c r="B181" s="32"/>
    </row>
    <row r="182" spans="1:2" x14ac:dyDescent="0.2">
      <c r="A182" s="32"/>
      <c r="B182" s="32"/>
    </row>
    <row r="183" spans="1:2" x14ac:dyDescent="0.2">
      <c r="A183" s="32"/>
      <c r="B183" s="32"/>
    </row>
    <row r="184" spans="1:2" x14ac:dyDescent="0.2">
      <c r="A184" s="32"/>
      <c r="B184" s="32"/>
    </row>
    <row r="185" spans="1:2" x14ac:dyDescent="0.2">
      <c r="A185" s="32"/>
      <c r="B185" s="32"/>
    </row>
    <row r="186" spans="1:2" x14ac:dyDescent="0.2">
      <c r="A186" s="32"/>
      <c r="B186" s="32"/>
    </row>
    <row r="187" spans="1:2" x14ac:dyDescent="0.2">
      <c r="A187" s="32"/>
      <c r="B187" s="32"/>
    </row>
    <row r="188" spans="1:2" x14ac:dyDescent="0.2">
      <c r="A188" s="32"/>
      <c r="B188" s="32"/>
    </row>
    <row r="189" spans="1:2" x14ac:dyDescent="0.2">
      <c r="A189" s="32"/>
      <c r="B189" s="32"/>
    </row>
    <row r="190" spans="1:2" x14ac:dyDescent="0.2">
      <c r="A190" s="32"/>
      <c r="B190" s="32"/>
    </row>
    <row r="191" spans="1:2" x14ac:dyDescent="0.2">
      <c r="A191" s="32"/>
      <c r="B191" s="32"/>
    </row>
  </sheetData>
  <mergeCells count="1">
    <mergeCell ref="B47:L47"/>
  </mergeCells>
  <phoneticPr fontId="3" type="noConversion"/>
  <printOptions horizontalCentered="1"/>
  <pageMargins left="0.7" right="0.7" top="0.75" bottom="0.75" header="0.3" footer="0.3"/>
  <pageSetup scale="69" orientation="landscape" r:id="rId1"/>
  <headerFooter alignWithMargins="0">
    <oddHeader>&amp;R2018 Low Income Filing
Advice 2018-xx
Page &amp;P of &amp;N</oddHeader>
    <oddFooter>&amp;L&amp;F
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B1" sqref="B1:I43"/>
    </sheetView>
  </sheetViews>
  <sheetFormatPr defaultColWidth="8.85546875" defaultRowHeight="12.75" x14ac:dyDescent="0.2"/>
  <cols>
    <col min="1" max="1" width="7.140625" style="6" customWidth="1"/>
    <col min="2" max="2" width="75.85546875" style="6" bestFit="1" customWidth="1"/>
    <col min="3" max="3" width="3.85546875" style="6" bestFit="1" customWidth="1"/>
    <col min="4" max="5" width="9.28515625" style="6" bestFit="1" customWidth="1"/>
    <col min="6" max="6" width="17.5703125" style="6" bestFit="1" customWidth="1"/>
    <col min="7" max="7" width="16.42578125" style="6" bestFit="1" customWidth="1"/>
    <col min="8" max="8" width="19.28515625" style="6" bestFit="1" customWidth="1"/>
    <col min="9" max="9" width="8.28515625" style="6" bestFit="1" customWidth="1"/>
    <col min="10" max="16384" width="8.85546875" style="6"/>
  </cols>
  <sheetData>
    <row r="1" spans="1:9" ht="18" x14ac:dyDescent="0.25">
      <c r="A1" s="165" t="s">
        <v>2</v>
      </c>
      <c r="B1" s="166"/>
      <c r="C1" s="166"/>
      <c r="D1" s="166"/>
      <c r="E1" s="166"/>
      <c r="F1" s="166"/>
      <c r="G1" s="166"/>
      <c r="H1" s="166"/>
      <c r="I1" s="166"/>
    </row>
    <row r="2" spans="1:9" ht="18" x14ac:dyDescent="0.25">
      <c r="A2" s="165" t="s">
        <v>3</v>
      </c>
      <c r="B2" s="166"/>
      <c r="C2" s="166"/>
      <c r="D2" s="166"/>
      <c r="E2" s="166"/>
      <c r="F2" s="166"/>
      <c r="G2" s="166"/>
      <c r="H2" s="166"/>
      <c r="I2" s="166"/>
    </row>
    <row r="3" spans="1:9" ht="18" x14ac:dyDescent="0.25">
      <c r="A3" s="165" t="s">
        <v>79</v>
      </c>
      <c r="B3" s="167"/>
      <c r="C3" s="167"/>
      <c r="D3" s="167"/>
      <c r="E3" s="167"/>
      <c r="F3" s="167"/>
      <c r="G3" s="167"/>
      <c r="H3" s="167"/>
      <c r="I3" s="167"/>
    </row>
    <row r="4" spans="1:9" ht="18" x14ac:dyDescent="0.25">
      <c r="A4" s="165" t="s">
        <v>351</v>
      </c>
      <c r="B4" s="167"/>
      <c r="C4" s="167"/>
      <c r="D4" s="167"/>
      <c r="E4" s="167"/>
      <c r="F4" s="167"/>
      <c r="G4" s="167"/>
      <c r="H4" s="167"/>
      <c r="I4" s="167"/>
    </row>
    <row r="5" spans="1:9" ht="18" x14ac:dyDescent="0.25">
      <c r="A5" s="332"/>
      <c r="B5" s="333"/>
      <c r="C5" s="169"/>
      <c r="D5" s="170"/>
      <c r="E5" s="171"/>
      <c r="F5" s="172"/>
      <c r="G5" s="168"/>
      <c r="H5" s="168"/>
      <c r="I5" s="168"/>
    </row>
    <row r="6" spans="1:9" ht="26.25" thickBot="1" x14ac:dyDescent="0.25">
      <c r="A6" s="173" t="s">
        <v>116</v>
      </c>
      <c r="B6" s="174"/>
      <c r="C6" s="175"/>
      <c r="D6" s="176" t="s">
        <v>117</v>
      </c>
      <c r="E6" s="177" t="s">
        <v>118</v>
      </c>
      <c r="F6" s="178" t="s">
        <v>4</v>
      </c>
      <c r="G6" s="178" t="s">
        <v>5</v>
      </c>
      <c r="H6" s="178" t="s">
        <v>6</v>
      </c>
      <c r="I6" s="179" t="s">
        <v>134</v>
      </c>
    </row>
    <row r="7" spans="1:9" x14ac:dyDescent="0.2">
      <c r="A7" s="180" t="s">
        <v>91</v>
      </c>
      <c r="B7" s="181" t="s">
        <v>92</v>
      </c>
      <c r="C7" s="5" t="s">
        <v>119</v>
      </c>
      <c r="D7" s="5" t="s">
        <v>93</v>
      </c>
      <c r="E7" s="182" t="s">
        <v>120</v>
      </c>
      <c r="F7" s="183" t="s">
        <v>94</v>
      </c>
      <c r="G7" s="183" t="s">
        <v>121</v>
      </c>
      <c r="H7" s="183" t="s">
        <v>122</v>
      </c>
      <c r="I7" s="183" t="s">
        <v>123</v>
      </c>
    </row>
    <row r="8" spans="1:9" x14ac:dyDescent="0.2">
      <c r="A8" s="180"/>
      <c r="B8" s="181"/>
      <c r="C8" s="5"/>
      <c r="D8" s="5"/>
      <c r="E8" s="182"/>
      <c r="F8" s="184"/>
      <c r="G8" s="184"/>
      <c r="H8" s="184"/>
      <c r="I8" s="184"/>
    </row>
    <row r="9" spans="1:9" x14ac:dyDescent="0.2">
      <c r="A9" s="180">
        <v>1</v>
      </c>
      <c r="B9" s="185" t="s">
        <v>233</v>
      </c>
      <c r="C9" s="4"/>
      <c r="D9" s="189"/>
      <c r="E9" s="190"/>
      <c r="F9" s="186">
        <v>18811369.600611217</v>
      </c>
      <c r="G9" s="186">
        <v>4700619.9755832357</v>
      </c>
      <c r="H9" s="187">
        <v>23511989.576194454</v>
      </c>
      <c r="I9" s="191"/>
    </row>
    <row r="10" spans="1:9" x14ac:dyDescent="0.2">
      <c r="A10" s="180">
        <v>2</v>
      </c>
      <c r="B10" s="185"/>
      <c r="C10" s="4"/>
      <c r="D10" s="189"/>
      <c r="E10" s="190"/>
      <c r="F10" s="192"/>
      <c r="G10" s="192"/>
      <c r="H10" s="193"/>
      <c r="I10" s="191"/>
    </row>
    <row r="11" spans="1:9" x14ac:dyDescent="0.2">
      <c r="A11" s="180">
        <v>3</v>
      </c>
      <c r="B11" s="194" t="s">
        <v>352</v>
      </c>
      <c r="C11" s="4"/>
      <c r="D11" s="4"/>
      <c r="E11" s="195"/>
      <c r="F11" s="188">
        <v>-88155.791487060487</v>
      </c>
      <c r="G11" s="188">
        <v>-104425.91732279118</v>
      </c>
      <c r="H11" s="188">
        <v>-192581.70880985167</v>
      </c>
      <c r="I11" s="191"/>
    </row>
    <row r="12" spans="1:9" x14ac:dyDescent="0.2">
      <c r="A12" s="180">
        <v>4</v>
      </c>
      <c r="B12" s="196" t="s">
        <v>234</v>
      </c>
      <c r="C12" s="4"/>
      <c r="D12" s="334">
        <v>0.8</v>
      </c>
      <c r="E12" s="335">
        <v>0.2</v>
      </c>
      <c r="F12" s="198">
        <v>-849479.93599999999</v>
      </c>
      <c r="G12" s="198">
        <v>-212369.984</v>
      </c>
      <c r="H12" s="199">
        <v>-1061849.92</v>
      </c>
      <c r="I12" s="191"/>
    </row>
    <row r="13" spans="1:9" x14ac:dyDescent="0.2">
      <c r="A13" s="180">
        <v>5</v>
      </c>
      <c r="B13" s="4"/>
      <c r="C13" s="4"/>
      <c r="D13" s="4"/>
      <c r="E13" s="197"/>
      <c r="F13" s="200"/>
      <c r="G13" s="200"/>
      <c r="H13" s="200"/>
      <c r="I13" s="191"/>
    </row>
    <row r="14" spans="1:9" x14ac:dyDescent="0.2">
      <c r="A14" s="180">
        <v>6</v>
      </c>
      <c r="B14" s="194" t="s">
        <v>353</v>
      </c>
      <c r="C14" s="4"/>
      <c r="D14"/>
      <c r="E14"/>
      <c r="F14" s="201">
        <v>17873733.873124156</v>
      </c>
      <c r="G14" s="201">
        <v>4383824.0742604444</v>
      </c>
      <c r="H14" s="201">
        <v>22257557.947384603</v>
      </c>
      <c r="I14" s="191"/>
    </row>
    <row r="15" spans="1:9" x14ac:dyDescent="0.2">
      <c r="A15" s="180">
        <v>7</v>
      </c>
      <c r="B15" s="196"/>
      <c r="C15" s="4"/>
      <c r="D15" s="4"/>
      <c r="E15" s="197"/>
      <c r="F15" s="202"/>
      <c r="G15" s="202"/>
      <c r="H15" s="202"/>
      <c r="I15" s="191"/>
    </row>
    <row r="16" spans="1:9" ht="14.1" customHeight="1" x14ac:dyDescent="0.2">
      <c r="A16" s="180">
        <v>8</v>
      </c>
      <c r="B16" s="203" t="s">
        <v>80</v>
      </c>
      <c r="C16" s="4"/>
      <c r="D16" s="4"/>
      <c r="E16" s="197"/>
      <c r="F16" s="202"/>
      <c r="G16" s="202"/>
      <c r="H16" s="202"/>
      <c r="I16" s="191"/>
    </row>
    <row r="17" spans="1:9" ht="14.1" customHeight="1" x14ac:dyDescent="0.2">
      <c r="A17" s="180">
        <v>9</v>
      </c>
      <c r="B17" s="196" t="s">
        <v>354</v>
      </c>
      <c r="C17" s="4"/>
      <c r="D17" s="4"/>
      <c r="E17" s="197"/>
      <c r="F17" s="204">
        <v>7.1570000000000002E-3</v>
      </c>
      <c r="G17" s="204">
        <v>5.1399999999999996E-3</v>
      </c>
      <c r="H17" s="202"/>
      <c r="I17" s="197"/>
    </row>
    <row r="18" spans="1:9" ht="14.1" customHeight="1" x14ac:dyDescent="0.2">
      <c r="A18" s="180">
        <v>10</v>
      </c>
      <c r="B18" s="196" t="s">
        <v>81</v>
      </c>
      <c r="C18" s="4"/>
      <c r="D18" s="4"/>
      <c r="E18" s="197"/>
      <c r="F18" s="204">
        <v>2E-3</v>
      </c>
      <c r="G18" s="204">
        <v>2E-3</v>
      </c>
      <c r="H18" s="202"/>
      <c r="I18" s="197"/>
    </row>
    <row r="19" spans="1:9" ht="14.1" customHeight="1" x14ac:dyDescent="0.2">
      <c r="A19" s="180">
        <v>11</v>
      </c>
      <c r="B19" s="196" t="s">
        <v>88</v>
      </c>
      <c r="C19" s="4"/>
      <c r="D19" s="4"/>
      <c r="E19" s="197"/>
      <c r="F19" s="204">
        <v>3.8456999999999998E-2</v>
      </c>
      <c r="G19" s="204">
        <v>3.8322000000000002E-2</v>
      </c>
      <c r="H19" s="202"/>
      <c r="I19" s="197"/>
    </row>
    <row r="20" spans="1:9" ht="14.1" customHeight="1" x14ac:dyDescent="0.2">
      <c r="A20" s="180">
        <v>12</v>
      </c>
      <c r="B20" s="196"/>
      <c r="C20" s="4"/>
      <c r="D20" s="4"/>
      <c r="E20" s="197"/>
      <c r="F20" s="205"/>
      <c r="G20" s="205"/>
      <c r="H20" s="202"/>
      <c r="I20" s="197"/>
    </row>
    <row r="21" spans="1:9" ht="14.1" customHeight="1" x14ac:dyDescent="0.2">
      <c r="A21" s="180">
        <v>13</v>
      </c>
      <c r="B21" s="194" t="s">
        <v>355</v>
      </c>
      <c r="C21" s="4"/>
      <c r="D21" s="4"/>
      <c r="E21" s="197"/>
      <c r="F21" s="206">
        <v>0.95238599999999995</v>
      </c>
      <c r="G21" s="206">
        <v>0.954538</v>
      </c>
      <c r="H21" s="207"/>
      <c r="I21" s="197"/>
    </row>
    <row r="22" spans="1:9" ht="14.1" customHeight="1" x14ac:dyDescent="0.2">
      <c r="A22" s="180">
        <v>14</v>
      </c>
      <c r="B22" s="196"/>
      <c r="C22" s="4"/>
      <c r="D22" s="4"/>
      <c r="E22" s="197"/>
      <c r="F22" s="202"/>
      <c r="G22" s="202"/>
      <c r="H22" s="202"/>
      <c r="I22" s="197"/>
    </row>
    <row r="23" spans="1:9" ht="14.1" customHeight="1" x14ac:dyDescent="0.2">
      <c r="A23" s="180">
        <v>15</v>
      </c>
      <c r="B23" s="194" t="s">
        <v>356</v>
      </c>
      <c r="C23" s="4"/>
      <c r="D23" s="4"/>
      <c r="E23" s="197"/>
      <c r="F23" s="201">
        <v>18767321.099978536</v>
      </c>
      <c r="G23" s="201">
        <v>4592613.4677304039</v>
      </c>
      <c r="H23" s="201">
        <v>23359934.567708939</v>
      </c>
      <c r="I23" s="197"/>
    </row>
    <row r="24" spans="1:9" ht="14.1" customHeight="1" x14ac:dyDescent="0.2">
      <c r="A24" s="180">
        <v>16</v>
      </c>
      <c r="B24" s="196"/>
      <c r="C24" s="4"/>
      <c r="D24" s="4"/>
      <c r="E24" s="197"/>
      <c r="F24" s="208"/>
      <c r="G24" s="208"/>
      <c r="H24" s="208"/>
      <c r="I24" s="197"/>
    </row>
    <row r="25" spans="1:9" ht="14.1" customHeight="1" x14ac:dyDescent="0.2">
      <c r="A25" s="180">
        <v>17</v>
      </c>
      <c r="B25" s="194" t="s">
        <v>357</v>
      </c>
      <c r="C25" s="4"/>
      <c r="D25" s="4"/>
      <c r="E25" s="4"/>
      <c r="F25" s="209">
        <v>18301795.75009327</v>
      </c>
      <c r="G25" s="209">
        <v>5355222.9592054822</v>
      </c>
      <c r="H25" s="210">
        <v>23657018.709298752</v>
      </c>
      <c r="I25" s="197"/>
    </row>
    <row r="26" spans="1:9" ht="14.1" customHeight="1" x14ac:dyDescent="0.2">
      <c r="A26" s="180">
        <v>18</v>
      </c>
      <c r="B26" s="136"/>
      <c r="C26" s="211"/>
      <c r="D26" s="211"/>
      <c r="E26" s="211"/>
      <c r="F26" s="212"/>
      <c r="G26" s="212"/>
      <c r="H26" s="212"/>
      <c r="I26" s="197"/>
    </row>
    <row r="27" spans="1:9" ht="14.1" customHeight="1" thickBot="1" x14ac:dyDescent="0.25">
      <c r="A27" s="213">
        <v>19</v>
      </c>
      <c r="B27" s="336" t="s">
        <v>358</v>
      </c>
      <c r="C27" s="214"/>
      <c r="D27" s="214"/>
      <c r="E27" s="215"/>
      <c r="F27" s="216">
        <v>465525.34988526627</v>
      </c>
      <c r="G27" s="216">
        <v>-762609.49147507828</v>
      </c>
      <c r="H27" s="216">
        <v>-297084.14158981293</v>
      </c>
      <c r="I27" s="217"/>
    </row>
    <row r="28" spans="1:9" ht="13.5" thickTop="1" x14ac:dyDescent="0.2">
      <c r="A28" s="5"/>
      <c r="B28" s="5"/>
      <c r="C28" s="4"/>
      <c r="D28" s="4"/>
      <c r="E28" s="4"/>
      <c r="F28" s="4"/>
      <c r="G28" s="4"/>
      <c r="H28" s="4"/>
    </row>
    <row r="31" spans="1:9" x14ac:dyDescent="0.2">
      <c r="F31" s="113"/>
      <c r="G31" s="113"/>
    </row>
    <row r="32" spans="1:9" x14ac:dyDescent="0.2">
      <c r="F32" s="113"/>
      <c r="G32" s="113"/>
    </row>
  </sheetData>
  <printOptions horizontalCentered="1"/>
  <pageMargins left="0.7" right="0.7" top="0.75" bottom="0.75" header="0.3" footer="0.3"/>
  <pageSetup scale="78" orientation="landscape" r:id="rId1"/>
  <headerFooter alignWithMargins="0">
    <oddHeader>&amp;R2018 Low Income Filing
Advice 2018-xx
Page &amp;P of &amp;N</oddHeader>
    <oddFooter>&amp;L&amp;F
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zoomScale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17" sqref="H17"/>
    </sheetView>
  </sheetViews>
  <sheetFormatPr defaultColWidth="9.140625" defaultRowHeight="12.75" x14ac:dyDescent="0.2"/>
  <cols>
    <col min="1" max="1" width="6.28515625" style="4" customWidth="1"/>
    <col min="2" max="2" width="31.85546875" style="4" customWidth="1"/>
    <col min="3" max="3" width="11.7109375" style="5" bestFit="1" customWidth="1"/>
    <col min="4" max="4" width="16.7109375" style="34" bestFit="1" customWidth="1"/>
    <col min="5" max="5" width="16.140625" style="34" bestFit="1" customWidth="1"/>
    <col min="6" max="6" width="12.85546875" style="4" bestFit="1" customWidth="1"/>
    <col min="7" max="7" width="16.42578125" style="34" bestFit="1" customWidth="1"/>
    <col min="8" max="8" width="14.42578125" style="4" bestFit="1" customWidth="1"/>
    <col min="9" max="9" width="12.85546875" style="4" bestFit="1" customWidth="1"/>
    <col min="10" max="10" width="9.140625" style="4"/>
    <col min="11" max="11" width="16.140625" style="4" bestFit="1" customWidth="1"/>
    <col min="12" max="12" width="13.28515625" style="4" bestFit="1" customWidth="1"/>
    <col min="13" max="13" width="15" style="4" bestFit="1" customWidth="1"/>
    <col min="14" max="16384" width="9.140625" style="4"/>
  </cols>
  <sheetData>
    <row r="1" spans="1:9" x14ac:dyDescent="0.2">
      <c r="A1" s="37" t="str">
        <f>+'2018 Proposed Impacts'!A1</f>
        <v>2018 Low Income Customer Charge</v>
      </c>
      <c r="B1" s="38"/>
      <c r="C1" s="38"/>
      <c r="D1" s="39"/>
      <c r="E1" s="39"/>
      <c r="F1" s="38"/>
      <c r="G1" s="39"/>
      <c r="H1" s="38"/>
      <c r="I1" s="40"/>
    </row>
    <row r="2" spans="1:9" x14ac:dyDescent="0.2">
      <c r="A2" s="41" t="str">
        <f>+'2018 Proposed Impacts'!A2</f>
        <v>Settlement Methodology</v>
      </c>
      <c r="B2" s="1"/>
      <c r="C2" s="1"/>
      <c r="D2" s="42"/>
      <c r="E2" s="42"/>
      <c r="F2" s="1"/>
      <c r="G2" s="42"/>
      <c r="H2" s="1"/>
      <c r="I2" s="43"/>
    </row>
    <row r="3" spans="1:9" x14ac:dyDescent="0.2">
      <c r="A3" s="44"/>
      <c r="I3" s="45"/>
    </row>
    <row r="4" spans="1:9" s="8" customFormat="1" ht="77.25" thickBot="1" x14ac:dyDescent="0.25">
      <c r="A4" s="46" t="s">
        <v>9</v>
      </c>
      <c r="B4" s="47" t="s">
        <v>69</v>
      </c>
      <c r="C4" s="47" t="s">
        <v>0</v>
      </c>
      <c r="D4" s="48" t="str">
        <f>+'2018 Proposed Impacts'!D6</f>
        <v>Forecast Delivered kWh
Oct 2018 Through
Sept 2019</v>
      </c>
      <c r="E4" s="71" t="s">
        <v>347</v>
      </c>
      <c r="F4" s="49" t="s">
        <v>244</v>
      </c>
      <c r="G4" s="71" t="s">
        <v>243</v>
      </c>
      <c r="H4" s="49" t="s">
        <v>245</v>
      </c>
      <c r="I4" s="100" t="s">
        <v>115</v>
      </c>
    </row>
    <row r="5" spans="1:9" s="8" customFormat="1" ht="26.25" thickBot="1" x14ac:dyDescent="0.25">
      <c r="A5" s="46"/>
      <c r="B5" s="47"/>
      <c r="C5" s="47"/>
      <c r="D5" s="48" t="s">
        <v>14</v>
      </c>
      <c r="E5" s="48" t="s">
        <v>15</v>
      </c>
      <c r="F5" s="49" t="s">
        <v>173</v>
      </c>
      <c r="G5" s="47" t="s">
        <v>72</v>
      </c>
      <c r="H5" s="48" t="s">
        <v>73</v>
      </c>
      <c r="I5" s="100" t="s">
        <v>74</v>
      </c>
    </row>
    <row r="6" spans="1:9" x14ac:dyDescent="0.2">
      <c r="A6" s="44"/>
      <c r="I6" s="45"/>
    </row>
    <row r="7" spans="1:9" x14ac:dyDescent="0.2">
      <c r="A7" s="134">
        <v>1</v>
      </c>
      <c r="B7" s="97" t="s">
        <v>1</v>
      </c>
      <c r="C7" s="23">
        <v>7</v>
      </c>
      <c r="D7" s="67">
        <f>+'Estimated Proforma Base Revenue'!D10</f>
        <v>10809562000</v>
      </c>
      <c r="E7" s="68">
        <f>+'Estimated Proforma Base Revenue'!E10</f>
        <v>1112711000</v>
      </c>
      <c r="F7" s="112">
        <f>(IF(D7&gt;0,E7*$E$46/D7,0))</f>
        <v>8.9541873144173675E-4</v>
      </c>
      <c r="G7" s="35">
        <f>+H7+E7</f>
        <v>1122390084.2934809</v>
      </c>
      <c r="H7" s="35">
        <f>+F7*D7</f>
        <v>9679084.2934808023</v>
      </c>
      <c r="I7" s="59">
        <f>IF(E7&gt;0,+H7/E7,0)</f>
        <v>8.6986506770228775E-3</v>
      </c>
    </row>
    <row r="8" spans="1:9" x14ac:dyDescent="0.2">
      <c r="A8" s="134">
        <f>+A7+1</f>
        <v>2</v>
      </c>
      <c r="B8" s="97"/>
      <c r="C8" s="23"/>
      <c r="D8" s="67"/>
      <c r="E8" s="68"/>
      <c r="F8" s="58"/>
      <c r="G8" s="35"/>
      <c r="H8" s="35"/>
      <c r="I8" s="59"/>
    </row>
    <row r="9" spans="1:9" x14ac:dyDescent="0.2">
      <c r="A9" s="134">
        <f t="shared" ref="A9:A46" si="0">+A8+1</f>
        <v>3</v>
      </c>
      <c r="B9" s="132" t="s">
        <v>49</v>
      </c>
      <c r="C9" s="106" t="s">
        <v>135</v>
      </c>
      <c r="D9" s="67">
        <f>+'Estimated Proforma Base Revenue'!D14</f>
        <v>3049254000</v>
      </c>
      <c r="E9" s="68">
        <f>+'Estimated Proforma Base Revenue'!E14</f>
        <v>300311000</v>
      </c>
      <c r="F9" s="112">
        <f t="shared" ref="F9:F12" si="1">(IF(D9&gt;0,E9*$E$46/D9,0))</f>
        <v>8.5670150255354833E-4</v>
      </c>
      <c r="G9" s="35">
        <f>+F9*$D9/100+$E9</f>
        <v>300337123.00483465</v>
      </c>
      <c r="H9" s="35">
        <f t="shared" ref="H9:H12" si="2">+F9*D9</f>
        <v>2612300.4834674173</v>
      </c>
      <c r="I9" s="59">
        <f>IF(E9&gt;0,+H9/E9,0)</f>
        <v>8.6986506770228775E-3</v>
      </c>
    </row>
    <row r="10" spans="1:9" x14ac:dyDescent="0.2">
      <c r="A10" s="134">
        <f t="shared" si="0"/>
        <v>4</v>
      </c>
      <c r="B10" s="132" t="s">
        <v>50</v>
      </c>
      <c r="C10" s="107" t="s">
        <v>136</v>
      </c>
      <c r="D10" s="67">
        <f>+'Estimated Proforma Base Revenue'!D15</f>
        <v>3208495000</v>
      </c>
      <c r="E10" s="68">
        <f>+'Estimated Proforma Base Revenue'!E15</f>
        <v>293729000</v>
      </c>
      <c r="F10" s="112">
        <f t="shared" si="1"/>
        <v>7.9633783587359575E-4</v>
      </c>
      <c r="G10" s="35">
        <f>+F10*$D10/100+$E10</f>
        <v>293754550.45964712</v>
      </c>
      <c r="H10" s="35">
        <f t="shared" si="2"/>
        <v>2555045.9647112526</v>
      </c>
      <c r="I10" s="59">
        <f>IF(E10&gt;0,+H10/E10,0)</f>
        <v>8.6986506770228775E-3</v>
      </c>
    </row>
    <row r="11" spans="1:9" x14ac:dyDescent="0.2">
      <c r="A11" s="134">
        <f t="shared" si="0"/>
        <v>5</v>
      </c>
      <c r="B11" s="132" t="s">
        <v>51</v>
      </c>
      <c r="C11" s="107" t="s">
        <v>137</v>
      </c>
      <c r="D11" s="67">
        <f>+'Estimated Proforma Base Revenue'!D16</f>
        <v>1921550000</v>
      </c>
      <c r="E11" s="68">
        <f>+'Estimated Proforma Base Revenue'!E16</f>
        <v>158357000</v>
      </c>
      <c r="F11" s="112">
        <f t="shared" si="1"/>
        <v>7.1686514806344444E-4</v>
      </c>
      <c r="G11" s="35">
        <f>+F11*$D11/100+$E11</f>
        <v>158370774.92225263</v>
      </c>
      <c r="H11" s="35">
        <f t="shared" si="2"/>
        <v>1377492.2252613117</v>
      </c>
      <c r="I11" s="59">
        <f>IF(E11&gt;0,+H11/E11,0)</f>
        <v>8.6986506770228775E-3</v>
      </c>
    </row>
    <row r="12" spans="1:9" x14ac:dyDescent="0.2">
      <c r="A12" s="134">
        <f t="shared" si="0"/>
        <v>6</v>
      </c>
      <c r="B12" s="133" t="s">
        <v>52</v>
      </c>
      <c r="C12" s="23">
        <v>29</v>
      </c>
      <c r="D12" s="67">
        <f>+'Estimated Proforma Base Revenue'!D17</f>
        <v>16140000</v>
      </c>
      <c r="E12" s="68">
        <f>+'Estimated Proforma Base Revenue'!E17</f>
        <v>1322000</v>
      </c>
      <c r="F12" s="112">
        <f t="shared" si="1"/>
        <v>7.1249170972888752E-4</v>
      </c>
      <c r="G12" s="35">
        <f>+F12*$D12/100+$E12</f>
        <v>1322114.9961619503</v>
      </c>
      <c r="H12" s="35">
        <f t="shared" si="2"/>
        <v>11499.616195024244</v>
      </c>
      <c r="I12" s="59">
        <f>IF(E12&gt;0,+H12/E12,0)</f>
        <v>8.6986506770228775E-3</v>
      </c>
    </row>
    <row r="13" spans="1:9" x14ac:dyDescent="0.2">
      <c r="A13" s="134">
        <f t="shared" si="0"/>
        <v>7</v>
      </c>
      <c r="B13" s="97"/>
      <c r="C13" s="23"/>
      <c r="D13" s="67"/>
      <c r="E13" s="68"/>
      <c r="F13" s="58"/>
      <c r="G13" s="35"/>
      <c r="H13" s="35"/>
      <c r="I13" s="59"/>
    </row>
    <row r="14" spans="1:9" x14ac:dyDescent="0.2">
      <c r="A14" s="134">
        <f t="shared" si="0"/>
        <v>8</v>
      </c>
      <c r="B14" s="97" t="s">
        <v>53</v>
      </c>
      <c r="C14" s="23"/>
      <c r="D14" s="67">
        <f>SUM(D9:D13)</f>
        <v>8195439000</v>
      </c>
      <c r="E14" s="68">
        <f>SUM(E9:E13)</f>
        <v>753719000</v>
      </c>
      <c r="F14" s="112">
        <f>+H14/D14</f>
        <v>7.9999842468902582E-4</v>
      </c>
      <c r="G14" s="35">
        <f>SUM(G9:G13)</f>
        <v>753784563.38289642</v>
      </c>
      <c r="H14" s="35">
        <f>SUM(H9:H12)</f>
        <v>6556338.2896350054</v>
      </c>
      <c r="I14" s="59">
        <f>IF(E14&gt;0,+H14/E14,0)</f>
        <v>8.6986506770228757E-3</v>
      </c>
    </row>
    <row r="15" spans="1:9" x14ac:dyDescent="0.2">
      <c r="A15" s="134">
        <f t="shared" si="0"/>
        <v>9</v>
      </c>
      <c r="B15" s="97"/>
      <c r="C15" s="23"/>
      <c r="D15" s="67"/>
      <c r="E15" s="68"/>
      <c r="F15" s="58"/>
      <c r="G15" s="35"/>
      <c r="H15" s="35"/>
      <c r="I15" s="59"/>
    </row>
    <row r="16" spans="1:9" x14ac:dyDescent="0.2">
      <c r="A16" s="134">
        <f t="shared" si="0"/>
        <v>10</v>
      </c>
      <c r="B16" s="132" t="s">
        <v>54</v>
      </c>
      <c r="C16" s="107" t="s">
        <v>139</v>
      </c>
      <c r="D16" s="67">
        <f>+'Estimated Proforma Base Revenue'!D21</f>
        <v>1409546000</v>
      </c>
      <c r="E16" s="68">
        <f>+'Estimated Proforma Base Revenue'!E21</f>
        <v>114140000</v>
      </c>
      <c r="F16" s="112">
        <f t="shared" ref="F16:F18" si="3">(IF(D16&gt;0,E16*$E$46/D16,0))</f>
        <v>7.0438565912385356E-4</v>
      </c>
      <c r="G16" s="35">
        <f>+F16*$D16/100+$E16</f>
        <v>114149928.63988276</v>
      </c>
      <c r="H16" s="35">
        <f t="shared" ref="H16:H18" si="4">+F16*D16</f>
        <v>992863.98827539128</v>
      </c>
      <c r="I16" s="59">
        <f>IF(E16&gt;0,+H16/E16,0)</f>
        <v>8.6986506770228775E-3</v>
      </c>
    </row>
    <row r="17" spans="1:12" x14ac:dyDescent="0.2">
      <c r="A17" s="134">
        <f t="shared" si="0"/>
        <v>11</v>
      </c>
      <c r="B17" s="133" t="s">
        <v>55</v>
      </c>
      <c r="C17" s="23">
        <v>35</v>
      </c>
      <c r="D17" s="67">
        <f>+'Estimated Proforma Base Revenue'!D22</f>
        <v>5150000</v>
      </c>
      <c r="E17" s="68">
        <f>+'Estimated Proforma Base Revenue'!E22</f>
        <v>303000</v>
      </c>
      <c r="F17" s="112">
        <f t="shared" si="3"/>
        <v>5.1178469031804496E-4</v>
      </c>
      <c r="G17" s="35">
        <f>+F17*$D17/100+$E17</f>
        <v>303026.35691155138</v>
      </c>
      <c r="H17" s="35">
        <f t="shared" si="4"/>
        <v>2635.6911551379317</v>
      </c>
      <c r="I17" s="59">
        <f>IF(E17&gt;0,+H17/E17,0)</f>
        <v>8.6986506770228775E-3</v>
      </c>
    </row>
    <row r="18" spans="1:12" x14ac:dyDescent="0.2">
      <c r="A18" s="134">
        <f t="shared" si="0"/>
        <v>12</v>
      </c>
      <c r="B18" s="133" t="s">
        <v>56</v>
      </c>
      <c r="C18" s="23">
        <v>43</v>
      </c>
      <c r="D18" s="67">
        <f>+'Estimated Proforma Base Revenue'!D23</f>
        <v>123766000</v>
      </c>
      <c r="E18" s="68">
        <f>+'Estimated Proforma Base Revenue'!E23</f>
        <v>11083000</v>
      </c>
      <c r="F18" s="112">
        <f t="shared" si="3"/>
        <v>7.7894692769778901E-4</v>
      </c>
      <c r="G18" s="35">
        <f>+F18*$D18/100+$E18</f>
        <v>11083964.071454534</v>
      </c>
      <c r="H18" s="35">
        <f t="shared" si="4"/>
        <v>96407.145453444551</v>
      </c>
      <c r="I18" s="59">
        <f>IF(E18&gt;0,+H18/E18,0)</f>
        <v>8.6986506770228775E-3</v>
      </c>
    </row>
    <row r="19" spans="1:12" x14ac:dyDescent="0.2">
      <c r="A19" s="134">
        <f t="shared" si="0"/>
        <v>13</v>
      </c>
      <c r="B19" s="73"/>
      <c r="C19" s="23"/>
      <c r="D19" s="67"/>
      <c r="E19" s="68"/>
      <c r="F19" s="58"/>
      <c r="G19" s="35"/>
      <c r="H19" s="35"/>
      <c r="I19" s="59"/>
    </row>
    <row r="20" spans="1:12" x14ac:dyDescent="0.2">
      <c r="A20" s="134">
        <f t="shared" si="0"/>
        <v>14</v>
      </c>
      <c r="B20" s="73" t="s">
        <v>57</v>
      </c>
      <c r="C20" s="23"/>
      <c r="D20" s="67">
        <f>SUM(D16:D19)</f>
        <v>1538462000</v>
      </c>
      <c r="E20" s="68">
        <f>SUM(E16:E19)</f>
        <v>125526000</v>
      </c>
      <c r="F20" s="112">
        <f>+H20/D20</f>
        <v>7.0973922325281589E-4</v>
      </c>
      <c r="G20" s="35">
        <f>SUM(G16:G19)</f>
        <v>125536919.06824885</v>
      </c>
      <c r="H20" s="35">
        <f>SUM(H16:H19)</f>
        <v>1091906.8248839737</v>
      </c>
      <c r="I20" s="59">
        <f>IF(E20&gt;0,+H20/E20,0)</f>
        <v>8.6986506770228775E-3</v>
      </c>
    </row>
    <row r="21" spans="1:12" x14ac:dyDescent="0.2">
      <c r="A21" s="134">
        <f t="shared" si="0"/>
        <v>15</v>
      </c>
      <c r="B21" s="73"/>
      <c r="C21" s="23"/>
      <c r="D21" s="67"/>
      <c r="E21" s="68"/>
      <c r="F21" s="58"/>
      <c r="G21" s="35"/>
      <c r="H21" s="35"/>
      <c r="I21" s="59"/>
    </row>
    <row r="22" spans="1:12" x14ac:dyDescent="0.2">
      <c r="A22" s="134">
        <f t="shared" si="0"/>
        <v>16</v>
      </c>
      <c r="B22" s="97" t="s">
        <v>77</v>
      </c>
      <c r="C22" s="23">
        <v>40</v>
      </c>
      <c r="D22" s="67">
        <f>+'Estimated Proforma Base Revenue'!D26</f>
        <v>586365000</v>
      </c>
      <c r="E22" s="68">
        <f>+'Estimated Proforma Base Revenue'!E26</f>
        <v>43672000</v>
      </c>
      <c r="F22" s="112">
        <f>(IF(D22&gt;0,E22*$E$46/D22,0))</f>
        <v>6.4786860124145041E-4</v>
      </c>
      <c r="G22" s="35">
        <f>+F22*$D22/100+$E22</f>
        <v>43675798.874723673</v>
      </c>
      <c r="H22" s="35">
        <f>+F22*D22</f>
        <v>379887.47236694308</v>
      </c>
      <c r="I22" s="59">
        <f>IF(E22&gt;0,+H22/E22,0)</f>
        <v>8.6986506770228775E-3</v>
      </c>
    </row>
    <row r="23" spans="1:12" x14ac:dyDescent="0.2">
      <c r="A23" s="134">
        <f t="shared" si="0"/>
        <v>17</v>
      </c>
      <c r="B23" s="73"/>
      <c r="C23" s="23"/>
      <c r="D23" s="67"/>
      <c r="E23" s="68"/>
      <c r="F23" s="58"/>
      <c r="G23" s="35"/>
      <c r="H23" s="35"/>
      <c r="I23" s="59"/>
    </row>
    <row r="24" spans="1:12" x14ac:dyDescent="0.2">
      <c r="A24" s="134">
        <f t="shared" si="0"/>
        <v>18</v>
      </c>
      <c r="B24" s="133" t="s">
        <v>59</v>
      </c>
      <c r="C24" s="23">
        <v>46</v>
      </c>
      <c r="D24" s="67">
        <f>+'Estimated Proforma Base Revenue'!D29</f>
        <v>79268000</v>
      </c>
      <c r="E24" s="68">
        <f>+'Estimated Proforma Base Revenue'!E29</f>
        <v>5361000</v>
      </c>
      <c r="F24" s="112">
        <f t="shared" ref="F24:F25" si="5">(IF(D24&gt;0,E24*$E$46/D24,0))</f>
        <v>5.8830128525407031E-4</v>
      </c>
      <c r="G24" s="35">
        <f>+F24*$D24/100+$E24</f>
        <v>5361466.3346627951</v>
      </c>
      <c r="H24" s="35">
        <f t="shared" ref="H24:H25" si="6">+F24*D24</f>
        <v>46633.466279519649</v>
      </c>
      <c r="I24" s="59">
        <f>IF(E24&gt;0,+H24/E24,0)</f>
        <v>8.6986506770228775E-3</v>
      </c>
    </row>
    <row r="25" spans="1:12" x14ac:dyDescent="0.2">
      <c r="A25" s="134">
        <f t="shared" si="0"/>
        <v>19</v>
      </c>
      <c r="B25" s="132" t="s">
        <v>60</v>
      </c>
      <c r="C25" s="23">
        <v>49</v>
      </c>
      <c r="D25" s="67">
        <f>+'Estimated Proforma Base Revenue'!D30</f>
        <v>597895000</v>
      </c>
      <c r="E25" s="68">
        <f>+'Estimated Proforma Base Revenue'!E30</f>
        <v>39373000</v>
      </c>
      <c r="F25" s="112">
        <f t="shared" si="5"/>
        <v>5.7282963247128971E-4</v>
      </c>
      <c r="G25" s="35">
        <f>+F25*$D25/100+$E25</f>
        <v>39376424.919731066</v>
      </c>
      <c r="H25" s="35">
        <f t="shared" si="6"/>
        <v>342491.97310642176</v>
      </c>
      <c r="I25" s="59">
        <f>IF(E25&gt;0,+H25/E25,0)</f>
        <v>8.6986506770228775E-3</v>
      </c>
    </row>
    <row r="26" spans="1:12" x14ac:dyDescent="0.2">
      <c r="A26" s="134">
        <f t="shared" si="0"/>
        <v>20</v>
      </c>
      <c r="B26" s="97"/>
      <c r="C26" s="23"/>
      <c r="D26" s="67"/>
      <c r="E26" s="68"/>
      <c r="F26" s="58"/>
      <c r="G26" s="35"/>
      <c r="H26" s="35"/>
      <c r="I26" s="59"/>
    </row>
    <row r="27" spans="1:12" x14ac:dyDescent="0.2">
      <c r="A27" s="134">
        <f t="shared" si="0"/>
        <v>21</v>
      </c>
      <c r="B27" s="97" t="s">
        <v>61</v>
      </c>
      <c r="C27" s="23"/>
      <c r="D27" s="67">
        <f>SUM(D24:D26)</f>
        <v>677163000</v>
      </c>
      <c r="E27" s="68">
        <f>SUM(E24:E26)</f>
        <v>44734000</v>
      </c>
      <c r="F27" s="112">
        <f>+H27/D27</f>
        <v>5.7464072813479385E-4</v>
      </c>
      <c r="G27" s="34">
        <f>SUM(G24:G26)</f>
        <v>44737891.254393861</v>
      </c>
      <c r="H27" s="35">
        <f>SUM(H24:H26)</f>
        <v>389125.43938594143</v>
      </c>
      <c r="I27" s="59">
        <f>IF(E27&gt;0,+H27/E27,0)</f>
        <v>8.6986506770228775E-3</v>
      </c>
    </row>
    <row r="28" spans="1:12" x14ac:dyDescent="0.2">
      <c r="A28" s="134">
        <f t="shared" si="0"/>
        <v>22</v>
      </c>
      <c r="B28" s="97"/>
      <c r="C28" s="23"/>
      <c r="D28" s="67"/>
      <c r="E28" s="68"/>
      <c r="F28" s="58"/>
      <c r="G28" s="35"/>
      <c r="H28" s="35"/>
      <c r="I28" s="59"/>
    </row>
    <row r="29" spans="1:12" x14ac:dyDescent="0.2">
      <c r="A29" s="134">
        <f t="shared" si="0"/>
        <v>23</v>
      </c>
      <c r="B29" s="97" t="s">
        <v>62</v>
      </c>
      <c r="C29" s="107" t="s">
        <v>341</v>
      </c>
      <c r="D29" s="67">
        <f>+'Estimated Proforma Base Revenue'!D33</f>
        <v>70960000</v>
      </c>
      <c r="E29" s="68">
        <f>+'Estimated Proforma Base Revenue'!E33</f>
        <v>15916000</v>
      </c>
      <c r="F29" s="112">
        <f>(IF(D29&gt;0,E29*$E$46/D29,0))</f>
        <v>1.9510671388880511E-3</v>
      </c>
      <c r="G29" s="35">
        <f>+F29*$D29/100+$E29</f>
        <v>15917384.477241755</v>
      </c>
      <c r="H29" s="35">
        <f>+F29*D29</f>
        <v>138447.72417549611</v>
      </c>
      <c r="I29" s="59">
        <f>IF(E29&gt;0,+H29/E29,0)</f>
        <v>8.6986506770228775E-3</v>
      </c>
      <c r="K29" s="98"/>
      <c r="L29" s="99"/>
    </row>
    <row r="30" spans="1:12" x14ac:dyDescent="0.2">
      <c r="A30" s="134">
        <f t="shared" si="0"/>
        <v>24</v>
      </c>
      <c r="B30" s="97"/>
      <c r="C30" s="107"/>
      <c r="D30" s="67"/>
      <c r="E30" s="68"/>
      <c r="F30" s="58"/>
      <c r="G30" s="35"/>
      <c r="H30" s="35"/>
      <c r="I30" s="59"/>
      <c r="K30" s="98"/>
      <c r="L30" s="99"/>
    </row>
    <row r="31" spans="1:12" x14ac:dyDescent="0.2">
      <c r="A31" s="134">
        <f t="shared" si="0"/>
        <v>25</v>
      </c>
      <c r="B31" s="97" t="s">
        <v>110</v>
      </c>
      <c r="C31" s="107" t="s">
        <v>140</v>
      </c>
      <c r="D31" s="67">
        <f>+'Estimated Proforma Base Revenue'!D35</f>
        <v>2030932000</v>
      </c>
      <c r="E31" s="68">
        <f>+'Estimated Proforma Base Revenue'!E35</f>
        <v>7703000</v>
      </c>
      <c r="F31" s="112">
        <f>(IF(D31&gt;0,E31*$E$46/D31,0))</f>
        <v>3.2992589690401861E-5</v>
      </c>
      <c r="G31" s="35">
        <f>+F31*$D31/100+$E31</f>
        <v>7703670.0570616508</v>
      </c>
      <c r="H31" s="35">
        <f>+F31*D31</f>
        <v>67005.706165107229</v>
      </c>
      <c r="I31" s="59">
        <f>IF(E31&gt;0,+H31/E31,0)</f>
        <v>8.6986506770228775E-3</v>
      </c>
    </row>
    <row r="32" spans="1:12" x14ac:dyDescent="0.2">
      <c r="A32" s="134">
        <f t="shared" si="0"/>
        <v>26</v>
      </c>
      <c r="B32" s="97"/>
      <c r="D32" s="67"/>
      <c r="E32" s="68"/>
      <c r="G32" s="35"/>
      <c r="H32" s="35"/>
      <c r="I32" s="45"/>
    </row>
    <row r="33" spans="1:11" x14ac:dyDescent="0.2">
      <c r="A33" s="134">
        <f t="shared" si="0"/>
        <v>27</v>
      </c>
      <c r="B33" s="73" t="s">
        <v>63</v>
      </c>
      <c r="D33" s="67">
        <f>SUM(D7,D14,D20,D22,D27,D29,D31)</f>
        <v>23908883000</v>
      </c>
      <c r="E33" s="68">
        <f>SUM(E7,E14,E20,E22,E27,E29,E31)</f>
        <v>2103981000</v>
      </c>
      <c r="F33" s="112">
        <f>+H33/D33</f>
        <v>7.6548100344517463E-4</v>
      </c>
      <c r="G33" s="68">
        <f t="shared" ref="G33:H33" si="7">SUM(G7,G14,G20,G22,G27,G29,G31)</f>
        <v>2113746311.408047</v>
      </c>
      <c r="H33" s="68">
        <f t="shared" si="7"/>
        <v>18301795.750093278</v>
      </c>
      <c r="I33" s="59">
        <f>IF(E33&gt;0,+H33/E33,0)</f>
        <v>8.6986506770228809E-3</v>
      </c>
    </row>
    <row r="34" spans="1:11" ht="13.5" thickBot="1" x14ac:dyDescent="0.25">
      <c r="A34" s="135">
        <f t="shared" si="0"/>
        <v>28</v>
      </c>
      <c r="B34" s="3"/>
      <c r="C34" s="60"/>
      <c r="D34" s="69"/>
      <c r="E34" s="69"/>
      <c r="F34" s="3"/>
      <c r="G34" s="61"/>
      <c r="H34" s="62"/>
      <c r="I34" s="63"/>
    </row>
    <row r="35" spans="1:11" x14ac:dyDescent="0.2">
      <c r="A35" s="5">
        <f t="shared" si="0"/>
        <v>29</v>
      </c>
      <c r="D35" s="67"/>
      <c r="E35" s="67"/>
    </row>
    <row r="36" spans="1:11" x14ac:dyDescent="0.2">
      <c r="A36" s="5">
        <f t="shared" si="0"/>
        <v>30</v>
      </c>
      <c r="B36" s="4" t="s">
        <v>64</v>
      </c>
      <c r="D36" s="67">
        <f>+'Estimated Proforma Base Revenue'!D39</f>
        <v>7036000</v>
      </c>
      <c r="E36" s="68">
        <f>+'Estimated Proforma Base Revenue'!E39</f>
        <v>616000</v>
      </c>
      <c r="K36" s="98"/>
    </row>
    <row r="37" spans="1:11" x14ac:dyDescent="0.2">
      <c r="A37" s="5">
        <f t="shared" si="0"/>
        <v>31</v>
      </c>
      <c r="D37" s="67"/>
      <c r="E37" s="68"/>
      <c r="H37" s="72"/>
      <c r="K37" s="98"/>
    </row>
    <row r="38" spans="1:11" x14ac:dyDescent="0.2">
      <c r="A38" s="5">
        <f t="shared" si="0"/>
        <v>32</v>
      </c>
      <c r="B38" s="4" t="s">
        <v>65</v>
      </c>
      <c r="D38" s="67">
        <f>+D36+D33</f>
        <v>23915919000</v>
      </c>
      <c r="E38" s="68">
        <f>+E36+E33</f>
        <v>2104597000</v>
      </c>
      <c r="K38" s="98"/>
    </row>
    <row r="39" spans="1:11" x14ac:dyDescent="0.2">
      <c r="A39" s="5">
        <f t="shared" si="0"/>
        <v>33</v>
      </c>
      <c r="D39" s="67"/>
      <c r="E39" s="68"/>
      <c r="K39" s="98"/>
    </row>
    <row r="40" spans="1:11" x14ac:dyDescent="0.2">
      <c r="A40" s="5">
        <f t="shared" si="0"/>
        <v>34</v>
      </c>
      <c r="B40" s="4" t="s">
        <v>66</v>
      </c>
      <c r="D40" s="67">
        <f>+'Estimated Proforma Base Revenue'!D41</f>
        <v>23915919000</v>
      </c>
      <c r="E40" s="68">
        <f>+'Estimated Proforma Base Revenue'!E41</f>
        <v>2104597000</v>
      </c>
      <c r="K40" s="98"/>
    </row>
    <row r="41" spans="1:11" x14ac:dyDescent="0.2">
      <c r="A41" s="5">
        <f t="shared" si="0"/>
        <v>35</v>
      </c>
      <c r="D41" s="67"/>
      <c r="E41" s="68"/>
      <c r="K41" s="98"/>
    </row>
    <row r="42" spans="1:11" x14ac:dyDescent="0.2">
      <c r="A42" s="5">
        <f t="shared" si="0"/>
        <v>36</v>
      </c>
      <c r="B42" s="4" t="s">
        <v>67</v>
      </c>
      <c r="D42" s="67">
        <f>+D40-D38</f>
        <v>0</v>
      </c>
      <c r="E42" s="68">
        <f>+E40-E38</f>
        <v>0</v>
      </c>
      <c r="K42" s="98"/>
    </row>
    <row r="43" spans="1:11" x14ac:dyDescent="0.2">
      <c r="A43" s="5">
        <f t="shared" si="0"/>
        <v>37</v>
      </c>
      <c r="D43" s="67"/>
      <c r="E43" s="67"/>
      <c r="K43" s="98"/>
    </row>
    <row r="44" spans="1:11" x14ac:dyDescent="0.2">
      <c r="A44" s="5">
        <f t="shared" si="0"/>
        <v>38</v>
      </c>
      <c r="B44" s="4" t="s">
        <v>75</v>
      </c>
      <c r="D44" s="67"/>
      <c r="E44" s="68">
        <f>+'Revenue Requirements 2017-2018'!F25</f>
        <v>18301795.75009327</v>
      </c>
      <c r="F44" s="64"/>
      <c r="K44" s="98"/>
    </row>
    <row r="45" spans="1:11" ht="13.5" thickBot="1" x14ac:dyDescent="0.25">
      <c r="A45" s="5">
        <f t="shared" si="0"/>
        <v>39</v>
      </c>
      <c r="D45" s="67"/>
      <c r="E45" s="67"/>
      <c r="K45" s="98"/>
    </row>
    <row r="46" spans="1:11" ht="13.5" thickBot="1" x14ac:dyDescent="0.25">
      <c r="A46" s="257">
        <f t="shared" si="0"/>
        <v>40</v>
      </c>
      <c r="B46" s="261" t="s">
        <v>87</v>
      </c>
      <c r="C46" s="259"/>
      <c r="D46" s="260"/>
      <c r="E46" s="262">
        <f>+E44/E33</f>
        <v>8.6986506770228775E-3</v>
      </c>
      <c r="F46" s="258" t="s">
        <v>76</v>
      </c>
      <c r="G46" s="263"/>
      <c r="H46" s="264"/>
      <c r="I46" s="265"/>
      <c r="K46" s="98"/>
    </row>
    <row r="47" spans="1:11" x14ac:dyDescent="0.2">
      <c r="D47" s="67"/>
      <c r="E47" s="67"/>
      <c r="K47" s="98"/>
    </row>
    <row r="48" spans="1:11" x14ac:dyDescent="0.2">
      <c r="D48" s="67"/>
      <c r="E48" s="67"/>
      <c r="K48" s="98"/>
    </row>
    <row r="49" spans="1:11" s="101" customFormat="1" ht="33" customHeight="1" x14ac:dyDescent="0.2">
      <c r="A49" s="342" t="s">
        <v>167</v>
      </c>
      <c r="B49" s="342"/>
      <c r="C49" s="342"/>
      <c r="D49" s="342"/>
      <c r="E49" s="342"/>
      <c r="F49" s="342"/>
      <c r="G49" s="342"/>
      <c r="H49" s="342"/>
      <c r="I49" s="342"/>
      <c r="K49" s="102"/>
    </row>
    <row r="50" spans="1:11" x14ac:dyDescent="0.2">
      <c r="D50" s="67"/>
      <c r="E50" s="67"/>
    </row>
  </sheetData>
  <mergeCells count="1">
    <mergeCell ref="A49:I49"/>
  </mergeCells>
  <phoneticPr fontId="3" type="noConversion"/>
  <printOptions horizontalCentered="1"/>
  <pageMargins left="0.7" right="0.7" top="0.75" bottom="0.75" header="0.3" footer="0.3"/>
  <pageSetup scale="71" orientation="landscape" r:id="rId1"/>
  <headerFooter alignWithMargins="0">
    <oddHeader>&amp;R2018 Low Income Filing
Advice 2018-xx
Page &amp;P of &amp;N</oddHeader>
    <oddFooter>&amp;L&amp;F
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8"/>
  <sheetViews>
    <sheetView workbookViewId="0">
      <pane xSplit="4" ySplit="7" topLeftCell="E86" activePane="bottomRight" state="frozen"/>
      <selection activeCell="E8" sqref="E8"/>
      <selection pane="topRight" activeCell="E8" sqref="E8"/>
      <selection pane="bottomLeft" activeCell="E8" sqref="E8"/>
      <selection pane="bottomRight" activeCell="F5" sqref="F5"/>
    </sheetView>
  </sheetViews>
  <sheetFormatPr defaultColWidth="8.85546875" defaultRowHeight="15" x14ac:dyDescent="0.25"/>
  <cols>
    <col min="1" max="1" width="4.42578125" style="218" bestFit="1" customWidth="1"/>
    <col min="2" max="2" width="44.28515625" style="218" bestFit="1" customWidth="1"/>
    <col min="3" max="3" width="18.7109375" style="218" bestFit="1" customWidth="1"/>
    <col min="4" max="4" width="12.28515625" style="218" bestFit="1" customWidth="1"/>
    <col min="5" max="5" width="11.85546875" style="218" bestFit="1" customWidth="1"/>
    <col min="6" max="7" width="11.28515625" style="218" bestFit="1" customWidth="1"/>
    <col min="8" max="8" width="12.7109375" style="218" bestFit="1" customWidth="1"/>
    <col min="9" max="9" width="12" style="218" bestFit="1" customWidth="1"/>
    <col min="10" max="10" width="13" style="218" customWidth="1"/>
    <col min="11" max="11" width="9.7109375" style="248" bestFit="1" customWidth="1"/>
    <col min="12" max="13" width="9.7109375" style="218" bestFit="1" customWidth="1"/>
    <col min="14" max="16384" width="8.85546875" style="218"/>
  </cols>
  <sheetData>
    <row r="1" spans="1:13" x14ac:dyDescent="0.25">
      <c r="A1" s="344" t="s">
        <v>7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3" x14ac:dyDescent="0.25">
      <c r="A2" s="344" t="s">
        <v>325</v>
      </c>
      <c r="B2" s="344"/>
      <c r="C2" s="344"/>
      <c r="D2" s="344"/>
      <c r="E2" s="344"/>
      <c r="F2" s="344"/>
      <c r="G2" s="344"/>
      <c r="H2" s="344"/>
      <c r="I2" s="344"/>
      <c r="J2" s="344"/>
    </row>
    <row r="3" spans="1:13" x14ac:dyDescent="0.25">
      <c r="A3" s="344" t="s">
        <v>326</v>
      </c>
      <c r="B3" s="344"/>
      <c r="C3" s="344"/>
      <c r="D3" s="344"/>
      <c r="E3" s="344"/>
      <c r="F3" s="344"/>
      <c r="G3" s="344"/>
      <c r="H3" s="344"/>
      <c r="I3" s="344"/>
      <c r="J3" s="344"/>
    </row>
    <row r="4" spans="1:13" x14ac:dyDescent="0.25">
      <c r="A4" s="222"/>
      <c r="B4" s="343"/>
      <c r="C4" s="343"/>
      <c r="D4" s="343"/>
      <c r="E4" s="343"/>
      <c r="F4" s="343"/>
      <c r="G4" s="220"/>
      <c r="H4" s="220"/>
      <c r="I4" s="220"/>
    </row>
    <row r="5" spans="1:13" ht="90" x14ac:dyDescent="0.25">
      <c r="A5" s="245" t="s">
        <v>9</v>
      </c>
      <c r="B5" s="245" t="s">
        <v>0</v>
      </c>
      <c r="C5" s="245" t="s">
        <v>10</v>
      </c>
      <c r="D5" s="245" t="s">
        <v>324</v>
      </c>
      <c r="E5" s="246" t="s">
        <v>359</v>
      </c>
      <c r="F5" s="246" t="s">
        <v>365</v>
      </c>
      <c r="G5" s="246" t="s">
        <v>344</v>
      </c>
      <c r="H5" s="246" t="s">
        <v>363</v>
      </c>
      <c r="I5" s="246" t="s">
        <v>364</v>
      </c>
      <c r="J5" s="246" t="s">
        <v>362</v>
      </c>
      <c r="L5" s="245" t="s">
        <v>360</v>
      </c>
      <c r="M5" s="245" t="s">
        <v>361</v>
      </c>
    </row>
    <row r="6" spans="1:13" x14ac:dyDescent="0.25">
      <c r="A6" s="222"/>
      <c r="B6" s="243"/>
      <c r="C6" s="243"/>
      <c r="D6" s="239"/>
      <c r="E6" s="243" t="s">
        <v>91</v>
      </c>
      <c r="F6" s="243" t="s">
        <v>92</v>
      </c>
      <c r="G6" s="244" t="s">
        <v>93</v>
      </c>
      <c r="H6" s="244" t="s">
        <v>120</v>
      </c>
      <c r="I6" s="244" t="s">
        <v>94</v>
      </c>
      <c r="J6" s="247"/>
    </row>
    <row r="7" spans="1:13" x14ac:dyDescent="0.25">
      <c r="A7" s="222"/>
      <c r="B7" s="243"/>
      <c r="C7" s="243"/>
      <c r="D7" s="239"/>
      <c r="E7" s="239"/>
      <c r="F7" s="242" t="s">
        <v>338</v>
      </c>
      <c r="G7" s="220"/>
      <c r="H7" s="242" t="s">
        <v>327</v>
      </c>
      <c r="I7" s="242" t="s">
        <v>328</v>
      </c>
    </row>
    <row r="8" spans="1:13" ht="15.75" thickBot="1" x14ac:dyDescent="0.3">
      <c r="A8" s="222"/>
      <c r="B8" s="221"/>
      <c r="C8" s="221"/>
      <c r="D8" s="221"/>
      <c r="E8" s="230"/>
      <c r="F8" s="230"/>
      <c r="G8" s="226"/>
      <c r="H8" s="226"/>
      <c r="I8" s="226"/>
    </row>
    <row r="9" spans="1:13" x14ac:dyDescent="0.25">
      <c r="A9" s="222"/>
      <c r="B9" s="221"/>
      <c r="C9" s="221"/>
      <c r="D9" s="221"/>
      <c r="E9" s="221"/>
      <c r="F9" s="221"/>
      <c r="G9" s="220"/>
      <c r="H9" s="220"/>
      <c r="I9" s="220"/>
      <c r="J9" s="255" t="s">
        <v>339</v>
      </c>
      <c r="K9" s="218"/>
    </row>
    <row r="10" spans="1:13" ht="15.75" thickBot="1" x14ac:dyDescent="0.3">
      <c r="A10" s="250">
        <v>1</v>
      </c>
      <c r="B10" s="224" t="s">
        <v>346</v>
      </c>
      <c r="C10" s="221"/>
      <c r="D10" s="221"/>
      <c r="E10" s="221"/>
      <c r="F10" s="221"/>
      <c r="G10" s="225"/>
      <c r="H10" s="219">
        <f>SUM(H25:H200)</f>
        <v>4835024</v>
      </c>
      <c r="I10" s="219">
        <f>SUM(I25:I200)</f>
        <v>138045</v>
      </c>
      <c r="J10" s="256">
        <f>+J12+J11</f>
        <v>2.9134340631090171E-2</v>
      </c>
      <c r="K10" s="218"/>
    </row>
    <row r="11" spans="1:13" x14ac:dyDescent="0.25">
      <c r="A11" s="250">
        <f>+A10+1</f>
        <v>2</v>
      </c>
      <c r="B11" s="224" t="s">
        <v>345</v>
      </c>
      <c r="C11" s="221"/>
      <c r="D11" s="221"/>
      <c r="E11" s="221"/>
      <c r="F11" s="221"/>
      <c r="G11" s="225"/>
      <c r="I11" s="225">
        <f>+'2018 Equal % Allocation'!H29</f>
        <v>138447.72417549611</v>
      </c>
      <c r="J11" s="254">
        <f>+I11/H10</f>
        <v>2.8634340631090171E-2</v>
      </c>
      <c r="K11" s="218"/>
    </row>
    <row r="12" spans="1:13" x14ac:dyDescent="0.25">
      <c r="A12" s="250">
        <f t="shared" ref="A12:A75" si="0">+A11+1</f>
        <v>3</v>
      </c>
      <c r="B12" s="223" t="s">
        <v>340</v>
      </c>
      <c r="C12" s="221"/>
      <c r="D12" s="221"/>
      <c r="E12" s="221"/>
      <c r="F12" s="221"/>
      <c r="G12" s="225"/>
      <c r="H12" s="219"/>
      <c r="I12" s="219">
        <f>+I10-I11</f>
        <v>-402.72417549611419</v>
      </c>
      <c r="J12" s="254">
        <v>5.0000000000000001E-4</v>
      </c>
      <c r="K12" s="218"/>
    </row>
    <row r="13" spans="1:13" x14ac:dyDescent="0.25">
      <c r="A13" s="250">
        <f t="shared" si="0"/>
        <v>4</v>
      </c>
      <c r="B13" s="221"/>
      <c r="C13" s="221"/>
      <c r="D13" s="221"/>
      <c r="E13" s="221"/>
      <c r="F13" s="221"/>
      <c r="G13" s="220"/>
      <c r="H13" s="220"/>
      <c r="I13" s="220"/>
      <c r="K13" s="218"/>
    </row>
    <row r="14" spans="1:13" x14ac:dyDescent="0.25">
      <c r="A14" s="250">
        <f t="shared" si="0"/>
        <v>5</v>
      </c>
      <c r="B14" s="221" t="s">
        <v>329</v>
      </c>
      <c r="C14" s="221"/>
      <c r="D14" s="221"/>
      <c r="E14" s="221"/>
      <c r="F14" s="221"/>
      <c r="G14" s="226">
        <f>SUM(G25:G33)</f>
        <v>1235</v>
      </c>
      <c r="H14" s="252">
        <f>SUM(H25:H33)</f>
        <v>4016</v>
      </c>
      <c r="I14" s="252">
        <f>SUM(I25:I33)</f>
        <v>121</v>
      </c>
      <c r="J14" s="252"/>
      <c r="K14" s="218"/>
    </row>
    <row r="15" spans="1:13" x14ac:dyDescent="0.25">
      <c r="A15" s="250">
        <f t="shared" si="0"/>
        <v>6</v>
      </c>
      <c r="B15" s="221" t="s">
        <v>330</v>
      </c>
      <c r="C15" s="221"/>
      <c r="D15" s="221"/>
      <c r="E15" s="221"/>
      <c r="F15" s="221"/>
      <c r="G15" s="226">
        <f>SUM(G36:G44)</f>
        <v>45918</v>
      </c>
      <c r="H15" s="252">
        <f>SUM(H36:H44)</f>
        <v>93582</v>
      </c>
      <c r="I15" s="252">
        <f>SUM(I36:I44)</f>
        <v>2717</v>
      </c>
      <c r="J15" s="252"/>
      <c r="K15" s="218"/>
    </row>
    <row r="16" spans="1:13" x14ac:dyDescent="0.25">
      <c r="A16" s="250">
        <f t="shared" si="0"/>
        <v>7</v>
      </c>
      <c r="B16" s="221" t="s">
        <v>331</v>
      </c>
      <c r="C16" s="221"/>
      <c r="D16" s="221"/>
      <c r="E16" s="221"/>
      <c r="F16" s="221"/>
      <c r="G16" s="226">
        <f>SUM(G47:G62)</f>
        <v>236010</v>
      </c>
      <c r="H16" s="252">
        <f>SUM(H47:H62)</f>
        <v>847474</v>
      </c>
      <c r="I16" s="252">
        <f>SUM(I47:I62)</f>
        <v>24110</v>
      </c>
      <c r="J16" s="252"/>
      <c r="K16" s="218"/>
    </row>
    <row r="17" spans="1:13" x14ac:dyDescent="0.25">
      <c r="A17" s="250">
        <f t="shared" si="0"/>
        <v>8</v>
      </c>
      <c r="B17" s="221" t="s">
        <v>332</v>
      </c>
      <c r="G17" s="251">
        <f>SUM(G65:G116)</f>
        <v>911582</v>
      </c>
      <c r="H17" s="253">
        <f>SUM(H65:H116)</f>
        <v>2503113</v>
      </c>
      <c r="I17" s="253">
        <f>SUM(I65:I116)</f>
        <v>70693</v>
      </c>
      <c r="J17" s="253"/>
      <c r="K17" s="218"/>
    </row>
    <row r="18" spans="1:13" x14ac:dyDescent="0.25">
      <c r="A18" s="250">
        <f t="shared" si="0"/>
        <v>9</v>
      </c>
      <c r="B18" s="223" t="s">
        <v>333</v>
      </c>
      <c r="G18" s="251">
        <f>SUM(G119:G138)</f>
        <v>125958</v>
      </c>
      <c r="H18" s="253">
        <f>SUM(H119:H138)</f>
        <v>481702</v>
      </c>
      <c r="I18" s="253">
        <f>SUM(I119:I138)</f>
        <v>13898</v>
      </c>
      <c r="J18" s="253"/>
      <c r="K18" s="218"/>
    </row>
    <row r="19" spans="1:13" x14ac:dyDescent="0.25">
      <c r="A19" s="250">
        <f t="shared" si="0"/>
        <v>10</v>
      </c>
      <c r="B19" s="223" t="s">
        <v>335</v>
      </c>
      <c r="G19" s="251">
        <f>SUM(G141:G158)</f>
        <v>75050</v>
      </c>
      <c r="H19" s="253">
        <f>SUM(H141:H158)</f>
        <v>241266</v>
      </c>
      <c r="I19" s="253">
        <f>SUM(I141:I158)</f>
        <v>7228</v>
      </c>
      <c r="J19" s="253"/>
      <c r="K19" s="218"/>
    </row>
    <row r="20" spans="1:13" x14ac:dyDescent="0.25">
      <c r="A20" s="250">
        <f t="shared" si="0"/>
        <v>11</v>
      </c>
      <c r="B20" s="221" t="s">
        <v>334</v>
      </c>
      <c r="G20" s="251">
        <f>SUM(G161)</f>
        <v>13435326</v>
      </c>
      <c r="H20" s="253">
        <f>SUM(H161)</f>
        <v>513633</v>
      </c>
      <c r="I20" s="253">
        <f>SUM(I161)</f>
        <v>14913</v>
      </c>
      <c r="J20" s="253"/>
      <c r="K20" s="218"/>
    </row>
    <row r="21" spans="1:13" x14ac:dyDescent="0.25">
      <c r="A21" s="250">
        <f t="shared" si="0"/>
        <v>12</v>
      </c>
      <c r="B21" s="223" t="s">
        <v>336</v>
      </c>
      <c r="G21" s="251">
        <f>SUM(G164:G200)</f>
        <v>17421</v>
      </c>
      <c r="H21" s="253">
        <f>SUM(H164:H200)</f>
        <v>150238</v>
      </c>
      <c r="I21" s="253">
        <f>SUM(I164:I200)</f>
        <v>4365</v>
      </c>
      <c r="J21" s="253"/>
      <c r="K21" s="218"/>
    </row>
    <row r="22" spans="1:13" x14ac:dyDescent="0.25">
      <c r="A22" s="250">
        <f t="shared" si="0"/>
        <v>13</v>
      </c>
      <c r="B22" s="221" t="s">
        <v>337</v>
      </c>
      <c r="G22" s="251">
        <f>SUM(G14:G21)</f>
        <v>14848500</v>
      </c>
      <c r="H22" s="253">
        <f>SUM(H14:H21)</f>
        <v>4835024</v>
      </c>
      <c r="I22" s="253">
        <f>SUM(I14:I21)</f>
        <v>138045</v>
      </c>
      <c r="J22" s="253"/>
      <c r="K22" s="218"/>
    </row>
    <row r="23" spans="1:13" x14ac:dyDescent="0.25">
      <c r="A23" s="250">
        <f t="shared" si="0"/>
        <v>14</v>
      </c>
      <c r="B23" s="221"/>
      <c r="C23" s="221"/>
      <c r="D23" s="221"/>
      <c r="E23" s="221"/>
      <c r="F23" s="221"/>
      <c r="G23" s="225"/>
      <c r="H23" s="219"/>
      <c r="I23" s="219"/>
      <c r="K23" s="218"/>
    </row>
    <row r="24" spans="1:13" x14ac:dyDescent="0.25">
      <c r="A24" s="250">
        <f t="shared" si="0"/>
        <v>15</v>
      </c>
      <c r="B24" s="221" t="s">
        <v>323</v>
      </c>
      <c r="C24" s="221"/>
      <c r="D24" s="221"/>
      <c r="E24" s="221"/>
      <c r="F24" s="221"/>
      <c r="G24" s="220"/>
      <c r="H24" s="220"/>
      <c r="I24" s="220"/>
    </row>
    <row r="25" spans="1:13" x14ac:dyDescent="0.25">
      <c r="A25" s="250">
        <f t="shared" si="0"/>
        <v>16</v>
      </c>
      <c r="B25" s="229" t="s">
        <v>322</v>
      </c>
      <c r="C25" s="223" t="s">
        <v>321</v>
      </c>
      <c r="D25" s="241">
        <v>22</v>
      </c>
      <c r="E25" s="248">
        <f>SUM(L25:M25)</f>
        <v>0.56000000000000005</v>
      </c>
      <c r="F25" s="227">
        <f>ROUND(+E25*$J$10,2)</f>
        <v>0.02</v>
      </c>
      <c r="G25" s="226">
        <v>708</v>
      </c>
      <c r="H25" s="219">
        <f>ROUND($G25*E25,0)</f>
        <v>396</v>
      </c>
      <c r="I25" s="219">
        <f>ROUND($G25*F25,0)</f>
        <v>14</v>
      </c>
      <c r="K25" s="218"/>
      <c r="L25" s="340">
        <v>0.22</v>
      </c>
      <c r="M25" s="340">
        <v>0.34</v>
      </c>
    </row>
    <row r="26" spans="1:13" x14ac:dyDescent="0.25">
      <c r="A26" s="250">
        <f t="shared" si="0"/>
        <v>17</v>
      </c>
      <c r="B26" s="240"/>
      <c r="C26" s="239"/>
      <c r="D26" s="238"/>
      <c r="E26" s="248"/>
      <c r="F26" s="230"/>
      <c r="G26" s="226"/>
      <c r="H26" s="226"/>
      <c r="I26" s="226"/>
      <c r="K26" s="218"/>
    </row>
    <row r="27" spans="1:13" x14ac:dyDescent="0.25">
      <c r="A27" s="250">
        <f t="shared" si="0"/>
        <v>18</v>
      </c>
      <c r="B27" s="229" t="s">
        <v>320</v>
      </c>
      <c r="C27" s="236" t="s">
        <v>12</v>
      </c>
      <c r="D27" s="232">
        <v>100</v>
      </c>
      <c r="E27" s="248">
        <f t="shared" ref="E27:E33" si="1">SUM(L27:M27)</f>
        <v>2.54</v>
      </c>
      <c r="F27" s="227">
        <f t="shared" ref="F27:F33" si="2">ROUND(+E27*$J$10,2)</f>
        <v>7.0000000000000007E-2</v>
      </c>
      <c r="G27" s="226">
        <v>47</v>
      </c>
      <c r="H27" s="219">
        <f t="shared" ref="H27:H33" si="3">ROUND($G27*E27,0)</f>
        <v>119</v>
      </c>
      <c r="I27" s="219">
        <f t="shared" ref="I27:I33" si="4">ROUND($G27*F27,0)</f>
        <v>3</v>
      </c>
      <c r="K27" s="218"/>
      <c r="L27" s="340">
        <v>1.01</v>
      </c>
      <c r="M27" s="340">
        <v>1.53</v>
      </c>
    </row>
    <row r="28" spans="1:13" x14ac:dyDescent="0.25">
      <c r="A28" s="250">
        <f t="shared" si="0"/>
        <v>19</v>
      </c>
      <c r="B28" s="229" t="str">
        <f>+B27</f>
        <v>50E-A</v>
      </c>
      <c r="C28" s="236" t="str">
        <f>+C27</f>
        <v>Mercury Vapor</v>
      </c>
      <c r="D28" s="232">
        <v>175</v>
      </c>
      <c r="E28" s="248">
        <f t="shared" si="1"/>
        <v>4.4399999999999995</v>
      </c>
      <c r="F28" s="227">
        <f t="shared" si="2"/>
        <v>0.13</v>
      </c>
      <c r="G28" s="226">
        <v>228</v>
      </c>
      <c r="H28" s="219">
        <f t="shared" si="3"/>
        <v>1012</v>
      </c>
      <c r="I28" s="219">
        <f t="shared" si="4"/>
        <v>30</v>
      </c>
      <c r="K28" s="218"/>
      <c r="L28" s="340">
        <v>1.77</v>
      </c>
      <c r="M28" s="340">
        <v>2.67</v>
      </c>
    </row>
    <row r="29" spans="1:13" x14ac:dyDescent="0.25">
      <c r="A29" s="250">
        <f t="shared" si="0"/>
        <v>20</v>
      </c>
      <c r="B29" s="229" t="str">
        <f>+B28</f>
        <v>50E-A</v>
      </c>
      <c r="C29" s="236" t="str">
        <f>+C28</f>
        <v>Mercury Vapor</v>
      </c>
      <c r="D29" s="232">
        <v>400</v>
      </c>
      <c r="E29" s="248">
        <f t="shared" si="1"/>
        <v>10.15</v>
      </c>
      <c r="F29" s="227">
        <f t="shared" si="2"/>
        <v>0.3</v>
      </c>
      <c r="G29" s="226">
        <v>240</v>
      </c>
      <c r="H29" s="219">
        <f t="shared" si="3"/>
        <v>2436</v>
      </c>
      <c r="I29" s="219">
        <f t="shared" si="4"/>
        <v>72</v>
      </c>
      <c r="K29" s="218"/>
      <c r="L29" s="340">
        <v>4.04</v>
      </c>
      <c r="M29" s="340">
        <v>6.11</v>
      </c>
    </row>
    <row r="30" spans="1:13" x14ac:dyDescent="0.25">
      <c r="A30" s="250">
        <f t="shared" si="0"/>
        <v>21</v>
      </c>
      <c r="B30" s="229" t="s">
        <v>319</v>
      </c>
      <c r="C30" s="236" t="str">
        <f>+C29</f>
        <v>Mercury Vapor</v>
      </c>
      <c r="D30" s="232">
        <v>100</v>
      </c>
      <c r="E30" s="248">
        <f t="shared" si="1"/>
        <v>2.54</v>
      </c>
      <c r="F30" s="227">
        <f t="shared" si="2"/>
        <v>7.0000000000000007E-2</v>
      </c>
      <c r="G30" s="226">
        <v>0</v>
      </c>
      <c r="H30" s="219">
        <f t="shared" si="3"/>
        <v>0</v>
      </c>
      <c r="I30" s="219">
        <f t="shared" si="4"/>
        <v>0</v>
      </c>
      <c r="K30" s="218"/>
      <c r="L30" s="340">
        <v>1.01</v>
      </c>
      <c r="M30" s="340">
        <v>1.53</v>
      </c>
    </row>
    <row r="31" spans="1:13" x14ac:dyDescent="0.25">
      <c r="A31" s="250">
        <f t="shared" si="0"/>
        <v>22</v>
      </c>
      <c r="B31" s="229" t="str">
        <f>+B30</f>
        <v>50E-B</v>
      </c>
      <c r="C31" s="236" t="str">
        <f>+C30</f>
        <v>Mercury Vapor</v>
      </c>
      <c r="D31" s="232">
        <v>175</v>
      </c>
      <c r="E31" s="248">
        <f t="shared" si="1"/>
        <v>4.4399999999999995</v>
      </c>
      <c r="F31" s="227">
        <f t="shared" si="2"/>
        <v>0.13</v>
      </c>
      <c r="G31" s="226">
        <v>12</v>
      </c>
      <c r="H31" s="219">
        <f t="shared" si="3"/>
        <v>53</v>
      </c>
      <c r="I31" s="219">
        <f t="shared" si="4"/>
        <v>2</v>
      </c>
      <c r="K31" s="218"/>
      <c r="L31" s="340">
        <v>1.77</v>
      </c>
      <c r="M31" s="340">
        <v>2.67</v>
      </c>
    </row>
    <row r="32" spans="1:13" x14ac:dyDescent="0.25">
      <c r="A32" s="250">
        <f t="shared" si="0"/>
        <v>23</v>
      </c>
      <c r="B32" s="229" t="str">
        <f>+B31</f>
        <v>50E-B</v>
      </c>
      <c r="C32" s="236" t="str">
        <f>+C31</f>
        <v>Mercury Vapor</v>
      </c>
      <c r="D32" s="232">
        <v>400</v>
      </c>
      <c r="E32" s="248">
        <f t="shared" si="1"/>
        <v>10.15</v>
      </c>
      <c r="F32" s="227">
        <f t="shared" si="2"/>
        <v>0.3</v>
      </c>
      <c r="G32" s="226">
        <v>0</v>
      </c>
      <c r="H32" s="219">
        <f t="shared" si="3"/>
        <v>0</v>
      </c>
      <c r="I32" s="219">
        <f t="shared" si="4"/>
        <v>0</v>
      </c>
      <c r="K32" s="218"/>
      <c r="L32" s="340">
        <v>4.04</v>
      </c>
      <c r="M32" s="340">
        <v>6.11</v>
      </c>
    </row>
    <row r="33" spans="1:13" x14ac:dyDescent="0.25">
      <c r="A33" s="250">
        <f t="shared" si="0"/>
        <v>24</v>
      </c>
      <c r="B33" s="229" t="str">
        <f>+B32</f>
        <v>50E-B</v>
      </c>
      <c r="C33" s="236" t="str">
        <f>+C32</f>
        <v>Mercury Vapor</v>
      </c>
      <c r="D33" s="232">
        <v>700</v>
      </c>
      <c r="E33" s="248">
        <f t="shared" si="1"/>
        <v>17.759999999999998</v>
      </c>
      <c r="F33" s="227">
        <f t="shared" si="2"/>
        <v>0.52</v>
      </c>
      <c r="G33" s="226">
        <v>0</v>
      </c>
      <c r="H33" s="219">
        <f t="shared" si="3"/>
        <v>0</v>
      </c>
      <c r="I33" s="219">
        <f t="shared" si="4"/>
        <v>0</v>
      </c>
      <c r="K33" s="218"/>
      <c r="L33" s="340">
        <v>7.07</v>
      </c>
      <c r="M33" s="340">
        <v>10.69</v>
      </c>
    </row>
    <row r="34" spans="1:13" x14ac:dyDescent="0.25">
      <c r="A34" s="250">
        <f t="shared" si="0"/>
        <v>25</v>
      </c>
      <c r="B34" s="234"/>
      <c r="C34" s="237"/>
      <c r="D34" s="221"/>
      <c r="E34" s="248"/>
      <c r="F34" s="230"/>
      <c r="G34" s="226"/>
      <c r="H34" s="226"/>
      <c r="I34" s="226"/>
      <c r="K34" s="218"/>
      <c r="L34" s="340">
        <v>0</v>
      </c>
      <c r="M34" s="340">
        <v>0</v>
      </c>
    </row>
    <row r="35" spans="1:13" x14ac:dyDescent="0.25">
      <c r="A35" s="250">
        <f t="shared" si="0"/>
        <v>26</v>
      </c>
      <c r="B35" s="234" t="s">
        <v>318</v>
      </c>
      <c r="C35" s="237"/>
      <c r="D35" s="221"/>
      <c r="E35" s="248"/>
      <c r="F35" s="230"/>
      <c r="G35" s="226"/>
      <c r="H35" s="226"/>
      <c r="I35" s="226"/>
      <c r="K35" s="218"/>
      <c r="L35" s="340">
        <v>0</v>
      </c>
      <c r="M35" s="340">
        <v>0</v>
      </c>
    </row>
    <row r="36" spans="1:13" x14ac:dyDescent="0.25">
      <c r="A36" s="250">
        <f t="shared" si="0"/>
        <v>27</v>
      </c>
      <c r="B36" s="229" t="s">
        <v>317</v>
      </c>
      <c r="C36" s="236" t="s">
        <v>288</v>
      </c>
      <c r="D36" s="232" t="s">
        <v>302</v>
      </c>
      <c r="E36" s="248">
        <f t="shared" ref="E36:E44" si="5">SUM(L36:M36)</f>
        <v>1.1399999999999999</v>
      </c>
      <c r="F36" s="227">
        <f t="shared" ref="F36:F44" si="6">ROUND(+E36*$J$10,2)</f>
        <v>0.03</v>
      </c>
      <c r="G36" s="226">
        <v>20944</v>
      </c>
      <c r="H36" s="219">
        <f t="shared" ref="H36:H44" si="7">ROUND($G36*E36,0)</f>
        <v>23876</v>
      </c>
      <c r="I36" s="219">
        <f t="shared" ref="I36:I44" si="8">ROUND($G36*F36,0)</f>
        <v>628</v>
      </c>
      <c r="K36" s="218"/>
      <c r="L36" s="340">
        <v>0.45</v>
      </c>
      <c r="M36" s="340">
        <v>0.69</v>
      </c>
    </row>
    <row r="37" spans="1:13" x14ac:dyDescent="0.25">
      <c r="A37" s="250">
        <f t="shared" si="0"/>
        <v>28</v>
      </c>
      <c r="B37" s="229" t="s">
        <v>317</v>
      </c>
      <c r="C37" s="236" t="s">
        <v>288</v>
      </c>
      <c r="D37" s="232" t="s">
        <v>301</v>
      </c>
      <c r="E37" s="248">
        <f t="shared" si="5"/>
        <v>1.91</v>
      </c>
      <c r="F37" s="227">
        <f t="shared" si="6"/>
        <v>0.06</v>
      </c>
      <c r="G37" s="226">
        <v>11419</v>
      </c>
      <c r="H37" s="219">
        <f t="shared" si="7"/>
        <v>21810</v>
      </c>
      <c r="I37" s="219">
        <f t="shared" si="8"/>
        <v>685</v>
      </c>
      <c r="K37" s="218"/>
      <c r="L37" s="340">
        <v>0.76</v>
      </c>
      <c r="M37" s="340">
        <v>1.1499999999999999</v>
      </c>
    </row>
    <row r="38" spans="1:13" x14ac:dyDescent="0.25">
      <c r="A38" s="250">
        <f t="shared" si="0"/>
        <v>29</v>
      </c>
      <c r="B38" s="229" t="s">
        <v>317</v>
      </c>
      <c r="C38" s="236" t="s">
        <v>288</v>
      </c>
      <c r="D38" s="232" t="s">
        <v>300</v>
      </c>
      <c r="E38" s="248">
        <f t="shared" si="5"/>
        <v>2.66</v>
      </c>
      <c r="F38" s="227">
        <f t="shared" si="6"/>
        <v>0.08</v>
      </c>
      <c r="G38" s="226">
        <v>6893</v>
      </c>
      <c r="H38" s="219">
        <f t="shared" si="7"/>
        <v>18335</v>
      </c>
      <c r="I38" s="219">
        <f t="shared" si="8"/>
        <v>551</v>
      </c>
      <c r="K38" s="218"/>
      <c r="L38" s="340">
        <v>1.06</v>
      </c>
      <c r="M38" s="340">
        <v>1.6</v>
      </c>
    </row>
    <row r="39" spans="1:13" x14ac:dyDescent="0.25">
      <c r="A39" s="250">
        <f t="shared" si="0"/>
        <v>30</v>
      </c>
      <c r="B39" s="229" t="s">
        <v>317</v>
      </c>
      <c r="C39" s="236" t="s">
        <v>288</v>
      </c>
      <c r="D39" s="232" t="s">
        <v>299</v>
      </c>
      <c r="E39" s="248">
        <f t="shared" si="5"/>
        <v>3.42</v>
      </c>
      <c r="F39" s="227">
        <f t="shared" si="6"/>
        <v>0.1</v>
      </c>
      <c r="G39" s="226">
        <v>3170</v>
      </c>
      <c r="H39" s="219">
        <f t="shared" si="7"/>
        <v>10841</v>
      </c>
      <c r="I39" s="219">
        <f t="shared" si="8"/>
        <v>317</v>
      </c>
      <c r="K39" s="218"/>
      <c r="L39" s="340">
        <v>1.36</v>
      </c>
      <c r="M39" s="340">
        <v>2.06</v>
      </c>
    </row>
    <row r="40" spans="1:13" x14ac:dyDescent="0.25">
      <c r="A40" s="250">
        <f t="shared" si="0"/>
        <v>31</v>
      </c>
      <c r="B40" s="229" t="s">
        <v>317</v>
      </c>
      <c r="C40" s="236" t="s">
        <v>288</v>
      </c>
      <c r="D40" s="232" t="s">
        <v>298</v>
      </c>
      <c r="E40" s="248">
        <f t="shared" si="5"/>
        <v>4.1899999999999995</v>
      </c>
      <c r="F40" s="227">
        <f t="shared" si="6"/>
        <v>0.12</v>
      </c>
      <c r="G40" s="226">
        <v>589</v>
      </c>
      <c r="H40" s="219">
        <f t="shared" si="7"/>
        <v>2468</v>
      </c>
      <c r="I40" s="219">
        <f t="shared" si="8"/>
        <v>71</v>
      </c>
      <c r="K40" s="218"/>
      <c r="L40" s="340">
        <v>1.67</v>
      </c>
      <c r="M40" s="340">
        <v>2.52</v>
      </c>
    </row>
    <row r="41" spans="1:13" x14ac:dyDescent="0.25">
      <c r="A41" s="250">
        <f t="shared" si="0"/>
        <v>32</v>
      </c>
      <c r="B41" s="229" t="s">
        <v>317</v>
      </c>
      <c r="C41" s="236" t="s">
        <v>288</v>
      </c>
      <c r="D41" s="232" t="s">
        <v>297</v>
      </c>
      <c r="E41" s="248">
        <f t="shared" si="5"/>
        <v>4.95</v>
      </c>
      <c r="F41" s="227">
        <f t="shared" si="6"/>
        <v>0.14000000000000001</v>
      </c>
      <c r="G41" s="226">
        <v>2037</v>
      </c>
      <c r="H41" s="219">
        <f t="shared" si="7"/>
        <v>10083</v>
      </c>
      <c r="I41" s="219">
        <f t="shared" si="8"/>
        <v>285</v>
      </c>
      <c r="K41" s="218"/>
      <c r="L41" s="340">
        <v>1.97</v>
      </c>
      <c r="M41" s="340">
        <v>2.98</v>
      </c>
    </row>
    <row r="42" spans="1:13" x14ac:dyDescent="0.25">
      <c r="A42" s="250">
        <f t="shared" si="0"/>
        <v>33</v>
      </c>
      <c r="B42" s="229" t="s">
        <v>317</v>
      </c>
      <c r="C42" s="236" t="s">
        <v>288</v>
      </c>
      <c r="D42" s="232" t="s">
        <v>296</v>
      </c>
      <c r="E42" s="248">
        <f t="shared" si="5"/>
        <v>5.71</v>
      </c>
      <c r="F42" s="227">
        <f t="shared" si="6"/>
        <v>0.17</v>
      </c>
      <c r="G42" s="226">
        <v>0</v>
      </c>
      <c r="H42" s="219">
        <f t="shared" si="7"/>
        <v>0</v>
      </c>
      <c r="I42" s="219">
        <f t="shared" si="8"/>
        <v>0</v>
      </c>
      <c r="K42" s="218"/>
      <c r="L42" s="340">
        <v>2.27</v>
      </c>
      <c r="M42" s="340">
        <v>3.44</v>
      </c>
    </row>
    <row r="43" spans="1:13" x14ac:dyDescent="0.25">
      <c r="A43" s="250">
        <f t="shared" si="0"/>
        <v>34</v>
      </c>
      <c r="B43" s="229" t="s">
        <v>317</v>
      </c>
      <c r="C43" s="236" t="s">
        <v>288</v>
      </c>
      <c r="D43" s="232" t="s">
        <v>295</v>
      </c>
      <c r="E43" s="248">
        <f t="shared" si="5"/>
        <v>6.46</v>
      </c>
      <c r="F43" s="227">
        <f t="shared" si="6"/>
        <v>0.19</v>
      </c>
      <c r="G43" s="226">
        <v>120</v>
      </c>
      <c r="H43" s="219">
        <f t="shared" si="7"/>
        <v>775</v>
      </c>
      <c r="I43" s="219">
        <f t="shared" si="8"/>
        <v>23</v>
      </c>
      <c r="K43" s="218"/>
      <c r="L43" s="340">
        <v>2.57</v>
      </c>
      <c r="M43" s="340">
        <v>3.89</v>
      </c>
    </row>
    <row r="44" spans="1:13" x14ac:dyDescent="0.25">
      <c r="A44" s="250">
        <f t="shared" si="0"/>
        <v>35</v>
      </c>
      <c r="B44" s="229" t="s">
        <v>317</v>
      </c>
      <c r="C44" s="236" t="s">
        <v>288</v>
      </c>
      <c r="D44" s="232" t="s">
        <v>294</v>
      </c>
      <c r="E44" s="248">
        <f t="shared" si="5"/>
        <v>7.2299999999999995</v>
      </c>
      <c r="F44" s="227">
        <f t="shared" si="6"/>
        <v>0.21</v>
      </c>
      <c r="G44" s="226">
        <v>746</v>
      </c>
      <c r="H44" s="219">
        <f t="shared" si="7"/>
        <v>5394</v>
      </c>
      <c r="I44" s="219">
        <f t="shared" si="8"/>
        <v>157</v>
      </c>
      <c r="K44" s="218"/>
      <c r="L44" s="340">
        <v>2.88</v>
      </c>
      <c r="M44" s="340">
        <v>4.3499999999999996</v>
      </c>
    </row>
    <row r="45" spans="1:13" x14ac:dyDescent="0.25">
      <c r="A45" s="250">
        <f t="shared" si="0"/>
        <v>36</v>
      </c>
      <c r="B45" s="234"/>
      <c r="C45" s="221"/>
      <c r="D45" s="221"/>
      <c r="E45" s="248"/>
      <c r="F45" s="230"/>
      <c r="G45" s="226"/>
      <c r="H45" s="226"/>
      <c r="I45" s="226"/>
      <c r="K45" s="218"/>
      <c r="L45" s="340"/>
      <c r="M45" s="340"/>
    </row>
    <row r="46" spans="1:13" x14ac:dyDescent="0.25">
      <c r="A46" s="250">
        <f t="shared" si="0"/>
        <v>37</v>
      </c>
      <c r="B46" s="234" t="s">
        <v>316</v>
      </c>
      <c r="C46" s="221"/>
      <c r="D46" s="221"/>
      <c r="E46" s="248"/>
      <c r="F46" s="230"/>
      <c r="G46" s="226"/>
      <c r="H46" s="226"/>
      <c r="I46" s="226"/>
      <c r="K46" s="218"/>
      <c r="L46" s="340"/>
      <c r="M46" s="340"/>
    </row>
    <row r="47" spans="1:13" x14ac:dyDescent="0.25">
      <c r="A47" s="250">
        <f t="shared" si="0"/>
        <v>38</v>
      </c>
      <c r="B47" s="229" t="s">
        <v>315</v>
      </c>
      <c r="C47" s="228" t="s">
        <v>13</v>
      </c>
      <c r="D47" s="228">
        <v>50</v>
      </c>
      <c r="E47" s="248">
        <f t="shared" ref="E47:E54" si="9">SUM(L47:M47)</f>
        <v>1.26</v>
      </c>
      <c r="F47" s="227">
        <f t="shared" ref="F47:F54" si="10">ROUND(+E47*$J$10,2)</f>
        <v>0.04</v>
      </c>
      <c r="G47" s="226">
        <v>0</v>
      </c>
      <c r="H47" s="219">
        <f t="shared" ref="H47:H54" si="11">ROUND($G47*E47,0)</f>
        <v>0</v>
      </c>
      <c r="I47" s="219">
        <f t="shared" ref="I47:I54" si="12">ROUND($G47*F47,0)</f>
        <v>0</v>
      </c>
      <c r="K47" s="341"/>
      <c r="L47" s="340">
        <v>0.5</v>
      </c>
      <c r="M47" s="340">
        <v>0.76</v>
      </c>
    </row>
    <row r="48" spans="1:13" x14ac:dyDescent="0.25">
      <c r="A48" s="250">
        <f t="shared" si="0"/>
        <v>39</v>
      </c>
      <c r="B48" s="229" t="str">
        <f t="shared" ref="B48:B54" si="13">+B47</f>
        <v xml:space="preserve">52E </v>
      </c>
      <c r="C48" s="228" t="s">
        <v>13</v>
      </c>
      <c r="D48" s="228">
        <v>70</v>
      </c>
      <c r="E48" s="248">
        <f t="shared" si="9"/>
        <v>1.78</v>
      </c>
      <c r="F48" s="227">
        <f t="shared" si="10"/>
        <v>0.05</v>
      </c>
      <c r="G48" s="226">
        <v>8518</v>
      </c>
      <c r="H48" s="219">
        <f t="shared" si="11"/>
        <v>15162</v>
      </c>
      <c r="I48" s="219">
        <f t="shared" si="12"/>
        <v>426</v>
      </c>
      <c r="K48" s="341"/>
      <c r="L48" s="340">
        <v>0.71</v>
      </c>
      <c r="M48" s="340">
        <v>1.07</v>
      </c>
    </row>
    <row r="49" spans="1:13" x14ac:dyDescent="0.25">
      <c r="A49" s="250">
        <f t="shared" si="0"/>
        <v>40</v>
      </c>
      <c r="B49" s="229" t="str">
        <f t="shared" si="13"/>
        <v xml:space="preserve">52E </v>
      </c>
      <c r="C49" s="228" t="s">
        <v>13</v>
      </c>
      <c r="D49" s="228">
        <v>100</v>
      </c>
      <c r="E49" s="248">
        <f t="shared" si="9"/>
        <v>2.54</v>
      </c>
      <c r="F49" s="227">
        <f t="shared" si="10"/>
        <v>7.0000000000000007E-2</v>
      </c>
      <c r="G49" s="226">
        <v>124947</v>
      </c>
      <c r="H49" s="219">
        <f t="shared" si="11"/>
        <v>317365</v>
      </c>
      <c r="I49" s="219">
        <f t="shared" si="12"/>
        <v>8746</v>
      </c>
      <c r="K49" s="341"/>
      <c r="L49" s="340">
        <v>1.01</v>
      </c>
      <c r="M49" s="340">
        <v>1.53</v>
      </c>
    </row>
    <row r="50" spans="1:13" x14ac:dyDescent="0.25">
      <c r="A50" s="250">
        <f t="shared" si="0"/>
        <v>41</v>
      </c>
      <c r="B50" s="229" t="str">
        <f t="shared" si="13"/>
        <v xml:space="preserve">52E </v>
      </c>
      <c r="C50" s="228" t="s">
        <v>13</v>
      </c>
      <c r="D50" s="228">
        <v>150</v>
      </c>
      <c r="E50" s="248">
        <f t="shared" si="9"/>
        <v>3.8</v>
      </c>
      <c r="F50" s="227">
        <f t="shared" si="10"/>
        <v>0.11</v>
      </c>
      <c r="G50" s="226">
        <v>55813</v>
      </c>
      <c r="H50" s="219">
        <f t="shared" si="11"/>
        <v>212089</v>
      </c>
      <c r="I50" s="219">
        <f t="shared" si="12"/>
        <v>6139</v>
      </c>
      <c r="K50" s="341"/>
      <c r="L50" s="340">
        <v>1.51</v>
      </c>
      <c r="M50" s="340">
        <v>2.29</v>
      </c>
    </row>
    <row r="51" spans="1:13" x14ac:dyDescent="0.25">
      <c r="A51" s="250">
        <f t="shared" si="0"/>
        <v>42</v>
      </c>
      <c r="B51" s="229" t="str">
        <f t="shared" si="13"/>
        <v xml:space="preserve">52E </v>
      </c>
      <c r="C51" s="228" t="s">
        <v>13</v>
      </c>
      <c r="D51" s="228">
        <v>200</v>
      </c>
      <c r="E51" s="248">
        <f t="shared" si="9"/>
        <v>5.07</v>
      </c>
      <c r="F51" s="227">
        <f t="shared" si="10"/>
        <v>0.15</v>
      </c>
      <c r="G51" s="226">
        <v>12276</v>
      </c>
      <c r="H51" s="219">
        <f t="shared" si="11"/>
        <v>62239</v>
      </c>
      <c r="I51" s="219">
        <f t="shared" si="12"/>
        <v>1841</v>
      </c>
      <c r="K51" s="341"/>
      <c r="L51" s="340">
        <v>2.02</v>
      </c>
      <c r="M51" s="340">
        <v>3.05</v>
      </c>
    </row>
    <row r="52" spans="1:13" x14ac:dyDescent="0.25">
      <c r="A52" s="250">
        <f t="shared" si="0"/>
        <v>43</v>
      </c>
      <c r="B52" s="229" t="str">
        <f t="shared" si="13"/>
        <v xml:space="preserve">52E </v>
      </c>
      <c r="C52" s="228" t="s">
        <v>13</v>
      </c>
      <c r="D52" s="228">
        <v>250</v>
      </c>
      <c r="E52" s="248">
        <f t="shared" si="9"/>
        <v>6.34</v>
      </c>
      <c r="F52" s="227">
        <f t="shared" si="10"/>
        <v>0.18</v>
      </c>
      <c r="G52" s="226">
        <v>17706</v>
      </c>
      <c r="H52" s="219">
        <f t="shared" si="11"/>
        <v>112256</v>
      </c>
      <c r="I52" s="219">
        <f t="shared" si="12"/>
        <v>3187</v>
      </c>
      <c r="K52" s="341"/>
      <c r="L52" s="340">
        <v>2.52</v>
      </c>
      <c r="M52" s="340">
        <v>3.82</v>
      </c>
    </row>
    <row r="53" spans="1:13" x14ac:dyDescent="0.25">
      <c r="A53" s="250">
        <f t="shared" si="0"/>
        <v>44</v>
      </c>
      <c r="B53" s="229" t="str">
        <f t="shared" si="13"/>
        <v xml:space="preserve">52E </v>
      </c>
      <c r="C53" s="228" t="s">
        <v>13</v>
      </c>
      <c r="D53" s="228">
        <v>310</v>
      </c>
      <c r="E53" s="248">
        <f t="shared" si="9"/>
        <v>7.86</v>
      </c>
      <c r="F53" s="227">
        <f t="shared" si="10"/>
        <v>0.23</v>
      </c>
      <c r="G53" s="226">
        <v>1795</v>
      </c>
      <c r="H53" s="219">
        <f t="shared" si="11"/>
        <v>14109</v>
      </c>
      <c r="I53" s="219">
        <f t="shared" si="12"/>
        <v>413</v>
      </c>
      <c r="K53" s="341"/>
      <c r="L53" s="340">
        <v>3.13</v>
      </c>
      <c r="M53" s="340">
        <v>4.7300000000000004</v>
      </c>
    </row>
    <row r="54" spans="1:13" x14ac:dyDescent="0.25">
      <c r="A54" s="250">
        <f t="shared" si="0"/>
        <v>45</v>
      </c>
      <c r="B54" s="229" t="str">
        <f t="shared" si="13"/>
        <v xml:space="preserve">52E </v>
      </c>
      <c r="C54" s="228" t="s">
        <v>13</v>
      </c>
      <c r="D54" s="228">
        <v>400</v>
      </c>
      <c r="E54" s="248">
        <f t="shared" si="9"/>
        <v>10.15</v>
      </c>
      <c r="F54" s="227">
        <f t="shared" si="10"/>
        <v>0.3</v>
      </c>
      <c r="G54" s="226">
        <v>7334</v>
      </c>
      <c r="H54" s="219">
        <f t="shared" si="11"/>
        <v>74440</v>
      </c>
      <c r="I54" s="219">
        <f t="shared" si="12"/>
        <v>2200</v>
      </c>
      <c r="K54" s="341"/>
      <c r="L54" s="340">
        <v>4.04</v>
      </c>
      <c r="M54" s="340">
        <v>6.11</v>
      </c>
    </row>
    <row r="55" spans="1:13" x14ac:dyDescent="0.25">
      <c r="A55" s="250">
        <f t="shared" si="0"/>
        <v>46</v>
      </c>
      <c r="B55" s="235"/>
      <c r="C55" s="228"/>
      <c r="D55" s="228"/>
      <c r="E55" s="248"/>
      <c r="F55" s="230"/>
      <c r="G55" s="226"/>
      <c r="H55" s="226"/>
      <c r="I55" s="226"/>
      <c r="K55" s="341"/>
      <c r="L55" s="340"/>
      <c r="M55" s="340"/>
    </row>
    <row r="56" spans="1:13" x14ac:dyDescent="0.25">
      <c r="A56" s="250">
        <f t="shared" si="0"/>
        <v>47</v>
      </c>
      <c r="B56" s="229" t="str">
        <f>+B51</f>
        <v xml:space="preserve">52E </v>
      </c>
      <c r="C56" s="228" t="s">
        <v>304</v>
      </c>
      <c r="D56" s="228">
        <v>70</v>
      </c>
      <c r="E56" s="248">
        <f t="shared" ref="E56:E62" si="14">SUM(L56:M56)</f>
        <v>1.78</v>
      </c>
      <c r="F56" s="227">
        <f t="shared" ref="F56:F62" si="15">ROUND(+E56*$J$10,2)</f>
        <v>0.05</v>
      </c>
      <c r="G56" s="226">
        <v>816</v>
      </c>
      <c r="H56" s="219">
        <f t="shared" ref="H56:H62" si="16">ROUND($G56*E56,0)</f>
        <v>1452</v>
      </c>
      <c r="I56" s="219">
        <f t="shared" ref="I56:I62" si="17">ROUND($G56*F56,0)</f>
        <v>41</v>
      </c>
      <c r="K56" s="341"/>
      <c r="L56" s="340">
        <v>0.71</v>
      </c>
      <c r="M56" s="340">
        <v>1.07</v>
      </c>
    </row>
    <row r="57" spans="1:13" x14ac:dyDescent="0.25">
      <c r="A57" s="250">
        <f t="shared" si="0"/>
        <v>48</v>
      </c>
      <c r="B57" s="229" t="str">
        <f>+B52</f>
        <v xml:space="preserve">52E </v>
      </c>
      <c r="C57" s="228" t="s">
        <v>304</v>
      </c>
      <c r="D57" s="228">
        <v>100</v>
      </c>
      <c r="E57" s="248">
        <f t="shared" si="14"/>
        <v>2.54</v>
      </c>
      <c r="F57" s="227">
        <f t="shared" si="15"/>
        <v>7.0000000000000007E-2</v>
      </c>
      <c r="G57" s="226">
        <v>49</v>
      </c>
      <c r="H57" s="219">
        <f t="shared" si="16"/>
        <v>124</v>
      </c>
      <c r="I57" s="219">
        <f t="shared" si="17"/>
        <v>3</v>
      </c>
      <c r="K57" s="341"/>
      <c r="L57" s="340">
        <v>1.01</v>
      </c>
      <c r="M57" s="340">
        <v>1.53</v>
      </c>
    </row>
    <row r="58" spans="1:13" x14ac:dyDescent="0.25">
      <c r="A58" s="250">
        <f t="shared" si="0"/>
        <v>49</v>
      </c>
      <c r="B58" s="229" t="str">
        <f>+B53</f>
        <v xml:space="preserve">52E </v>
      </c>
      <c r="C58" s="228" t="s">
        <v>304</v>
      </c>
      <c r="D58" s="228">
        <v>150</v>
      </c>
      <c r="E58" s="248">
        <f t="shared" si="14"/>
        <v>3.8</v>
      </c>
      <c r="F58" s="227">
        <f t="shared" si="15"/>
        <v>0.11</v>
      </c>
      <c r="G58" s="226">
        <v>2460</v>
      </c>
      <c r="H58" s="219">
        <f t="shared" si="16"/>
        <v>9348</v>
      </c>
      <c r="I58" s="219">
        <f t="shared" si="17"/>
        <v>271</v>
      </c>
      <c r="K58" s="341"/>
      <c r="L58" s="340">
        <v>1.51</v>
      </c>
      <c r="M58" s="340">
        <v>2.29</v>
      </c>
    </row>
    <row r="59" spans="1:13" x14ac:dyDescent="0.25">
      <c r="A59" s="250">
        <f t="shared" si="0"/>
        <v>50</v>
      </c>
      <c r="B59" s="229" t="str">
        <f>+B54</f>
        <v xml:space="preserve">52E </v>
      </c>
      <c r="C59" s="228" t="s">
        <v>304</v>
      </c>
      <c r="D59" s="228">
        <v>175</v>
      </c>
      <c r="E59" s="248">
        <f t="shared" si="14"/>
        <v>4.4399999999999995</v>
      </c>
      <c r="F59" s="227">
        <f t="shared" si="15"/>
        <v>0.13</v>
      </c>
      <c r="G59" s="226">
        <v>2664</v>
      </c>
      <c r="H59" s="219">
        <f t="shared" si="16"/>
        <v>11828</v>
      </c>
      <c r="I59" s="219">
        <f t="shared" si="17"/>
        <v>346</v>
      </c>
      <c r="K59" s="341"/>
      <c r="L59" s="340">
        <v>1.77</v>
      </c>
      <c r="M59" s="340">
        <v>2.67</v>
      </c>
    </row>
    <row r="60" spans="1:13" x14ac:dyDescent="0.25">
      <c r="A60" s="250">
        <f t="shared" si="0"/>
        <v>51</v>
      </c>
      <c r="B60" s="229" t="str">
        <f t="shared" ref="B60:C62" si="18">+B59</f>
        <v xml:space="preserve">52E </v>
      </c>
      <c r="C60" s="228" t="str">
        <f t="shared" si="18"/>
        <v>Metal Halide</v>
      </c>
      <c r="D60" s="228">
        <v>250</v>
      </c>
      <c r="E60" s="248">
        <f t="shared" si="14"/>
        <v>6.34</v>
      </c>
      <c r="F60" s="227">
        <f t="shared" si="15"/>
        <v>0.18</v>
      </c>
      <c r="G60" s="226">
        <v>732</v>
      </c>
      <c r="H60" s="219">
        <f t="shared" si="16"/>
        <v>4641</v>
      </c>
      <c r="I60" s="219">
        <f t="shared" si="17"/>
        <v>132</v>
      </c>
      <c r="K60" s="341"/>
      <c r="L60" s="340">
        <v>2.52</v>
      </c>
      <c r="M60" s="340">
        <v>3.82</v>
      </c>
    </row>
    <row r="61" spans="1:13" x14ac:dyDescent="0.25">
      <c r="A61" s="250">
        <f t="shared" si="0"/>
        <v>52</v>
      </c>
      <c r="B61" s="229" t="str">
        <f t="shared" si="18"/>
        <v xml:space="preserve">52E </v>
      </c>
      <c r="C61" s="228" t="str">
        <f t="shared" si="18"/>
        <v>Metal Halide</v>
      </c>
      <c r="D61" s="228">
        <v>400</v>
      </c>
      <c r="E61" s="248">
        <f t="shared" si="14"/>
        <v>10.15</v>
      </c>
      <c r="F61" s="227">
        <f t="shared" si="15"/>
        <v>0.3</v>
      </c>
      <c r="G61" s="226">
        <v>684</v>
      </c>
      <c r="H61" s="219">
        <f t="shared" si="16"/>
        <v>6943</v>
      </c>
      <c r="I61" s="219">
        <f t="shared" si="17"/>
        <v>205</v>
      </c>
      <c r="K61" s="341"/>
      <c r="L61" s="340">
        <v>4.04</v>
      </c>
      <c r="M61" s="340">
        <v>6.11</v>
      </c>
    </row>
    <row r="62" spans="1:13" x14ac:dyDescent="0.25">
      <c r="A62" s="250">
        <f t="shared" si="0"/>
        <v>53</v>
      </c>
      <c r="B62" s="229" t="str">
        <f t="shared" si="18"/>
        <v xml:space="preserve">52E </v>
      </c>
      <c r="C62" s="228" t="str">
        <f t="shared" si="18"/>
        <v>Metal Halide</v>
      </c>
      <c r="D62" s="228">
        <v>1000</v>
      </c>
      <c r="E62" s="248">
        <f t="shared" si="14"/>
        <v>25.36</v>
      </c>
      <c r="F62" s="227">
        <f t="shared" si="15"/>
        <v>0.74</v>
      </c>
      <c r="G62" s="226">
        <v>216</v>
      </c>
      <c r="H62" s="219">
        <f t="shared" si="16"/>
        <v>5478</v>
      </c>
      <c r="I62" s="219">
        <f t="shared" si="17"/>
        <v>160</v>
      </c>
      <c r="K62" s="341"/>
      <c r="L62" s="340">
        <v>10.09</v>
      </c>
      <c r="M62" s="340">
        <v>15.27</v>
      </c>
    </row>
    <row r="63" spans="1:13" x14ac:dyDescent="0.25">
      <c r="A63" s="250">
        <f t="shared" si="0"/>
        <v>54</v>
      </c>
      <c r="B63" s="234"/>
      <c r="C63" s="221"/>
      <c r="D63" s="221"/>
      <c r="E63" s="248"/>
      <c r="F63" s="230"/>
      <c r="G63" s="226"/>
      <c r="H63" s="226"/>
      <c r="I63" s="226"/>
      <c r="K63" s="341"/>
      <c r="L63" s="340"/>
      <c r="M63" s="340"/>
    </row>
    <row r="64" spans="1:13" x14ac:dyDescent="0.25">
      <c r="A64" s="250">
        <f t="shared" si="0"/>
        <v>55</v>
      </c>
      <c r="B64" s="234" t="s">
        <v>314</v>
      </c>
      <c r="C64" s="221"/>
      <c r="D64" s="221"/>
      <c r="E64" s="248"/>
      <c r="F64" s="230"/>
      <c r="G64" s="226"/>
      <c r="H64" s="226"/>
      <c r="I64" s="226"/>
      <c r="K64" s="341"/>
      <c r="L64" s="340"/>
      <c r="M64" s="340"/>
    </row>
    <row r="65" spans="1:13" x14ac:dyDescent="0.25">
      <c r="A65" s="250">
        <f t="shared" si="0"/>
        <v>56</v>
      </c>
      <c r="B65" s="229" t="s">
        <v>313</v>
      </c>
      <c r="C65" s="228" t="s">
        <v>13</v>
      </c>
      <c r="D65" s="228">
        <v>50</v>
      </c>
      <c r="E65" s="248">
        <f t="shared" ref="E65:E73" si="19">SUM(L65:M65)</f>
        <v>1.26</v>
      </c>
      <c r="F65" s="227">
        <f t="shared" ref="F65:F73" si="20">ROUND(+E65*$J$10,2)</f>
        <v>0.04</v>
      </c>
      <c r="G65" s="226">
        <v>0</v>
      </c>
      <c r="H65" s="219">
        <f t="shared" ref="H65:H73" si="21">ROUND($G65*E65,0)</f>
        <v>0</v>
      </c>
      <c r="I65" s="219">
        <f t="shared" ref="I65:I73" si="22">ROUND($G65*F65,0)</f>
        <v>0</v>
      </c>
      <c r="K65" s="341"/>
      <c r="L65" s="340">
        <v>0.5</v>
      </c>
      <c r="M65" s="340">
        <v>0.76</v>
      </c>
    </row>
    <row r="66" spans="1:13" x14ac:dyDescent="0.25">
      <c r="A66" s="250">
        <f t="shared" si="0"/>
        <v>57</v>
      </c>
      <c r="B66" s="229" t="str">
        <f t="shared" ref="B66:B73" si="23">+B65</f>
        <v>53E - Company Owned</v>
      </c>
      <c r="C66" s="228" t="s">
        <v>13</v>
      </c>
      <c r="D66" s="228">
        <v>70</v>
      </c>
      <c r="E66" s="248">
        <f t="shared" si="19"/>
        <v>1.78</v>
      </c>
      <c r="F66" s="227">
        <f t="shared" si="20"/>
        <v>0.05</v>
      </c>
      <c r="G66" s="226">
        <v>56771</v>
      </c>
      <c r="H66" s="219">
        <f t="shared" si="21"/>
        <v>101052</v>
      </c>
      <c r="I66" s="219">
        <f t="shared" si="22"/>
        <v>2839</v>
      </c>
      <c r="K66" s="341"/>
      <c r="L66" s="340">
        <v>0.71</v>
      </c>
      <c r="M66" s="340">
        <v>1.07</v>
      </c>
    </row>
    <row r="67" spans="1:13" x14ac:dyDescent="0.25">
      <c r="A67" s="250">
        <f t="shared" si="0"/>
        <v>58</v>
      </c>
      <c r="B67" s="229" t="str">
        <f t="shared" si="23"/>
        <v>53E - Company Owned</v>
      </c>
      <c r="C67" s="228" t="s">
        <v>13</v>
      </c>
      <c r="D67" s="228">
        <v>100</v>
      </c>
      <c r="E67" s="248">
        <f t="shared" si="19"/>
        <v>2.54</v>
      </c>
      <c r="F67" s="227">
        <f t="shared" si="20"/>
        <v>7.0000000000000007E-2</v>
      </c>
      <c r="G67" s="226">
        <v>393665</v>
      </c>
      <c r="H67" s="219">
        <f t="shared" si="21"/>
        <v>999909</v>
      </c>
      <c r="I67" s="219">
        <f t="shared" si="22"/>
        <v>27557</v>
      </c>
      <c r="K67" s="341"/>
      <c r="L67" s="340">
        <v>1.01</v>
      </c>
      <c r="M67" s="340">
        <v>1.53</v>
      </c>
    </row>
    <row r="68" spans="1:13" x14ac:dyDescent="0.25">
      <c r="A68" s="250">
        <f t="shared" si="0"/>
        <v>59</v>
      </c>
      <c r="B68" s="229" t="str">
        <f t="shared" si="23"/>
        <v>53E - Company Owned</v>
      </c>
      <c r="C68" s="228" t="s">
        <v>13</v>
      </c>
      <c r="D68" s="228">
        <v>150</v>
      </c>
      <c r="E68" s="248">
        <f t="shared" si="19"/>
        <v>3.8</v>
      </c>
      <c r="F68" s="227">
        <f t="shared" si="20"/>
        <v>0.11</v>
      </c>
      <c r="G68" s="226">
        <v>47113</v>
      </c>
      <c r="H68" s="219">
        <f t="shared" si="21"/>
        <v>179029</v>
      </c>
      <c r="I68" s="219">
        <f t="shared" si="22"/>
        <v>5182</v>
      </c>
      <c r="K68" s="341"/>
      <c r="L68" s="340">
        <v>1.51</v>
      </c>
      <c r="M68" s="340">
        <v>2.29</v>
      </c>
    </row>
    <row r="69" spans="1:13" x14ac:dyDescent="0.25">
      <c r="A69" s="250">
        <f t="shared" si="0"/>
        <v>60</v>
      </c>
      <c r="B69" s="229" t="str">
        <f t="shared" si="23"/>
        <v>53E - Company Owned</v>
      </c>
      <c r="C69" s="228" t="s">
        <v>13</v>
      </c>
      <c r="D69" s="228">
        <v>200</v>
      </c>
      <c r="E69" s="248">
        <f t="shared" si="19"/>
        <v>5.07</v>
      </c>
      <c r="F69" s="227">
        <f t="shared" si="20"/>
        <v>0.15</v>
      </c>
      <c r="G69" s="226">
        <v>61824</v>
      </c>
      <c r="H69" s="219">
        <f t="shared" si="21"/>
        <v>313448</v>
      </c>
      <c r="I69" s="219">
        <f t="shared" si="22"/>
        <v>9274</v>
      </c>
      <c r="K69" s="341"/>
      <c r="L69" s="340">
        <v>2.02</v>
      </c>
      <c r="M69" s="340">
        <v>3.05</v>
      </c>
    </row>
    <row r="70" spans="1:13" x14ac:dyDescent="0.25">
      <c r="A70" s="250">
        <f t="shared" si="0"/>
        <v>61</v>
      </c>
      <c r="B70" s="229" t="str">
        <f t="shared" si="23"/>
        <v>53E - Company Owned</v>
      </c>
      <c r="C70" s="228" t="s">
        <v>13</v>
      </c>
      <c r="D70" s="228">
        <v>250</v>
      </c>
      <c r="E70" s="248">
        <f t="shared" si="19"/>
        <v>6.34</v>
      </c>
      <c r="F70" s="227">
        <f t="shared" si="20"/>
        <v>0.18</v>
      </c>
      <c r="G70" s="226">
        <v>21106</v>
      </c>
      <c r="H70" s="219">
        <f t="shared" si="21"/>
        <v>133812</v>
      </c>
      <c r="I70" s="219">
        <f t="shared" si="22"/>
        <v>3799</v>
      </c>
      <c r="K70" s="341"/>
      <c r="L70" s="340">
        <v>2.52</v>
      </c>
      <c r="M70" s="340">
        <v>3.82</v>
      </c>
    </row>
    <row r="71" spans="1:13" x14ac:dyDescent="0.25">
      <c r="A71" s="250">
        <f t="shared" si="0"/>
        <v>62</v>
      </c>
      <c r="B71" s="229" t="str">
        <f t="shared" si="23"/>
        <v>53E - Company Owned</v>
      </c>
      <c r="C71" s="228" t="s">
        <v>13</v>
      </c>
      <c r="D71" s="228">
        <v>310</v>
      </c>
      <c r="E71" s="248">
        <f t="shared" si="19"/>
        <v>7.86</v>
      </c>
      <c r="F71" s="227">
        <f t="shared" si="20"/>
        <v>0.23</v>
      </c>
      <c r="G71" s="226">
        <v>209</v>
      </c>
      <c r="H71" s="219">
        <f t="shared" si="21"/>
        <v>1643</v>
      </c>
      <c r="I71" s="219">
        <f t="shared" si="22"/>
        <v>48</v>
      </c>
      <c r="K71" s="341"/>
      <c r="L71" s="340">
        <v>3.13</v>
      </c>
      <c r="M71" s="340">
        <v>4.7300000000000004</v>
      </c>
    </row>
    <row r="72" spans="1:13" x14ac:dyDescent="0.25">
      <c r="A72" s="250">
        <f t="shared" si="0"/>
        <v>63</v>
      </c>
      <c r="B72" s="229" t="str">
        <f t="shared" si="23"/>
        <v>53E - Company Owned</v>
      </c>
      <c r="C72" s="228" t="s">
        <v>13</v>
      </c>
      <c r="D72" s="228">
        <v>400</v>
      </c>
      <c r="E72" s="248">
        <f t="shared" si="19"/>
        <v>10.15</v>
      </c>
      <c r="F72" s="227">
        <f t="shared" si="20"/>
        <v>0.3</v>
      </c>
      <c r="G72" s="226">
        <v>12219</v>
      </c>
      <c r="H72" s="219">
        <f t="shared" si="21"/>
        <v>124023</v>
      </c>
      <c r="I72" s="219">
        <f t="shared" si="22"/>
        <v>3666</v>
      </c>
      <c r="K72" s="341"/>
      <c r="L72" s="340">
        <v>4.04</v>
      </c>
      <c r="M72" s="340">
        <v>6.11</v>
      </c>
    </row>
    <row r="73" spans="1:13" x14ac:dyDescent="0.25">
      <c r="A73" s="250">
        <f t="shared" si="0"/>
        <v>64</v>
      </c>
      <c r="B73" s="229" t="str">
        <f t="shared" si="23"/>
        <v>53E - Company Owned</v>
      </c>
      <c r="C73" s="228" t="s">
        <v>13</v>
      </c>
      <c r="D73" s="228">
        <v>1000</v>
      </c>
      <c r="E73" s="248">
        <f t="shared" si="19"/>
        <v>25.36</v>
      </c>
      <c r="F73" s="227">
        <f t="shared" si="20"/>
        <v>0.74</v>
      </c>
      <c r="G73" s="226">
        <v>0</v>
      </c>
      <c r="H73" s="219">
        <f t="shared" si="21"/>
        <v>0</v>
      </c>
      <c r="I73" s="219">
        <f t="shared" si="22"/>
        <v>0</v>
      </c>
      <c r="K73" s="341"/>
      <c r="L73" s="340">
        <v>10.09</v>
      </c>
      <c r="M73" s="340">
        <v>15.27</v>
      </c>
    </row>
    <row r="74" spans="1:13" x14ac:dyDescent="0.25">
      <c r="A74" s="250">
        <f t="shared" si="0"/>
        <v>65</v>
      </c>
      <c r="B74" s="229"/>
      <c r="C74" s="228"/>
      <c r="D74" s="228"/>
      <c r="E74" s="248"/>
      <c r="F74" s="230"/>
      <c r="G74" s="226"/>
      <c r="H74" s="226"/>
      <c r="I74" s="226"/>
      <c r="K74" s="341"/>
      <c r="L74" s="340"/>
      <c r="M74" s="340"/>
    </row>
    <row r="75" spans="1:13" x14ac:dyDescent="0.25">
      <c r="A75" s="250">
        <f t="shared" si="0"/>
        <v>66</v>
      </c>
      <c r="B75" s="229" t="str">
        <f>+B73</f>
        <v>53E - Company Owned</v>
      </c>
      <c r="C75" s="228" t="s">
        <v>304</v>
      </c>
      <c r="D75" s="228">
        <v>70</v>
      </c>
      <c r="E75" s="248">
        <f t="shared" ref="E75:E79" si="24">SUM(L75:M75)</f>
        <v>1.78</v>
      </c>
      <c r="F75" s="227">
        <f>ROUND(+E75*$J$10,2)</f>
        <v>0.05</v>
      </c>
      <c r="G75" s="226">
        <v>0</v>
      </c>
      <c r="H75" s="219">
        <f t="shared" ref="H75:H79" si="25">ROUND($G75*E75,0)</f>
        <v>0</v>
      </c>
      <c r="I75" s="219">
        <f t="shared" ref="I75:I79" si="26">ROUND($G75*F75,0)</f>
        <v>0</v>
      </c>
      <c r="K75" s="341"/>
      <c r="L75" s="340">
        <v>0.71</v>
      </c>
      <c r="M75" s="340">
        <v>1.07</v>
      </c>
    </row>
    <row r="76" spans="1:13" x14ac:dyDescent="0.25">
      <c r="A76" s="250">
        <f t="shared" ref="A76:A139" si="27">+A75+1</f>
        <v>67</v>
      </c>
      <c r="B76" s="229" t="str">
        <f>+B75</f>
        <v>53E - Company Owned</v>
      </c>
      <c r="C76" s="228" t="s">
        <v>304</v>
      </c>
      <c r="D76" s="228">
        <v>100</v>
      </c>
      <c r="E76" s="248">
        <f t="shared" si="24"/>
        <v>2.54</v>
      </c>
      <c r="F76" s="227">
        <f>ROUND(+E76*$J$10,2)</f>
        <v>7.0000000000000007E-2</v>
      </c>
      <c r="G76" s="226">
        <v>0</v>
      </c>
      <c r="H76" s="219">
        <f t="shared" si="25"/>
        <v>0</v>
      </c>
      <c r="I76" s="219">
        <f t="shared" si="26"/>
        <v>0</v>
      </c>
      <c r="K76" s="341"/>
      <c r="L76" s="340">
        <v>1.01</v>
      </c>
      <c r="M76" s="340">
        <v>1.53</v>
      </c>
    </row>
    <row r="77" spans="1:13" x14ac:dyDescent="0.25">
      <c r="A77" s="250">
        <f t="shared" si="27"/>
        <v>68</v>
      </c>
      <c r="B77" s="229" t="str">
        <f>+B76</f>
        <v>53E - Company Owned</v>
      </c>
      <c r="C77" s="228" t="s">
        <v>304</v>
      </c>
      <c r="D77" s="228">
        <v>150</v>
      </c>
      <c r="E77" s="248">
        <f t="shared" si="24"/>
        <v>3.8</v>
      </c>
      <c r="F77" s="227">
        <f>ROUND(+E77*$J$10,2)</f>
        <v>0.11</v>
      </c>
      <c r="G77" s="226">
        <v>0</v>
      </c>
      <c r="H77" s="219">
        <f t="shared" si="25"/>
        <v>0</v>
      </c>
      <c r="I77" s="219">
        <f t="shared" si="26"/>
        <v>0</v>
      </c>
      <c r="K77" s="341"/>
      <c r="L77" s="340">
        <v>1.51</v>
      </c>
      <c r="M77" s="340">
        <v>2.29</v>
      </c>
    </row>
    <row r="78" spans="1:13" x14ac:dyDescent="0.25">
      <c r="A78" s="250">
        <f t="shared" si="27"/>
        <v>69</v>
      </c>
      <c r="B78" s="229" t="str">
        <f>B77</f>
        <v>53E - Company Owned</v>
      </c>
      <c r="C78" s="228" t="s">
        <v>304</v>
      </c>
      <c r="D78" s="228">
        <v>250</v>
      </c>
      <c r="E78" s="248">
        <f t="shared" si="24"/>
        <v>6.34</v>
      </c>
      <c r="F78" s="227">
        <f>ROUND(+E78*$J$10,2)</f>
        <v>0.18</v>
      </c>
      <c r="G78" s="226">
        <v>0</v>
      </c>
      <c r="H78" s="219">
        <f t="shared" si="25"/>
        <v>0</v>
      </c>
      <c r="I78" s="219">
        <f t="shared" si="26"/>
        <v>0</v>
      </c>
      <c r="K78" s="341"/>
      <c r="L78" s="340">
        <v>2.52</v>
      </c>
      <c r="M78" s="340">
        <v>3.82</v>
      </c>
    </row>
    <row r="79" spans="1:13" x14ac:dyDescent="0.25">
      <c r="A79" s="250">
        <f t="shared" si="27"/>
        <v>70</v>
      </c>
      <c r="B79" s="229" t="str">
        <f>B78</f>
        <v>53E - Company Owned</v>
      </c>
      <c r="C79" s="228" t="s">
        <v>304</v>
      </c>
      <c r="D79" s="228">
        <v>400</v>
      </c>
      <c r="E79" s="248">
        <f t="shared" si="24"/>
        <v>10.15</v>
      </c>
      <c r="F79" s="227">
        <f>ROUND(+E79*$J$10,2)</f>
        <v>0.3</v>
      </c>
      <c r="G79" s="226">
        <v>0</v>
      </c>
      <c r="H79" s="219">
        <f t="shared" si="25"/>
        <v>0</v>
      </c>
      <c r="I79" s="219">
        <f t="shared" si="26"/>
        <v>0</v>
      </c>
      <c r="K79" s="341"/>
      <c r="L79" s="340">
        <v>4.04</v>
      </c>
      <c r="M79" s="340">
        <v>6.11</v>
      </c>
    </row>
    <row r="80" spans="1:13" x14ac:dyDescent="0.25">
      <c r="A80" s="250">
        <f t="shared" si="27"/>
        <v>71</v>
      </c>
      <c r="B80" s="229"/>
      <c r="C80" s="228"/>
      <c r="D80" s="228"/>
      <c r="E80" s="248"/>
      <c r="F80" s="230"/>
      <c r="G80" s="226"/>
      <c r="H80" s="226"/>
      <c r="I80" s="226"/>
      <c r="K80" s="341"/>
      <c r="L80" s="340"/>
      <c r="M80" s="340"/>
    </row>
    <row r="81" spans="1:13" x14ac:dyDescent="0.25">
      <c r="A81" s="250">
        <f t="shared" si="27"/>
        <v>72</v>
      </c>
      <c r="B81" s="229" t="str">
        <f>+B79</f>
        <v>53E - Company Owned</v>
      </c>
      <c r="C81" s="228" t="s">
        <v>288</v>
      </c>
      <c r="D81" s="232" t="s">
        <v>302</v>
      </c>
      <c r="E81" s="248">
        <f t="shared" ref="E81:E89" si="28">SUM(L81:M81)</f>
        <v>1.1399999999999999</v>
      </c>
      <c r="F81" s="227">
        <f t="shared" ref="F81:F89" si="29">ROUND(+E81*$J$10,2)</f>
        <v>0.03</v>
      </c>
      <c r="G81" s="226">
        <v>205160</v>
      </c>
      <c r="H81" s="219">
        <f t="shared" ref="H81:H89" si="30">ROUND($G81*E81,0)</f>
        <v>233882</v>
      </c>
      <c r="I81" s="219">
        <f t="shared" ref="I81:I89" si="31">ROUND($G81*F81,0)</f>
        <v>6155</v>
      </c>
      <c r="K81" s="341"/>
      <c r="L81" s="340">
        <v>0.45</v>
      </c>
      <c r="M81" s="340">
        <v>0.69</v>
      </c>
    </row>
    <row r="82" spans="1:13" x14ac:dyDescent="0.25">
      <c r="A82" s="250">
        <f t="shared" si="27"/>
        <v>73</v>
      </c>
      <c r="B82" s="229" t="str">
        <f t="shared" ref="B82:B89" si="32">B81</f>
        <v>53E - Company Owned</v>
      </c>
      <c r="C82" s="228" t="s">
        <v>288</v>
      </c>
      <c r="D82" s="232" t="s">
        <v>301</v>
      </c>
      <c r="E82" s="248">
        <f t="shared" si="28"/>
        <v>1.91</v>
      </c>
      <c r="F82" s="227">
        <f t="shared" si="29"/>
        <v>0.06</v>
      </c>
      <c r="G82" s="226">
        <v>240</v>
      </c>
      <c r="H82" s="219">
        <f t="shared" si="30"/>
        <v>458</v>
      </c>
      <c r="I82" s="219">
        <f t="shared" si="31"/>
        <v>14</v>
      </c>
      <c r="K82" s="341"/>
      <c r="L82" s="340">
        <v>0.76</v>
      </c>
      <c r="M82" s="340">
        <v>1.1499999999999999</v>
      </c>
    </row>
    <row r="83" spans="1:13" x14ac:dyDescent="0.25">
      <c r="A83" s="250">
        <f t="shared" si="27"/>
        <v>74</v>
      </c>
      <c r="B83" s="229" t="str">
        <f t="shared" si="32"/>
        <v>53E - Company Owned</v>
      </c>
      <c r="C83" s="228" t="s">
        <v>288</v>
      </c>
      <c r="D83" s="232" t="s">
        <v>300</v>
      </c>
      <c r="E83" s="248">
        <f t="shared" si="28"/>
        <v>2.66</v>
      </c>
      <c r="F83" s="227">
        <f t="shared" si="29"/>
        <v>0.08</v>
      </c>
      <c r="G83" s="226">
        <v>22511</v>
      </c>
      <c r="H83" s="219">
        <f t="shared" si="30"/>
        <v>59879</v>
      </c>
      <c r="I83" s="219">
        <f t="shared" si="31"/>
        <v>1801</v>
      </c>
      <c r="K83" s="341"/>
      <c r="L83" s="340">
        <v>1.06</v>
      </c>
      <c r="M83" s="340">
        <v>1.6</v>
      </c>
    </row>
    <row r="84" spans="1:13" x14ac:dyDescent="0.25">
      <c r="A84" s="250">
        <f t="shared" si="27"/>
        <v>75</v>
      </c>
      <c r="B84" s="229" t="str">
        <f t="shared" si="32"/>
        <v>53E - Company Owned</v>
      </c>
      <c r="C84" s="228" t="s">
        <v>288</v>
      </c>
      <c r="D84" s="232" t="s">
        <v>299</v>
      </c>
      <c r="E84" s="248">
        <f t="shared" si="28"/>
        <v>3.42</v>
      </c>
      <c r="F84" s="227">
        <f t="shared" si="29"/>
        <v>0.1</v>
      </c>
      <c r="G84" s="226">
        <v>20478</v>
      </c>
      <c r="H84" s="219">
        <f t="shared" si="30"/>
        <v>70035</v>
      </c>
      <c r="I84" s="219">
        <f t="shared" si="31"/>
        <v>2048</v>
      </c>
      <c r="K84" s="341"/>
      <c r="L84" s="340">
        <v>1.36</v>
      </c>
      <c r="M84" s="340">
        <v>2.06</v>
      </c>
    </row>
    <row r="85" spans="1:13" x14ac:dyDescent="0.25">
      <c r="A85" s="250">
        <f t="shared" si="27"/>
        <v>76</v>
      </c>
      <c r="B85" s="229" t="str">
        <f t="shared" si="32"/>
        <v>53E - Company Owned</v>
      </c>
      <c r="C85" s="228" t="s">
        <v>288</v>
      </c>
      <c r="D85" s="232" t="s">
        <v>298</v>
      </c>
      <c r="E85" s="248">
        <f t="shared" si="28"/>
        <v>4.1899999999999995</v>
      </c>
      <c r="F85" s="227">
        <f t="shared" si="29"/>
        <v>0.12</v>
      </c>
      <c r="G85" s="226">
        <v>870</v>
      </c>
      <c r="H85" s="219">
        <f t="shared" si="30"/>
        <v>3645</v>
      </c>
      <c r="I85" s="219">
        <f t="shared" si="31"/>
        <v>104</v>
      </c>
      <c r="K85" s="341"/>
      <c r="L85" s="340">
        <v>1.67</v>
      </c>
      <c r="M85" s="340">
        <v>2.52</v>
      </c>
    </row>
    <row r="86" spans="1:13" x14ac:dyDescent="0.25">
      <c r="A86" s="250">
        <f t="shared" si="27"/>
        <v>77</v>
      </c>
      <c r="B86" s="229" t="str">
        <f t="shared" si="32"/>
        <v>53E - Company Owned</v>
      </c>
      <c r="C86" s="228" t="s">
        <v>288</v>
      </c>
      <c r="D86" s="232" t="s">
        <v>297</v>
      </c>
      <c r="E86" s="248">
        <f t="shared" si="28"/>
        <v>4.95</v>
      </c>
      <c r="F86" s="227">
        <f t="shared" si="29"/>
        <v>0.14000000000000001</v>
      </c>
      <c r="G86" s="226">
        <v>4597</v>
      </c>
      <c r="H86" s="219">
        <f t="shared" si="30"/>
        <v>22755</v>
      </c>
      <c r="I86" s="219">
        <f t="shared" si="31"/>
        <v>644</v>
      </c>
      <c r="K86" s="341"/>
      <c r="L86" s="340">
        <v>1.97</v>
      </c>
      <c r="M86" s="340">
        <v>2.98</v>
      </c>
    </row>
    <row r="87" spans="1:13" x14ac:dyDescent="0.25">
      <c r="A87" s="250">
        <f t="shared" si="27"/>
        <v>78</v>
      </c>
      <c r="B87" s="229" t="str">
        <f t="shared" si="32"/>
        <v>53E - Company Owned</v>
      </c>
      <c r="C87" s="228" t="s">
        <v>288</v>
      </c>
      <c r="D87" s="232" t="s">
        <v>296</v>
      </c>
      <c r="E87" s="248">
        <f t="shared" si="28"/>
        <v>5.71</v>
      </c>
      <c r="F87" s="227">
        <f t="shared" si="29"/>
        <v>0.17</v>
      </c>
      <c r="G87" s="226">
        <v>0</v>
      </c>
      <c r="H87" s="219">
        <f t="shared" si="30"/>
        <v>0</v>
      </c>
      <c r="I87" s="219">
        <f t="shared" si="31"/>
        <v>0</v>
      </c>
      <c r="K87" s="341"/>
      <c r="L87" s="340">
        <v>2.27</v>
      </c>
      <c r="M87" s="340">
        <v>3.44</v>
      </c>
    </row>
    <row r="88" spans="1:13" x14ac:dyDescent="0.25">
      <c r="A88" s="250">
        <f t="shared" si="27"/>
        <v>79</v>
      </c>
      <c r="B88" s="229" t="str">
        <f t="shared" si="32"/>
        <v>53E - Company Owned</v>
      </c>
      <c r="C88" s="228" t="s">
        <v>288</v>
      </c>
      <c r="D88" s="232" t="s">
        <v>295</v>
      </c>
      <c r="E88" s="248">
        <f t="shared" si="28"/>
        <v>6.46</v>
      </c>
      <c r="F88" s="227">
        <f t="shared" si="29"/>
        <v>0.19</v>
      </c>
      <c r="G88" s="226">
        <v>0</v>
      </c>
      <c r="H88" s="219">
        <f t="shared" si="30"/>
        <v>0</v>
      </c>
      <c r="I88" s="219">
        <f t="shared" si="31"/>
        <v>0</v>
      </c>
      <c r="K88" s="341"/>
      <c r="L88" s="340">
        <v>2.57</v>
      </c>
      <c r="M88" s="340">
        <v>3.89</v>
      </c>
    </row>
    <row r="89" spans="1:13" x14ac:dyDescent="0.25">
      <c r="A89" s="250">
        <f t="shared" si="27"/>
        <v>80</v>
      </c>
      <c r="B89" s="229" t="str">
        <f t="shared" si="32"/>
        <v>53E - Company Owned</v>
      </c>
      <c r="C89" s="228" t="s">
        <v>288</v>
      </c>
      <c r="D89" s="232" t="s">
        <v>294</v>
      </c>
      <c r="E89" s="248">
        <f t="shared" si="28"/>
        <v>7.2299999999999995</v>
      </c>
      <c r="F89" s="227">
        <f t="shared" si="29"/>
        <v>0.21</v>
      </c>
      <c r="G89" s="226">
        <v>0</v>
      </c>
      <c r="H89" s="219">
        <f t="shared" si="30"/>
        <v>0</v>
      </c>
      <c r="I89" s="219">
        <f t="shared" si="31"/>
        <v>0</v>
      </c>
      <c r="K89" s="341"/>
      <c r="L89" s="340">
        <v>2.88</v>
      </c>
      <c r="M89" s="340">
        <v>4.3499999999999996</v>
      </c>
    </row>
    <row r="90" spans="1:13" x14ac:dyDescent="0.25">
      <c r="A90" s="250">
        <f t="shared" si="27"/>
        <v>81</v>
      </c>
      <c r="B90" s="229"/>
      <c r="C90" s="228"/>
      <c r="D90" s="228"/>
      <c r="E90" s="248"/>
      <c r="F90" s="230"/>
      <c r="G90" s="226"/>
      <c r="H90" s="226"/>
      <c r="I90" s="226"/>
      <c r="K90" s="341"/>
      <c r="L90" s="340"/>
      <c r="M90" s="340"/>
    </row>
    <row r="91" spans="1:13" x14ac:dyDescent="0.25">
      <c r="A91" s="250">
        <f t="shared" si="27"/>
        <v>82</v>
      </c>
      <c r="B91" s="229" t="s">
        <v>312</v>
      </c>
      <c r="C91" s="228" t="s">
        <v>13</v>
      </c>
      <c r="D91" s="228">
        <v>50</v>
      </c>
      <c r="E91" s="248">
        <f t="shared" ref="E91:E99" si="33">SUM(L91:M91)</f>
        <v>1.26</v>
      </c>
      <c r="F91" s="227">
        <f t="shared" ref="F91:F99" si="34">ROUND(+E91*$J$10,2)</f>
        <v>0.04</v>
      </c>
      <c r="G91" s="226">
        <v>0</v>
      </c>
      <c r="H91" s="219">
        <f t="shared" ref="H91:H99" si="35">ROUND($G91*E91,0)</f>
        <v>0</v>
      </c>
      <c r="I91" s="219">
        <f t="shared" ref="I91:I99" si="36">ROUND($G91*F91,0)</f>
        <v>0</v>
      </c>
      <c r="K91" s="341"/>
      <c r="L91" s="340">
        <v>0.5</v>
      </c>
      <c r="M91" s="340">
        <v>0.76</v>
      </c>
    </row>
    <row r="92" spans="1:13" x14ac:dyDescent="0.25">
      <c r="A92" s="250">
        <f t="shared" si="27"/>
        <v>83</v>
      </c>
      <c r="B92" s="229" t="str">
        <f t="shared" ref="B92:B99" si="37">+B91</f>
        <v>53E - Customer Owned</v>
      </c>
      <c r="C92" s="228" t="s">
        <v>13</v>
      </c>
      <c r="D92" s="228">
        <v>70</v>
      </c>
      <c r="E92" s="248">
        <f t="shared" si="33"/>
        <v>1.78</v>
      </c>
      <c r="F92" s="227">
        <f t="shared" si="34"/>
        <v>0.05</v>
      </c>
      <c r="G92" s="226">
        <v>686</v>
      </c>
      <c r="H92" s="219">
        <f t="shared" si="35"/>
        <v>1221</v>
      </c>
      <c r="I92" s="219">
        <f t="shared" si="36"/>
        <v>34</v>
      </c>
      <c r="K92" s="341"/>
      <c r="L92" s="340">
        <v>0.71</v>
      </c>
      <c r="M92" s="340">
        <v>1.07</v>
      </c>
    </row>
    <row r="93" spans="1:13" x14ac:dyDescent="0.25">
      <c r="A93" s="250">
        <f t="shared" si="27"/>
        <v>84</v>
      </c>
      <c r="B93" s="229" t="str">
        <f t="shared" si="37"/>
        <v>53E - Customer Owned</v>
      </c>
      <c r="C93" s="228" t="s">
        <v>13</v>
      </c>
      <c r="D93" s="228">
        <v>100</v>
      </c>
      <c r="E93" s="248">
        <f t="shared" si="33"/>
        <v>2.54</v>
      </c>
      <c r="F93" s="227">
        <f t="shared" si="34"/>
        <v>7.0000000000000007E-2</v>
      </c>
      <c r="G93" s="226">
        <v>3215</v>
      </c>
      <c r="H93" s="219">
        <f t="shared" si="35"/>
        <v>8166</v>
      </c>
      <c r="I93" s="219">
        <f t="shared" si="36"/>
        <v>225</v>
      </c>
      <c r="K93" s="341"/>
      <c r="L93" s="340">
        <v>1.01</v>
      </c>
      <c r="M93" s="340">
        <v>1.53</v>
      </c>
    </row>
    <row r="94" spans="1:13" x14ac:dyDescent="0.25">
      <c r="A94" s="250">
        <f t="shared" si="27"/>
        <v>85</v>
      </c>
      <c r="B94" s="229" t="str">
        <f t="shared" si="37"/>
        <v>53E - Customer Owned</v>
      </c>
      <c r="C94" s="228" t="s">
        <v>13</v>
      </c>
      <c r="D94" s="228">
        <v>150</v>
      </c>
      <c r="E94" s="248">
        <f t="shared" si="33"/>
        <v>3.8</v>
      </c>
      <c r="F94" s="227">
        <f t="shared" si="34"/>
        <v>0.11</v>
      </c>
      <c r="G94" s="226">
        <v>1835</v>
      </c>
      <c r="H94" s="219">
        <f t="shared" si="35"/>
        <v>6973</v>
      </c>
      <c r="I94" s="219">
        <f t="shared" si="36"/>
        <v>202</v>
      </c>
      <c r="K94" s="341"/>
      <c r="L94" s="340">
        <v>1.51</v>
      </c>
      <c r="M94" s="340">
        <v>2.29</v>
      </c>
    </row>
    <row r="95" spans="1:13" x14ac:dyDescent="0.25">
      <c r="A95" s="250">
        <f t="shared" si="27"/>
        <v>86</v>
      </c>
      <c r="B95" s="229" t="str">
        <f t="shared" si="37"/>
        <v>53E - Customer Owned</v>
      </c>
      <c r="C95" s="228" t="s">
        <v>13</v>
      </c>
      <c r="D95" s="228">
        <v>200</v>
      </c>
      <c r="E95" s="248">
        <f t="shared" si="33"/>
        <v>5.07</v>
      </c>
      <c r="F95" s="227">
        <f t="shared" si="34"/>
        <v>0.15</v>
      </c>
      <c r="G95" s="226">
        <v>5281</v>
      </c>
      <c r="H95" s="219">
        <f t="shared" si="35"/>
        <v>26775</v>
      </c>
      <c r="I95" s="219">
        <f t="shared" si="36"/>
        <v>792</v>
      </c>
      <c r="K95" s="341"/>
      <c r="L95" s="340">
        <v>2.02</v>
      </c>
      <c r="M95" s="340">
        <v>3.05</v>
      </c>
    </row>
    <row r="96" spans="1:13" x14ac:dyDescent="0.25">
      <c r="A96" s="250">
        <f t="shared" si="27"/>
        <v>87</v>
      </c>
      <c r="B96" s="229" t="str">
        <f t="shared" si="37"/>
        <v>53E - Customer Owned</v>
      </c>
      <c r="C96" s="228" t="s">
        <v>13</v>
      </c>
      <c r="D96" s="228">
        <v>250</v>
      </c>
      <c r="E96" s="248">
        <f t="shared" si="33"/>
        <v>6.34</v>
      </c>
      <c r="F96" s="227">
        <f t="shared" si="34"/>
        <v>0.18</v>
      </c>
      <c r="G96" s="226">
        <v>3550</v>
      </c>
      <c r="H96" s="219">
        <f t="shared" si="35"/>
        <v>22507</v>
      </c>
      <c r="I96" s="219">
        <f t="shared" si="36"/>
        <v>639</v>
      </c>
      <c r="K96" s="341"/>
      <c r="L96" s="340">
        <v>2.52</v>
      </c>
      <c r="M96" s="340">
        <v>3.82</v>
      </c>
    </row>
    <row r="97" spans="1:13" x14ac:dyDescent="0.25">
      <c r="A97" s="250">
        <f t="shared" si="27"/>
        <v>88</v>
      </c>
      <c r="B97" s="229" t="str">
        <f t="shared" si="37"/>
        <v>53E - Customer Owned</v>
      </c>
      <c r="C97" s="228" t="s">
        <v>13</v>
      </c>
      <c r="D97" s="228">
        <v>310</v>
      </c>
      <c r="E97" s="248">
        <f t="shared" si="33"/>
        <v>7.86</v>
      </c>
      <c r="F97" s="227">
        <f t="shared" si="34"/>
        <v>0.23</v>
      </c>
      <c r="G97" s="226">
        <v>84</v>
      </c>
      <c r="H97" s="219">
        <f t="shared" si="35"/>
        <v>660</v>
      </c>
      <c r="I97" s="219">
        <f t="shared" si="36"/>
        <v>19</v>
      </c>
      <c r="K97" s="341"/>
      <c r="L97" s="340">
        <v>3.13</v>
      </c>
      <c r="M97" s="340">
        <v>4.7300000000000004</v>
      </c>
    </row>
    <row r="98" spans="1:13" x14ac:dyDescent="0.25">
      <c r="A98" s="250">
        <f t="shared" si="27"/>
        <v>89</v>
      </c>
      <c r="B98" s="229" t="str">
        <f t="shared" si="37"/>
        <v>53E - Customer Owned</v>
      </c>
      <c r="C98" s="228" t="s">
        <v>13</v>
      </c>
      <c r="D98" s="228">
        <v>400</v>
      </c>
      <c r="E98" s="248">
        <f t="shared" si="33"/>
        <v>10.15</v>
      </c>
      <c r="F98" s="227">
        <f t="shared" si="34"/>
        <v>0.3</v>
      </c>
      <c r="G98" s="226">
        <v>5499</v>
      </c>
      <c r="H98" s="219">
        <f t="shared" si="35"/>
        <v>55815</v>
      </c>
      <c r="I98" s="219">
        <f t="shared" si="36"/>
        <v>1650</v>
      </c>
      <c r="K98" s="341"/>
      <c r="L98" s="340">
        <v>4.04</v>
      </c>
      <c r="M98" s="340">
        <v>6.11</v>
      </c>
    </row>
    <row r="99" spans="1:13" x14ac:dyDescent="0.25">
      <c r="A99" s="250">
        <f t="shared" si="27"/>
        <v>90</v>
      </c>
      <c r="B99" s="229" t="str">
        <f t="shared" si="37"/>
        <v>53E - Customer Owned</v>
      </c>
      <c r="C99" s="228" t="s">
        <v>13</v>
      </c>
      <c r="D99" s="228">
        <v>1000</v>
      </c>
      <c r="E99" s="248">
        <f t="shared" si="33"/>
        <v>25.36</v>
      </c>
      <c r="F99" s="227">
        <f t="shared" si="34"/>
        <v>0.74</v>
      </c>
      <c r="G99" s="226">
        <v>0</v>
      </c>
      <c r="H99" s="219">
        <f t="shared" si="35"/>
        <v>0</v>
      </c>
      <c r="I99" s="219">
        <f t="shared" si="36"/>
        <v>0</v>
      </c>
      <c r="K99" s="341"/>
      <c r="L99" s="340">
        <v>10.09</v>
      </c>
      <c r="M99" s="340">
        <v>15.27</v>
      </c>
    </row>
    <row r="100" spans="1:13" x14ac:dyDescent="0.25">
      <c r="A100" s="250">
        <f t="shared" si="27"/>
        <v>91</v>
      </c>
      <c r="B100" s="229"/>
      <c r="C100" s="228"/>
      <c r="D100" s="228"/>
      <c r="E100" s="248"/>
      <c r="F100" s="230"/>
      <c r="G100" s="226"/>
      <c r="H100" s="226"/>
      <c r="I100" s="226"/>
      <c r="K100" s="341"/>
      <c r="L100" s="340"/>
      <c r="M100" s="340"/>
    </row>
    <row r="101" spans="1:13" x14ac:dyDescent="0.25">
      <c r="A101" s="250">
        <f t="shared" si="27"/>
        <v>92</v>
      </c>
      <c r="B101" s="229" t="str">
        <f>+B99</f>
        <v>53E - Customer Owned</v>
      </c>
      <c r="C101" s="228" t="s">
        <v>304</v>
      </c>
      <c r="D101" s="228">
        <v>70</v>
      </c>
      <c r="E101" s="248">
        <f t="shared" ref="E101:E106" si="38">SUM(L101:M101)</f>
        <v>1.78</v>
      </c>
      <c r="F101" s="227">
        <f t="shared" ref="F101:F106" si="39">ROUND(+E101*$J$10,2)</f>
        <v>0.05</v>
      </c>
      <c r="G101" s="226">
        <v>0</v>
      </c>
      <c r="H101" s="219">
        <f t="shared" ref="H101:H106" si="40">ROUND($G101*E101,0)</f>
        <v>0</v>
      </c>
      <c r="I101" s="219">
        <f t="shared" ref="I101:I106" si="41">ROUND($G101*F101,0)</f>
        <v>0</v>
      </c>
      <c r="K101" s="341"/>
      <c r="L101" s="340">
        <v>0.71</v>
      </c>
      <c r="M101" s="340">
        <v>1.07</v>
      </c>
    </row>
    <row r="102" spans="1:13" x14ac:dyDescent="0.25">
      <c r="A102" s="250">
        <f t="shared" si="27"/>
        <v>93</v>
      </c>
      <c r="B102" s="229" t="str">
        <f>+B101</f>
        <v>53E - Customer Owned</v>
      </c>
      <c r="C102" s="228" t="s">
        <v>304</v>
      </c>
      <c r="D102" s="228">
        <v>100</v>
      </c>
      <c r="E102" s="248">
        <f t="shared" si="38"/>
        <v>2.54</v>
      </c>
      <c r="F102" s="227">
        <f t="shared" si="39"/>
        <v>7.0000000000000007E-2</v>
      </c>
      <c r="G102" s="226">
        <v>0</v>
      </c>
      <c r="H102" s="219">
        <f t="shared" si="40"/>
        <v>0</v>
      </c>
      <c r="I102" s="219">
        <f t="shared" si="41"/>
        <v>0</v>
      </c>
      <c r="K102" s="341"/>
      <c r="L102" s="340">
        <v>1.01</v>
      </c>
      <c r="M102" s="340">
        <v>1.53</v>
      </c>
    </row>
    <row r="103" spans="1:13" x14ac:dyDescent="0.25">
      <c r="A103" s="250">
        <f t="shared" si="27"/>
        <v>94</v>
      </c>
      <c r="B103" s="229" t="str">
        <f>+B102</f>
        <v>53E - Customer Owned</v>
      </c>
      <c r="C103" s="228" t="s">
        <v>304</v>
      </c>
      <c r="D103" s="228">
        <v>150</v>
      </c>
      <c r="E103" s="248">
        <f t="shared" si="38"/>
        <v>3.8</v>
      </c>
      <c r="F103" s="227">
        <f t="shared" si="39"/>
        <v>0.11</v>
      </c>
      <c r="G103" s="226">
        <v>0</v>
      </c>
      <c r="H103" s="219">
        <f t="shared" si="40"/>
        <v>0</v>
      </c>
      <c r="I103" s="219">
        <f t="shared" si="41"/>
        <v>0</v>
      </c>
      <c r="K103" s="341"/>
      <c r="L103" s="340">
        <v>1.51</v>
      </c>
      <c r="M103" s="340">
        <v>2.29</v>
      </c>
    </row>
    <row r="104" spans="1:13" x14ac:dyDescent="0.25">
      <c r="A104" s="250">
        <f t="shared" si="27"/>
        <v>95</v>
      </c>
      <c r="B104" s="229" t="str">
        <f>+B103</f>
        <v>53E - Customer Owned</v>
      </c>
      <c r="C104" s="228" t="s">
        <v>304</v>
      </c>
      <c r="D104" s="228">
        <v>175</v>
      </c>
      <c r="E104" s="248">
        <f t="shared" si="38"/>
        <v>4.4399999999999995</v>
      </c>
      <c r="F104" s="227">
        <f t="shared" si="39"/>
        <v>0.13</v>
      </c>
      <c r="G104" s="226">
        <v>48</v>
      </c>
      <c r="H104" s="219">
        <f t="shared" si="40"/>
        <v>213</v>
      </c>
      <c r="I104" s="219">
        <f t="shared" si="41"/>
        <v>6</v>
      </c>
      <c r="K104" s="341"/>
      <c r="L104" s="340">
        <v>1.77</v>
      </c>
      <c r="M104" s="340">
        <v>2.67</v>
      </c>
    </row>
    <row r="105" spans="1:13" x14ac:dyDescent="0.25">
      <c r="A105" s="250">
        <f t="shared" si="27"/>
        <v>96</v>
      </c>
      <c r="B105" s="229" t="str">
        <f>+B104</f>
        <v>53E - Customer Owned</v>
      </c>
      <c r="C105" s="228" t="s">
        <v>304</v>
      </c>
      <c r="D105" s="228">
        <v>250</v>
      </c>
      <c r="E105" s="248">
        <f t="shared" si="38"/>
        <v>6.34</v>
      </c>
      <c r="F105" s="227">
        <f t="shared" si="39"/>
        <v>0.18</v>
      </c>
      <c r="G105" s="226">
        <v>0</v>
      </c>
      <c r="H105" s="219">
        <f t="shared" si="40"/>
        <v>0</v>
      </c>
      <c r="I105" s="219">
        <f t="shared" si="41"/>
        <v>0</v>
      </c>
      <c r="K105" s="341"/>
      <c r="L105" s="340">
        <v>2.52</v>
      </c>
      <c r="M105" s="340">
        <v>3.82</v>
      </c>
    </row>
    <row r="106" spans="1:13" x14ac:dyDescent="0.25">
      <c r="A106" s="250">
        <f t="shared" si="27"/>
        <v>97</v>
      </c>
      <c r="B106" s="229" t="str">
        <f>+B105</f>
        <v>53E - Customer Owned</v>
      </c>
      <c r="C106" s="228" t="s">
        <v>304</v>
      </c>
      <c r="D106" s="228">
        <v>400</v>
      </c>
      <c r="E106" s="248">
        <f t="shared" si="38"/>
        <v>10.15</v>
      </c>
      <c r="F106" s="227">
        <f t="shared" si="39"/>
        <v>0.3</v>
      </c>
      <c r="G106" s="226">
        <v>0</v>
      </c>
      <c r="H106" s="219">
        <f t="shared" si="40"/>
        <v>0</v>
      </c>
      <c r="I106" s="219">
        <f t="shared" si="41"/>
        <v>0</v>
      </c>
      <c r="K106" s="341"/>
      <c r="L106" s="340">
        <v>4.04</v>
      </c>
      <c r="M106" s="340">
        <v>6.11</v>
      </c>
    </row>
    <row r="107" spans="1:13" x14ac:dyDescent="0.25">
      <c r="A107" s="250">
        <f t="shared" si="27"/>
        <v>98</v>
      </c>
      <c r="B107" s="229"/>
      <c r="C107" s="228"/>
      <c r="D107" s="228"/>
      <c r="E107" s="248"/>
      <c r="F107" s="230"/>
      <c r="G107" s="226"/>
      <c r="H107" s="226"/>
      <c r="I107" s="226"/>
      <c r="K107" s="341"/>
      <c r="L107" s="340"/>
      <c r="M107" s="340"/>
    </row>
    <row r="108" spans="1:13" x14ac:dyDescent="0.25">
      <c r="A108" s="250">
        <f t="shared" si="27"/>
        <v>99</v>
      </c>
      <c r="B108" s="229" t="str">
        <f>+B106</f>
        <v>53E - Customer Owned</v>
      </c>
      <c r="C108" s="228" t="s">
        <v>288</v>
      </c>
      <c r="D108" s="232" t="s">
        <v>302</v>
      </c>
      <c r="E108" s="248">
        <f t="shared" ref="E108:E116" si="42">SUM(L108:M108)</f>
        <v>1.1399999999999999</v>
      </c>
      <c r="F108" s="227">
        <f t="shared" ref="F108:F116" si="43">ROUND(+E108*$J$10,2)</f>
        <v>0.03</v>
      </c>
      <c r="G108" s="226">
        <v>7032</v>
      </c>
      <c r="H108" s="219">
        <f t="shared" ref="H108:H116" si="44">ROUND($G108*E108,0)</f>
        <v>8016</v>
      </c>
      <c r="I108" s="219">
        <f t="shared" ref="I108:I116" si="45">ROUND($G108*F108,0)</f>
        <v>211</v>
      </c>
      <c r="K108" s="341"/>
      <c r="L108" s="340">
        <v>0.45</v>
      </c>
      <c r="M108" s="340">
        <v>0.69</v>
      </c>
    </row>
    <row r="109" spans="1:13" x14ac:dyDescent="0.25">
      <c r="A109" s="250">
        <f t="shared" si="27"/>
        <v>100</v>
      </c>
      <c r="B109" s="229" t="str">
        <f t="shared" ref="B109:B116" si="46">B108</f>
        <v>53E - Customer Owned</v>
      </c>
      <c r="C109" s="228" t="s">
        <v>288</v>
      </c>
      <c r="D109" s="232" t="s">
        <v>301</v>
      </c>
      <c r="E109" s="248">
        <f t="shared" si="42"/>
        <v>1.91</v>
      </c>
      <c r="F109" s="227">
        <f t="shared" si="43"/>
        <v>0.06</v>
      </c>
      <c r="G109" s="226">
        <v>7364</v>
      </c>
      <c r="H109" s="219">
        <f t="shared" si="44"/>
        <v>14065</v>
      </c>
      <c r="I109" s="219">
        <f t="shared" si="45"/>
        <v>442</v>
      </c>
      <c r="K109" s="341"/>
      <c r="L109" s="340">
        <v>0.76</v>
      </c>
      <c r="M109" s="340">
        <v>1.1499999999999999</v>
      </c>
    </row>
    <row r="110" spans="1:13" x14ac:dyDescent="0.25">
      <c r="A110" s="250">
        <f t="shared" si="27"/>
        <v>101</v>
      </c>
      <c r="B110" s="229" t="str">
        <f t="shared" si="46"/>
        <v>53E - Customer Owned</v>
      </c>
      <c r="C110" s="228" t="s">
        <v>288</v>
      </c>
      <c r="D110" s="232" t="s">
        <v>300</v>
      </c>
      <c r="E110" s="248">
        <f t="shared" si="42"/>
        <v>2.66</v>
      </c>
      <c r="F110" s="227">
        <f t="shared" si="43"/>
        <v>0.08</v>
      </c>
      <c r="G110" s="226">
        <v>10291</v>
      </c>
      <c r="H110" s="219">
        <f t="shared" si="44"/>
        <v>27374</v>
      </c>
      <c r="I110" s="219">
        <f t="shared" si="45"/>
        <v>823</v>
      </c>
      <c r="K110" s="341"/>
      <c r="L110" s="340">
        <v>1.06</v>
      </c>
      <c r="M110" s="340">
        <v>1.6</v>
      </c>
    </row>
    <row r="111" spans="1:13" x14ac:dyDescent="0.25">
      <c r="A111" s="250">
        <f t="shared" si="27"/>
        <v>102</v>
      </c>
      <c r="B111" s="229" t="str">
        <f t="shared" si="46"/>
        <v>53E - Customer Owned</v>
      </c>
      <c r="C111" s="228" t="s">
        <v>288</v>
      </c>
      <c r="D111" s="232" t="s">
        <v>299</v>
      </c>
      <c r="E111" s="248">
        <f t="shared" si="42"/>
        <v>3.42</v>
      </c>
      <c r="F111" s="227">
        <f t="shared" si="43"/>
        <v>0.1</v>
      </c>
      <c r="G111" s="226">
        <v>1412</v>
      </c>
      <c r="H111" s="219">
        <f t="shared" si="44"/>
        <v>4829</v>
      </c>
      <c r="I111" s="219">
        <f t="shared" si="45"/>
        <v>141</v>
      </c>
      <c r="K111" s="341"/>
      <c r="L111" s="340">
        <v>1.36</v>
      </c>
      <c r="M111" s="340">
        <v>2.06</v>
      </c>
    </row>
    <row r="112" spans="1:13" x14ac:dyDescent="0.25">
      <c r="A112" s="250">
        <f t="shared" si="27"/>
        <v>103</v>
      </c>
      <c r="B112" s="229" t="str">
        <f t="shared" si="46"/>
        <v>53E - Customer Owned</v>
      </c>
      <c r="C112" s="228" t="s">
        <v>288</v>
      </c>
      <c r="D112" s="232" t="s">
        <v>298</v>
      </c>
      <c r="E112" s="248">
        <f t="shared" si="42"/>
        <v>4.1899999999999995</v>
      </c>
      <c r="F112" s="227">
        <f t="shared" si="43"/>
        <v>0.12</v>
      </c>
      <c r="G112" s="226">
        <v>15781</v>
      </c>
      <c r="H112" s="219">
        <f t="shared" si="44"/>
        <v>66122</v>
      </c>
      <c r="I112" s="219">
        <f t="shared" si="45"/>
        <v>1894</v>
      </c>
      <c r="K112" s="341"/>
      <c r="L112" s="340">
        <v>1.67</v>
      </c>
      <c r="M112" s="340">
        <v>2.52</v>
      </c>
    </row>
    <row r="113" spans="1:13" x14ac:dyDescent="0.25">
      <c r="A113" s="250">
        <f t="shared" si="27"/>
        <v>104</v>
      </c>
      <c r="B113" s="229" t="str">
        <f t="shared" si="46"/>
        <v>53E - Customer Owned</v>
      </c>
      <c r="C113" s="228" t="s">
        <v>288</v>
      </c>
      <c r="D113" s="232" t="s">
        <v>297</v>
      </c>
      <c r="E113" s="248">
        <f t="shared" si="42"/>
        <v>4.95</v>
      </c>
      <c r="F113" s="227">
        <f t="shared" si="43"/>
        <v>0.14000000000000001</v>
      </c>
      <c r="G113" s="226">
        <v>1223</v>
      </c>
      <c r="H113" s="219">
        <f t="shared" si="44"/>
        <v>6054</v>
      </c>
      <c r="I113" s="219">
        <f t="shared" si="45"/>
        <v>171</v>
      </c>
      <c r="K113" s="341"/>
      <c r="L113" s="340">
        <v>1.97</v>
      </c>
      <c r="M113" s="340">
        <v>2.98</v>
      </c>
    </row>
    <row r="114" spans="1:13" x14ac:dyDescent="0.25">
      <c r="A114" s="250">
        <f t="shared" si="27"/>
        <v>105</v>
      </c>
      <c r="B114" s="229" t="str">
        <f t="shared" si="46"/>
        <v>53E - Customer Owned</v>
      </c>
      <c r="C114" s="228" t="s">
        <v>288</v>
      </c>
      <c r="D114" s="232" t="s">
        <v>296</v>
      </c>
      <c r="E114" s="248">
        <f t="shared" si="42"/>
        <v>5.71</v>
      </c>
      <c r="F114" s="227">
        <f t="shared" si="43"/>
        <v>0.17</v>
      </c>
      <c r="G114" s="226">
        <v>0</v>
      </c>
      <c r="H114" s="219">
        <f t="shared" si="44"/>
        <v>0</v>
      </c>
      <c r="I114" s="219">
        <f t="shared" si="45"/>
        <v>0</v>
      </c>
      <c r="K114" s="341"/>
      <c r="L114" s="340">
        <v>2.27</v>
      </c>
      <c r="M114" s="340">
        <v>3.44</v>
      </c>
    </row>
    <row r="115" spans="1:13" x14ac:dyDescent="0.25">
      <c r="A115" s="250">
        <f t="shared" si="27"/>
        <v>106</v>
      </c>
      <c r="B115" s="229" t="str">
        <f t="shared" si="46"/>
        <v>53E - Customer Owned</v>
      </c>
      <c r="C115" s="228" t="s">
        <v>288</v>
      </c>
      <c r="D115" s="232" t="s">
        <v>295</v>
      </c>
      <c r="E115" s="248">
        <f t="shared" si="42"/>
        <v>6.46</v>
      </c>
      <c r="F115" s="227">
        <f t="shared" si="43"/>
        <v>0.19</v>
      </c>
      <c r="G115" s="226">
        <v>288</v>
      </c>
      <c r="H115" s="219">
        <f t="shared" si="44"/>
        <v>1860</v>
      </c>
      <c r="I115" s="219">
        <f t="shared" si="45"/>
        <v>55</v>
      </c>
      <c r="K115" s="341"/>
      <c r="L115" s="340">
        <v>2.57</v>
      </c>
      <c r="M115" s="340">
        <v>3.89</v>
      </c>
    </row>
    <row r="116" spans="1:13" x14ac:dyDescent="0.25">
      <c r="A116" s="250">
        <f t="shared" si="27"/>
        <v>107</v>
      </c>
      <c r="B116" s="229" t="str">
        <f t="shared" si="46"/>
        <v>53E - Customer Owned</v>
      </c>
      <c r="C116" s="228" t="s">
        <v>288</v>
      </c>
      <c r="D116" s="232" t="s">
        <v>294</v>
      </c>
      <c r="E116" s="248">
        <f t="shared" si="42"/>
        <v>7.2299999999999995</v>
      </c>
      <c r="F116" s="227">
        <f t="shared" si="43"/>
        <v>0.21</v>
      </c>
      <c r="G116" s="226">
        <v>1230</v>
      </c>
      <c r="H116" s="219">
        <f t="shared" si="44"/>
        <v>8893</v>
      </c>
      <c r="I116" s="219">
        <f t="shared" si="45"/>
        <v>258</v>
      </c>
      <c r="K116" s="341"/>
      <c r="L116" s="340">
        <v>2.88</v>
      </c>
      <c r="M116" s="340">
        <v>4.3499999999999996</v>
      </c>
    </row>
    <row r="117" spans="1:13" x14ac:dyDescent="0.25">
      <c r="A117" s="250">
        <f t="shared" si="27"/>
        <v>108</v>
      </c>
      <c r="B117" s="231"/>
      <c r="C117" s="228"/>
      <c r="D117" s="228"/>
      <c r="E117" s="248"/>
      <c r="F117" s="230"/>
      <c r="G117" s="226"/>
      <c r="H117" s="226"/>
      <c r="I117" s="226"/>
      <c r="K117" s="341"/>
      <c r="L117" s="340"/>
      <c r="M117" s="340"/>
    </row>
    <row r="118" spans="1:13" x14ac:dyDescent="0.25">
      <c r="A118" s="250">
        <f t="shared" si="27"/>
        <v>109</v>
      </c>
      <c r="B118" s="221" t="s">
        <v>311</v>
      </c>
      <c r="C118" s="221"/>
      <c r="D118" s="221"/>
      <c r="E118" s="248"/>
      <c r="F118" s="230"/>
      <c r="G118" s="226"/>
      <c r="H118" s="226"/>
      <c r="I118" s="226"/>
      <c r="K118" s="341"/>
      <c r="L118" s="340"/>
      <c r="M118" s="340"/>
    </row>
    <row r="119" spans="1:13" x14ac:dyDescent="0.25">
      <c r="A119" s="250">
        <f t="shared" si="27"/>
        <v>110</v>
      </c>
      <c r="B119" s="229" t="s">
        <v>310</v>
      </c>
      <c r="C119" s="228" t="s">
        <v>13</v>
      </c>
      <c r="D119" s="228">
        <v>50</v>
      </c>
      <c r="E119" s="248">
        <f t="shared" ref="E119:E127" si="47">SUM(L119:M119)</f>
        <v>1.26</v>
      </c>
      <c r="F119" s="227">
        <f t="shared" ref="F119:F127" si="48">ROUND(+E119*$J$10,2)</f>
        <v>0.04</v>
      </c>
      <c r="G119" s="226">
        <v>456</v>
      </c>
      <c r="H119" s="219">
        <f t="shared" ref="H119:H127" si="49">ROUND($G119*E119,0)</f>
        <v>575</v>
      </c>
      <c r="I119" s="219">
        <f t="shared" ref="I119:I127" si="50">ROUND($G119*F119,0)</f>
        <v>18</v>
      </c>
      <c r="K119" s="341"/>
      <c r="L119" s="340">
        <v>0.5</v>
      </c>
      <c r="M119" s="340">
        <v>0.76</v>
      </c>
    </row>
    <row r="120" spans="1:13" x14ac:dyDescent="0.25">
      <c r="A120" s="250">
        <f t="shared" si="27"/>
        <v>111</v>
      </c>
      <c r="B120" s="229" t="str">
        <f t="shared" ref="B120:B127" si="51">+B119</f>
        <v>54E</v>
      </c>
      <c r="C120" s="228" t="s">
        <v>13</v>
      </c>
      <c r="D120" s="228">
        <v>70</v>
      </c>
      <c r="E120" s="248">
        <f t="shared" si="47"/>
        <v>1.78</v>
      </c>
      <c r="F120" s="227">
        <f t="shared" si="48"/>
        <v>0.05</v>
      </c>
      <c r="G120" s="226">
        <v>8857</v>
      </c>
      <c r="H120" s="219">
        <f t="shared" si="49"/>
        <v>15765</v>
      </c>
      <c r="I120" s="219">
        <f t="shared" si="50"/>
        <v>443</v>
      </c>
      <c r="K120" s="341"/>
      <c r="L120" s="340">
        <v>0.71</v>
      </c>
      <c r="M120" s="340">
        <v>1.07</v>
      </c>
    </row>
    <row r="121" spans="1:13" x14ac:dyDescent="0.25">
      <c r="A121" s="250">
        <f t="shared" si="27"/>
        <v>112</v>
      </c>
      <c r="B121" s="229" t="str">
        <f t="shared" si="51"/>
        <v>54E</v>
      </c>
      <c r="C121" s="228" t="s">
        <v>13</v>
      </c>
      <c r="D121" s="228">
        <v>100</v>
      </c>
      <c r="E121" s="248">
        <f t="shared" si="47"/>
        <v>2.54</v>
      </c>
      <c r="F121" s="227">
        <f t="shared" si="48"/>
        <v>7.0000000000000007E-2</v>
      </c>
      <c r="G121" s="226">
        <v>20751</v>
      </c>
      <c r="H121" s="219">
        <f t="shared" si="49"/>
        <v>52708</v>
      </c>
      <c r="I121" s="219">
        <f t="shared" si="50"/>
        <v>1453</v>
      </c>
      <c r="K121" s="341"/>
      <c r="L121" s="340">
        <v>1.01</v>
      </c>
      <c r="M121" s="340">
        <v>1.53</v>
      </c>
    </row>
    <row r="122" spans="1:13" x14ac:dyDescent="0.25">
      <c r="A122" s="250">
        <f t="shared" si="27"/>
        <v>113</v>
      </c>
      <c r="B122" s="229" t="str">
        <f t="shared" si="51"/>
        <v>54E</v>
      </c>
      <c r="C122" s="228" t="s">
        <v>13</v>
      </c>
      <c r="D122" s="228">
        <v>150</v>
      </c>
      <c r="E122" s="248">
        <f t="shared" si="47"/>
        <v>3.8</v>
      </c>
      <c r="F122" s="227">
        <f t="shared" si="48"/>
        <v>0.11</v>
      </c>
      <c r="G122" s="226">
        <v>6296</v>
      </c>
      <c r="H122" s="219">
        <f t="shared" si="49"/>
        <v>23925</v>
      </c>
      <c r="I122" s="219">
        <f t="shared" si="50"/>
        <v>693</v>
      </c>
      <c r="K122" s="341"/>
      <c r="L122" s="340">
        <v>1.51</v>
      </c>
      <c r="M122" s="340">
        <v>2.29</v>
      </c>
    </row>
    <row r="123" spans="1:13" x14ac:dyDescent="0.25">
      <c r="A123" s="250">
        <f t="shared" si="27"/>
        <v>114</v>
      </c>
      <c r="B123" s="229" t="str">
        <f t="shared" si="51"/>
        <v>54E</v>
      </c>
      <c r="C123" s="228" t="s">
        <v>13</v>
      </c>
      <c r="D123" s="228">
        <v>200</v>
      </c>
      <c r="E123" s="248">
        <f t="shared" si="47"/>
        <v>5.07</v>
      </c>
      <c r="F123" s="227">
        <f t="shared" si="48"/>
        <v>0.15</v>
      </c>
      <c r="G123" s="226">
        <v>8175</v>
      </c>
      <c r="H123" s="219">
        <f t="shared" si="49"/>
        <v>41447</v>
      </c>
      <c r="I123" s="219">
        <f t="shared" si="50"/>
        <v>1226</v>
      </c>
      <c r="K123" s="341"/>
      <c r="L123" s="340">
        <v>2.02</v>
      </c>
      <c r="M123" s="340">
        <v>3.05</v>
      </c>
    </row>
    <row r="124" spans="1:13" x14ac:dyDescent="0.25">
      <c r="A124" s="250">
        <f t="shared" si="27"/>
        <v>115</v>
      </c>
      <c r="B124" s="229" t="str">
        <f t="shared" si="51"/>
        <v>54E</v>
      </c>
      <c r="C124" s="228" t="s">
        <v>13</v>
      </c>
      <c r="D124" s="228">
        <v>250</v>
      </c>
      <c r="E124" s="248">
        <f t="shared" si="47"/>
        <v>6.34</v>
      </c>
      <c r="F124" s="227">
        <f t="shared" si="48"/>
        <v>0.18</v>
      </c>
      <c r="G124" s="226">
        <v>18244</v>
      </c>
      <c r="H124" s="219">
        <f t="shared" si="49"/>
        <v>115667</v>
      </c>
      <c r="I124" s="219">
        <f t="shared" si="50"/>
        <v>3284</v>
      </c>
      <c r="K124" s="341"/>
      <c r="L124" s="340">
        <v>2.52</v>
      </c>
      <c r="M124" s="340">
        <v>3.82</v>
      </c>
    </row>
    <row r="125" spans="1:13" x14ac:dyDescent="0.25">
      <c r="A125" s="250">
        <f t="shared" si="27"/>
        <v>116</v>
      </c>
      <c r="B125" s="229" t="str">
        <f t="shared" si="51"/>
        <v>54E</v>
      </c>
      <c r="C125" s="228" t="s">
        <v>13</v>
      </c>
      <c r="D125" s="228">
        <v>310</v>
      </c>
      <c r="E125" s="248">
        <f t="shared" si="47"/>
        <v>7.86</v>
      </c>
      <c r="F125" s="227">
        <f t="shared" si="48"/>
        <v>0.23</v>
      </c>
      <c r="G125" s="226">
        <v>924</v>
      </c>
      <c r="H125" s="219">
        <f t="shared" si="49"/>
        <v>7263</v>
      </c>
      <c r="I125" s="219">
        <f t="shared" si="50"/>
        <v>213</v>
      </c>
      <c r="K125" s="341"/>
      <c r="L125" s="340">
        <v>3.13</v>
      </c>
      <c r="M125" s="340">
        <v>4.7300000000000004</v>
      </c>
    </row>
    <row r="126" spans="1:13" x14ac:dyDescent="0.25">
      <c r="A126" s="250">
        <f t="shared" si="27"/>
        <v>117</v>
      </c>
      <c r="B126" s="229" t="str">
        <f t="shared" si="51"/>
        <v>54E</v>
      </c>
      <c r="C126" s="228" t="s">
        <v>13</v>
      </c>
      <c r="D126" s="228">
        <v>400</v>
      </c>
      <c r="E126" s="248">
        <f t="shared" si="47"/>
        <v>10.15</v>
      </c>
      <c r="F126" s="227">
        <f t="shared" si="48"/>
        <v>0.3</v>
      </c>
      <c r="G126" s="226">
        <v>9055</v>
      </c>
      <c r="H126" s="219">
        <f t="shared" si="49"/>
        <v>91908</v>
      </c>
      <c r="I126" s="219">
        <f t="shared" si="50"/>
        <v>2717</v>
      </c>
      <c r="K126" s="341"/>
      <c r="L126" s="340">
        <v>4.04</v>
      </c>
      <c r="M126" s="340">
        <v>6.11</v>
      </c>
    </row>
    <row r="127" spans="1:13" x14ac:dyDescent="0.25">
      <c r="A127" s="250">
        <f t="shared" si="27"/>
        <v>118</v>
      </c>
      <c r="B127" s="229" t="str">
        <f t="shared" si="51"/>
        <v>54E</v>
      </c>
      <c r="C127" s="228" t="s">
        <v>13</v>
      </c>
      <c r="D127" s="228">
        <v>1000</v>
      </c>
      <c r="E127" s="248">
        <f t="shared" si="47"/>
        <v>25.36</v>
      </c>
      <c r="F127" s="227">
        <f t="shared" si="48"/>
        <v>0.74</v>
      </c>
      <c r="G127" s="226">
        <v>132</v>
      </c>
      <c r="H127" s="219">
        <f t="shared" si="49"/>
        <v>3348</v>
      </c>
      <c r="I127" s="219">
        <f t="shared" si="50"/>
        <v>98</v>
      </c>
      <c r="K127" s="341"/>
      <c r="L127" s="340">
        <v>10.09</v>
      </c>
      <c r="M127" s="340">
        <v>15.27</v>
      </c>
    </row>
    <row r="128" spans="1:13" x14ac:dyDescent="0.25">
      <c r="A128" s="250">
        <f t="shared" si="27"/>
        <v>119</v>
      </c>
      <c r="B128" s="231"/>
      <c r="C128" s="228"/>
      <c r="D128" s="228"/>
      <c r="E128" s="248"/>
      <c r="F128" s="230"/>
      <c r="G128" s="226"/>
      <c r="H128" s="226"/>
      <c r="I128" s="226"/>
      <c r="K128" s="341"/>
      <c r="L128" s="340"/>
      <c r="M128" s="340"/>
    </row>
    <row r="129" spans="1:13" x14ac:dyDescent="0.25">
      <c r="A129" s="250">
        <f t="shared" si="27"/>
        <v>120</v>
      </c>
      <c r="B129" s="231"/>
      <c r="C129" s="228"/>
      <c r="D129" s="228"/>
      <c r="E129" s="248"/>
      <c r="F129" s="230"/>
      <c r="G129" s="226"/>
      <c r="H129" s="226"/>
      <c r="I129" s="226"/>
      <c r="K129" s="341"/>
      <c r="L129" s="340"/>
      <c r="M129" s="340"/>
    </row>
    <row r="130" spans="1:13" x14ac:dyDescent="0.25">
      <c r="A130" s="250">
        <f t="shared" si="27"/>
        <v>121</v>
      </c>
      <c r="B130" s="229" t="str">
        <f>+B127</f>
        <v>54E</v>
      </c>
      <c r="C130" s="228" t="s">
        <v>288</v>
      </c>
      <c r="D130" s="232" t="s">
        <v>302</v>
      </c>
      <c r="E130" s="248">
        <f t="shared" ref="E130:E138" si="52">SUM(L130:M130)</f>
        <v>1.1399999999999999</v>
      </c>
      <c r="F130" s="227">
        <f t="shared" ref="F130:F138" si="53">ROUND(+E130*$J$10,2)</f>
        <v>0.03</v>
      </c>
      <c r="G130" s="226">
        <v>17409</v>
      </c>
      <c r="H130" s="219">
        <f t="shared" ref="H130:H138" si="54">ROUND($G130*E130,0)</f>
        <v>19846</v>
      </c>
      <c r="I130" s="219">
        <f t="shared" ref="I130:I138" si="55">ROUND($G130*F130,0)</f>
        <v>522</v>
      </c>
      <c r="K130" s="341"/>
      <c r="L130" s="340">
        <v>0.45</v>
      </c>
      <c r="M130" s="340">
        <v>0.69</v>
      </c>
    </row>
    <row r="131" spans="1:13" x14ac:dyDescent="0.25">
      <c r="A131" s="250">
        <f t="shared" si="27"/>
        <v>122</v>
      </c>
      <c r="B131" s="229" t="str">
        <f t="shared" ref="B131:B138" si="56">+B130</f>
        <v>54E</v>
      </c>
      <c r="C131" s="228" t="s">
        <v>288</v>
      </c>
      <c r="D131" s="232" t="s">
        <v>301</v>
      </c>
      <c r="E131" s="248">
        <f t="shared" si="52"/>
        <v>1.91</v>
      </c>
      <c r="F131" s="227">
        <f t="shared" si="53"/>
        <v>0.06</v>
      </c>
      <c r="G131" s="226">
        <v>189</v>
      </c>
      <c r="H131" s="219">
        <f t="shared" si="54"/>
        <v>361</v>
      </c>
      <c r="I131" s="219">
        <f t="shared" si="55"/>
        <v>11</v>
      </c>
      <c r="K131" s="341"/>
      <c r="L131" s="340">
        <v>0.76</v>
      </c>
      <c r="M131" s="340">
        <v>1.1499999999999999</v>
      </c>
    </row>
    <row r="132" spans="1:13" x14ac:dyDescent="0.25">
      <c r="A132" s="250">
        <f t="shared" si="27"/>
        <v>123</v>
      </c>
      <c r="B132" s="229" t="str">
        <f t="shared" si="56"/>
        <v>54E</v>
      </c>
      <c r="C132" s="228" t="s">
        <v>288</v>
      </c>
      <c r="D132" s="232" t="s">
        <v>300</v>
      </c>
      <c r="E132" s="248">
        <f t="shared" si="52"/>
        <v>2.66</v>
      </c>
      <c r="F132" s="227">
        <f t="shared" si="53"/>
        <v>0.08</v>
      </c>
      <c r="G132" s="226">
        <v>21008</v>
      </c>
      <c r="H132" s="219">
        <f t="shared" si="54"/>
        <v>55881</v>
      </c>
      <c r="I132" s="219">
        <f t="shared" si="55"/>
        <v>1681</v>
      </c>
      <c r="K132" s="341"/>
      <c r="L132" s="340">
        <v>1.06</v>
      </c>
      <c r="M132" s="340">
        <v>1.6</v>
      </c>
    </row>
    <row r="133" spans="1:13" x14ac:dyDescent="0.25">
      <c r="A133" s="250">
        <f t="shared" si="27"/>
        <v>124</v>
      </c>
      <c r="B133" s="229" t="str">
        <f t="shared" si="56"/>
        <v>54E</v>
      </c>
      <c r="C133" s="228" t="s">
        <v>288</v>
      </c>
      <c r="D133" s="232" t="s">
        <v>299</v>
      </c>
      <c r="E133" s="248">
        <f t="shared" si="52"/>
        <v>3.42</v>
      </c>
      <c r="F133" s="227">
        <f t="shared" si="53"/>
        <v>0.1</v>
      </c>
      <c r="G133" s="226">
        <v>10370</v>
      </c>
      <c r="H133" s="219">
        <f t="shared" si="54"/>
        <v>35465</v>
      </c>
      <c r="I133" s="219">
        <f t="shared" si="55"/>
        <v>1037</v>
      </c>
      <c r="K133" s="341"/>
      <c r="L133" s="340">
        <v>1.36</v>
      </c>
      <c r="M133" s="340">
        <v>2.06</v>
      </c>
    </row>
    <row r="134" spans="1:13" x14ac:dyDescent="0.25">
      <c r="A134" s="250">
        <f t="shared" si="27"/>
        <v>125</v>
      </c>
      <c r="B134" s="229" t="str">
        <f t="shared" si="56"/>
        <v>54E</v>
      </c>
      <c r="C134" s="228" t="s">
        <v>288</v>
      </c>
      <c r="D134" s="232" t="s">
        <v>298</v>
      </c>
      <c r="E134" s="248">
        <f t="shared" si="52"/>
        <v>4.1899999999999995</v>
      </c>
      <c r="F134" s="227">
        <f t="shared" si="53"/>
        <v>0.12</v>
      </c>
      <c r="G134" s="226">
        <v>3792</v>
      </c>
      <c r="H134" s="219">
        <f t="shared" si="54"/>
        <v>15888</v>
      </c>
      <c r="I134" s="219">
        <f t="shared" si="55"/>
        <v>455</v>
      </c>
      <c r="K134" s="341"/>
      <c r="L134" s="340">
        <v>1.67</v>
      </c>
      <c r="M134" s="340">
        <v>2.52</v>
      </c>
    </row>
    <row r="135" spans="1:13" x14ac:dyDescent="0.25">
      <c r="A135" s="250">
        <f t="shared" si="27"/>
        <v>126</v>
      </c>
      <c r="B135" s="229" t="str">
        <f t="shared" si="56"/>
        <v>54E</v>
      </c>
      <c r="C135" s="228" t="s">
        <v>288</v>
      </c>
      <c r="D135" s="232" t="s">
        <v>297</v>
      </c>
      <c r="E135" s="248">
        <f t="shared" si="52"/>
        <v>4.95</v>
      </c>
      <c r="F135" s="227">
        <f t="shared" si="53"/>
        <v>0.14000000000000001</v>
      </c>
      <c r="G135" s="226">
        <v>188</v>
      </c>
      <c r="H135" s="219">
        <f t="shared" si="54"/>
        <v>931</v>
      </c>
      <c r="I135" s="219">
        <f t="shared" si="55"/>
        <v>26</v>
      </c>
      <c r="K135" s="341"/>
      <c r="L135" s="340">
        <v>1.97</v>
      </c>
      <c r="M135" s="340">
        <v>2.98</v>
      </c>
    </row>
    <row r="136" spans="1:13" x14ac:dyDescent="0.25">
      <c r="A136" s="250">
        <f t="shared" si="27"/>
        <v>127</v>
      </c>
      <c r="B136" s="229" t="str">
        <f t="shared" si="56"/>
        <v>54E</v>
      </c>
      <c r="C136" s="228" t="s">
        <v>288</v>
      </c>
      <c r="D136" s="232" t="s">
        <v>296</v>
      </c>
      <c r="E136" s="248">
        <f t="shared" si="52"/>
        <v>5.71</v>
      </c>
      <c r="F136" s="227">
        <f t="shared" si="53"/>
        <v>0.17</v>
      </c>
      <c r="G136" s="226">
        <v>0</v>
      </c>
      <c r="H136" s="219">
        <f t="shared" si="54"/>
        <v>0</v>
      </c>
      <c r="I136" s="219">
        <f t="shared" si="55"/>
        <v>0</v>
      </c>
      <c r="K136" s="341"/>
      <c r="L136" s="340">
        <v>2.27</v>
      </c>
      <c r="M136" s="340">
        <v>3.44</v>
      </c>
    </row>
    <row r="137" spans="1:13" x14ac:dyDescent="0.25">
      <c r="A137" s="250">
        <f t="shared" si="27"/>
        <v>128</v>
      </c>
      <c r="B137" s="229" t="str">
        <f t="shared" si="56"/>
        <v>54E</v>
      </c>
      <c r="C137" s="228" t="s">
        <v>288</v>
      </c>
      <c r="D137" s="232" t="s">
        <v>295</v>
      </c>
      <c r="E137" s="248">
        <f t="shared" si="52"/>
        <v>6.46</v>
      </c>
      <c r="F137" s="227">
        <f t="shared" si="53"/>
        <v>0.19</v>
      </c>
      <c r="G137" s="226">
        <v>112</v>
      </c>
      <c r="H137" s="219">
        <f t="shared" si="54"/>
        <v>724</v>
      </c>
      <c r="I137" s="219">
        <f t="shared" si="55"/>
        <v>21</v>
      </c>
      <c r="K137" s="341"/>
      <c r="L137" s="340">
        <v>2.57</v>
      </c>
      <c r="M137" s="340">
        <v>3.89</v>
      </c>
    </row>
    <row r="138" spans="1:13" x14ac:dyDescent="0.25">
      <c r="A138" s="250">
        <f t="shared" si="27"/>
        <v>129</v>
      </c>
      <c r="B138" s="229" t="str">
        <f t="shared" si="56"/>
        <v>54E</v>
      </c>
      <c r="C138" s="228" t="s">
        <v>288</v>
      </c>
      <c r="D138" s="232" t="s">
        <v>294</v>
      </c>
      <c r="E138" s="248">
        <f t="shared" si="52"/>
        <v>7.2299999999999995</v>
      </c>
      <c r="F138" s="227">
        <f t="shared" si="53"/>
        <v>0.21</v>
      </c>
      <c r="G138" s="226">
        <v>0</v>
      </c>
      <c r="H138" s="219">
        <f t="shared" si="54"/>
        <v>0</v>
      </c>
      <c r="I138" s="219">
        <f t="shared" si="55"/>
        <v>0</v>
      </c>
      <c r="K138" s="341"/>
      <c r="L138" s="340">
        <v>2.88</v>
      </c>
      <c r="M138" s="340">
        <v>4.3499999999999996</v>
      </c>
    </row>
    <row r="139" spans="1:13" x14ac:dyDescent="0.25">
      <c r="A139" s="250">
        <f t="shared" si="27"/>
        <v>130</v>
      </c>
      <c r="B139" s="231"/>
      <c r="C139" s="228"/>
      <c r="D139" s="228"/>
      <c r="E139" s="248"/>
      <c r="F139" s="230"/>
      <c r="G139" s="226"/>
      <c r="H139" s="226"/>
      <c r="I139" s="226"/>
      <c r="K139" s="341"/>
      <c r="L139" s="340"/>
      <c r="M139" s="340"/>
    </row>
    <row r="140" spans="1:13" x14ac:dyDescent="0.25">
      <c r="A140" s="250">
        <f t="shared" ref="A140:A200" si="57">+A139+1</f>
        <v>131</v>
      </c>
      <c r="B140" s="221" t="s">
        <v>309</v>
      </c>
      <c r="C140" s="228"/>
      <c r="D140" s="228"/>
      <c r="E140" s="248"/>
      <c r="F140" s="230"/>
      <c r="G140" s="226"/>
      <c r="H140" s="226"/>
      <c r="I140" s="226"/>
      <c r="K140" s="341"/>
      <c r="L140" s="340"/>
      <c r="M140" s="340"/>
    </row>
    <row r="141" spans="1:13" x14ac:dyDescent="0.25">
      <c r="A141" s="250">
        <f t="shared" si="57"/>
        <v>132</v>
      </c>
      <c r="B141" s="229" t="s">
        <v>308</v>
      </c>
      <c r="C141" s="228" t="s">
        <v>13</v>
      </c>
      <c r="D141" s="228">
        <v>70</v>
      </c>
      <c r="E141" s="248">
        <f t="shared" ref="E141:E146" si="58">SUM(L141:M141)</f>
        <v>1.81</v>
      </c>
      <c r="F141" s="227">
        <f t="shared" ref="F141:F146" si="59">ROUND(+E141*$J$10,2)</f>
        <v>0.05</v>
      </c>
      <c r="G141" s="226">
        <v>210</v>
      </c>
      <c r="H141" s="219">
        <f t="shared" ref="H141:H146" si="60">ROUND($G141*E141,0)</f>
        <v>380</v>
      </c>
      <c r="I141" s="219">
        <f t="shared" ref="I141:I146" si="61">ROUND($G141*F141,0)</f>
        <v>11</v>
      </c>
      <c r="K141" s="341"/>
      <c r="L141" s="340">
        <v>0.74</v>
      </c>
      <c r="M141" s="340">
        <v>1.07</v>
      </c>
    </row>
    <row r="142" spans="1:13" x14ac:dyDescent="0.25">
      <c r="A142" s="250">
        <f t="shared" si="57"/>
        <v>133</v>
      </c>
      <c r="B142" s="231" t="str">
        <f>+B141</f>
        <v>55E &amp; 56E</v>
      </c>
      <c r="C142" s="228" t="s">
        <v>13</v>
      </c>
      <c r="D142" s="228">
        <v>100</v>
      </c>
      <c r="E142" s="248">
        <f t="shared" si="58"/>
        <v>2.58</v>
      </c>
      <c r="F142" s="227">
        <f t="shared" si="59"/>
        <v>0.08</v>
      </c>
      <c r="G142" s="226">
        <v>47443</v>
      </c>
      <c r="H142" s="219">
        <f t="shared" si="60"/>
        <v>122403</v>
      </c>
      <c r="I142" s="219">
        <f t="shared" si="61"/>
        <v>3795</v>
      </c>
      <c r="K142" s="341"/>
      <c r="L142" s="340">
        <v>1.05</v>
      </c>
      <c r="M142" s="340">
        <v>1.53</v>
      </c>
    </row>
    <row r="143" spans="1:13" x14ac:dyDescent="0.25">
      <c r="A143" s="250">
        <f t="shared" si="57"/>
        <v>134</v>
      </c>
      <c r="B143" s="231" t="str">
        <f>+B142</f>
        <v>55E &amp; 56E</v>
      </c>
      <c r="C143" s="228" t="s">
        <v>13</v>
      </c>
      <c r="D143" s="228">
        <v>150</v>
      </c>
      <c r="E143" s="248">
        <f t="shared" si="58"/>
        <v>3.87</v>
      </c>
      <c r="F143" s="227">
        <f t="shared" si="59"/>
        <v>0.11</v>
      </c>
      <c r="G143" s="226">
        <v>6357</v>
      </c>
      <c r="H143" s="219">
        <f t="shared" si="60"/>
        <v>24602</v>
      </c>
      <c r="I143" s="219">
        <f t="shared" si="61"/>
        <v>699</v>
      </c>
      <c r="K143" s="341"/>
      <c r="L143" s="340">
        <v>1.58</v>
      </c>
      <c r="M143" s="340">
        <v>2.29</v>
      </c>
    </row>
    <row r="144" spans="1:13" x14ac:dyDescent="0.25">
      <c r="A144" s="250">
        <f t="shared" si="57"/>
        <v>135</v>
      </c>
      <c r="B144" s="231" t="str">
        <f>+B143</f>
        <v>55E &amp; 56E</v>
      </c>
      <c r="C144" s="228" t="s">
        <v>13</v>
      </c>
      <c r="D144" s="228">
        <v>200</v>
      </c>
      <c r="E144" s="248">
        <f t="shared" si="58"/>
        <v>5.15</v>
      </c>
      <c r="F144" s="227">
        <f t="shared" si="59"/>
        <v>0.15</v>
      </c>
      <c r="G144" s="226">
        <v>13572</v>
      </c>
      <c r="H144" s="219">
        <f t="shared" si="60"/>
        <v>69896</v>
      </c>
      <c r="I144" s="219">
        <f t="shared" si="61"/>
        <v>2036</v>
      </c>
      <c r="K144" s="341"/>
      <c r="L144" s="340">
        <v>2.1</v>
      </c>
      <c r="M144" s="340">
        <v>3.05</v>
      </c>
    </row>
    <row r="145" spans="1:13" x14ac:dyDescent="0.25">
      <c r="A145" s="250">
        <f t="shared" si="57"/>
        <v>136</v>
      </c>
      <c r="B145" s="231" t="str">
        <f>+B144</f>
        <v>55E &amp; 56E</v>
      </c>
      <c r="C145" s="228" t="s">
        <v>13</v>
      </c>
      <c r="D145" s="228">
        <v>250</v>
      </c>
      <c r="E145" s="248">
        <f t="shared" si="58"/>
        <v>6.4499999999999993</v>
      </c>
      <c r="F145" s="227">
        <f t="shared" si="59"/>
        <v>0.19</v>
      </c>
      <c r="G145" s="226">
        <v>1454</v>
      </c>
      <c r="H145" s="219">
        <f t="shared" si="60"/>
        <v>9378</v>
      </c>
      <c r="I145" s="219">
        <f t="shared" si="61"/>
        <v>276</v>
      </c>
      <c r="K145" s="341"/>
      <c r="L145" s="340">
        <v>2.63</v>
      </c>
      <c r="M145" s="340">
        <v>3.82</v>
      </c>
    </row>
    <row r="146" spans="1:13" x14ac:dyDescent="0.25">
      <c r="A146" s="250">
        <f t="shared" si="57"/>
        <v>137</v>
      </c>
      <c r="B146" s="231" t="str">
        <f>+B145</f>
        <v>55E &amp; 56E</v>
      </c>
      <c r="C146" s="228" t="s">
        <v>13</v>
      </c>
      <c r="D146" s="228">
        <v>400</v>
      </c>
      <c r="E146" s="248">
        <f t="shared" si="58"/>
        <v>10.31</v>
      </c>
      <c r="F146" s="227">
        <f t="shared" si="59"/>
        <v>0.3</v>
      </c>
      <c r="G146" s="226">
        <v>600</v>
      </c>
      <c r="H146" s="219">
        <f t="shared" si="60"/>
        <v>6186</v>
      </c>
      <c r="I146" s="219">
        <f t="shared" si="61"/>
        <v>180</v>
      </c>
      <c r="K146" s="341"/>
      <c r="L146" s="340">
        <v>4.2</v>
      </c>
      <c r="M146" s="340">
        <v>6.11</v>
      </c>
    </row>
    <row r="147" spans="1:13" x14ac:dyDescent="0.25">
      <c r="A147" s="250">
        <f t="shared" si="57"/>
        <v>138</v>
      </c>
      <c r="B147" s="231"/>
      <c r="C147" s="228"/>
      <c r="D147" s="228"/>
      <c r="E147" s="248"/>
      <c r="F147" s="230"/>
      <c r="G147" s="226"/>
      <c r="H147" s="226"/>
      <c r="I147" s="226"/>
      <c r="K147" s="341"/>
      <c r="L147" s="340"/>
      <c r="M147" s="340"/>
    </row>
    <row r="148" spans="1:13" x14ac:dyDescent="0.25">
      <c r="A148" s="250">
        <f t="shared" si="57"/>
        <v>139</v>
      </c>
      <c r="B148" s="231" t="str">
        <f>+B146</f>
        <v>55E &amp; 56E</v>
      </c>
      <c r="C148" s="228" t="s">
        <v>304</v>
      </c>
      <c r="D148" s="228">
        <v>250</v>
      </c>
      <c r="E148" s="248">
        <f>SUM(L148:M148)</f>
        <v>6.4499999999999993</v>
      </c>
      <c r="F148" s="227">
        <f>ROUND(+E148*$J$10,2)</f>
        <v>0.19</v>
      </c>
      <c r="G148" s="226">
        <v>72</v>
      </c>
      <c r="H148" s="219">
        <f>ROUND($G148*E148,0)</f>
        <v>464</v>
      </c>
      <c r="I148" s="219">
        <f>ROUND($G148*F148,0)</f>
        <v>14</v>
      </c>
      <c r="K148" s="341"/>
      <c r="L148" s="340">
        <v>2.63</v>
      </c>
      <c r="M148" s="340">
        <v>3.82</v>
      </c>
    </row>
    <row r="149" spans="1:13" x14ac:dyDescent="0.25">
      <c r="A149" s="250">
        <f t="shared" si="57"/>
        <v>140</v>
      </c>
      <c r="B149" s="231"/>
      <c r="C149" s="228"/>
      <c r="D149" s="228"/>
      <c r="E149" s="248"/>
      <c r="F149" s="230"/>
      <c r="G149" s="226"/>
      <c r="H149" s="226"/>
      <c r="I149" s="226"/>
      <c r="K149" s="341"/>
      <c r="L149" s="340"/>
      <c r="M149" s="340"/>
    </row>
    <row r="150" spans="1:13" x14ac:dyDescent="0.25">
      <c r="A150" s="250">
        <f t="shared" si="57"/>
        <v>141</v>
      </c>
      <c r="B150" s="231" t="s">
        <v>308</v>
      </c>
      <c r="C150" s="228" t="s">
        <v>288</v>
      </c>
      <c r="D150" s="232" t="s">
        <v>302</v>
      </c>
      <c r="E150" s="248">
        <f t="shared" ref="E150:E158" si="62">SUM(L150:M150)</f>
        <v>1.1599999999999999</v>
      </c>
      <c r="F150" s="227">
        <f t="shared" ref="F150:F158" si="63">ROUND(+E150*$J$10,2)</f>
        <v>0.03</v>
      </c>
      <c r="G150" s="226">
        <v>4199</v>
      </c>
      <c r="H150" s="219">
        <f t="shared" ref="H150:H158" si="64">ROUND($G150*E150,0)</f>
        <v>4871</v>
      </c>
      <c r="I150" s="219">
        <f t="shared" ref="I150:I158" si="65">ROUND($G150*F150,0)</f>
        <v>126</v>
      </c>
      <c r="K150" s="341"/>
      <c r="L150" s="340">
        <v>0.47</v>
      </c>
      <c r="M150" s="340">
        <v>0.69</v>
      </c>
    </row>
    <row r="151" spans="1:13" x14ac:dyDescent="0.25">
      <c r="A151" s="250">
        <f t="shared" si="57"/>
        <v>142</v>
      </c>
      <c r="B151" s="231" t="s">
        <v>308</v>
      </c>
      <c r="C151" s="228" t="s">
        <v>288</v>
      </c>
      <c r="D151" s="232" t="s">
        <v>301</v>
      </c>
      <c r="E151" s="248">
        <f t="shared" si="62"/>
        <v>1.94</v>
      </c>
      <c r="F151" s="227">
        <f t="shared" si="63"/>
        <v>0.06</v>
      </c>
      <c r="G151" s="226">
        <v>0</v>
      </c>
      <c r="H151" s="219">
        <f t="shared" si="64"/>
        <v>0</v>
      </c>
      <c r="I151" s="219">
        <f t="shared" si="65"/>
        <v>0</v>
      </c>
      <c r="K151" s="341"/>
      <c r="L151" s="340">
        <v>0.79</v>
      </c>
      <c r="M151" s="340">
        <v>1.1499999999999999</v>
      </c>
    </row>
    <row r="152" spans="1:13" x14ac:dyDescent="0.25">
      <c r="A152" s="250">
        <f t="shared" si="57"/>
        <v>143</v>
      </c>
      <c r="B152" s="231" t="s">
        <v>308</v>
      </c>
      <c r="C152" s="228" t="s">
        <v>288</v>
      </c>
      <c r="D152" s="232" t="s">
        <v>300</v>
      </c>
      <c r="E152" s="248">
        <f t="shared" si="62"/>
        <v>2.7</v>
      </c>
      <c r="F152" s="227">
        <f t="shared" si="63"/>
        <v>0.08</v>
      </c>
      <c r="G152" s="226">
        <v>1143</v>
      </c>
      <c r="H152" s="219">
        <f t="shared" si="64"/>
        <v>3086</v>
      </c>
      <c r="I152" s="219">
        <f t="shared" si="65"/>
        <v>91</v>
      </c>
      <c r="K152" s="341"/>
      <c r="L152" s="340">
        <v>1.1000000000000001</v>
      </c>
      <c r="M152" s="340">
        <v>1.6</v>
      </c>
    </row>
    <row r="153" spans="1:13" x14ac:dyDescent="0.25">
      <c r="A153" s="250">
        <f t="shared" si="57"/>
        <v>144</v>
      </c>
      <c r="B153" s="231" t="s">
        <v>308</v>
      </c>
      <c r="C153" s="228" t="s">
        <v>288</v>
      </c>
      <c r="D153" s="232" t="s">
        <v>299</v>
      </c>
      <c r="E153" s="248">
        <f t="shared" si="62"/>
        <v>3.48</v>
      </c>
      <c r="F153" s="227">
        <f t="shared" si="63"/>
        <v>0.1</v>
      </c>
      <c r="G153" s="226">
        <v>0</v>
      </c>
      <c r="H153" s="219">
        <f t="shared" si="64"/>
        <v>0</v>
      </c>
      <c r="I153" s="219">
        <f t="shared" si="65"/>
        <v>0</v>
      </c>
      <c r="K153" s="341"/>
      <c r="L153" s="340">
        <v>1.42</v>
      </c>
      <c r="M153" s="340">
        <v>2.06</v>
      </c>
    </row>
    <row r="154" spans="1:13" x14ac:dyDescent="0.25">
      <c r="A154" s="250">
        <f t="shared" si="57"/>
        <v>145</v>
      </c>
      <c r="B154" s="231" t="s">
        <v>308</v>
      </c>
      <c r="C154" s="228" t="s">
        <v>288</v>
      </c>
      <c r="D154" s="232" t="s">
        <v>298</v>
      </c>
      <c r="E154" s="248">
        <f t="shared" si="62"/>
        <v>4.25</v>
      </c>
      <c r="F154" s="227">
        <f t="shared" si="63"/>
        <v>0.12</v>
      </c>
      <c r="G154" s="226">
        <v>0</v>
      </c>
      <c r="H154" s="219">
        <f t="shared" si="64"/>
        <v>0</v>
      </c>
      <c r="I154" s="219">
        <f t="shared" si="65"/>
        <v>0</v>
      </c>
      <c r="K154" s="341"/>
      <c r="L154" s="340">
        <v>1.73</v>
      </c>
      <c r="M154" s="340">
        <v>2.52</v>
      </c>
    </row>
    <row r="155" spans="1:13" x14ac:dyDescent="0.25">
      <c r="A155" s="250">
        <f t="shared" si="57"/>
        <v>146</v>
      </c>
      <c r="B155" s="231" t="s">
        <v>308</v>
      </c>
      <c r="C155" s="228" t="s">
        <v>288</v>
      </c>
      <c r="D155" s="232" t="s">
        <v>297</v>
      </c>
      <c r="E155" s="248">
        <f t="shared" si="62"/>
        <v>5.0299999999999994</v>
      </c>
      <c r="F155" s="227">
        <f t="shared" si="63"/>
        <v>0.15</v>
      </c>
      <c r="G155" s="226">
        <v>0</v>
      </c>
      <c r="H155" s="219">
        <f t="shared" si="64"/>
        <v>0</v>
      </c>
      <c r="I155" s="219">
        <f t="shared" si="65"/>
        <v>0</v>
      </c>
      <c r="K155" s="341"/>
      <c r="L155" s="340">
        <v>2.0499999999999998</v>
      </c>
      <c r="M155" s="340">
        <v>2.98</v>
      </c>
    </row>
    <row r="156" spans="1:13" x14ac:dyDescent="0.25">
      <c r="A156" s="250">
        <f t="shared" si="57"/>
        <v>147</v>
      </c>
      <c r="B156" s="231" t="s">
        <v>308</v>
      </c>
      <c r="C156" s="228" t="s">
        <v>288</v>
      </c>
      <c r="D156" s="232" t="s">
        <v>296</v>
      </c>
      <c r="E156" s="248">
        <f t="shared" si="62"/>
        <v>5.8</v>
      </c>
      <c r="F156" s="227">
        <f t="shared" si="63"/>
        <v>0.17</v>
      </c>
      <c r="G156" s="226">
        <v>0</v>
      </c>
      <c r="H156" s="219">
        <f t="shared" si="64"/>
        <v>0</v>
      </c>
      <c r="I156" s="219">
        <f t="shared" si="65"/>
        <v>0</v>
      </c>
      <c r="K156" s="341"/>
      <c r="L156" s="340">
        <v>2.36</v>
      </c>
      <c r="M156" s="340">
        <v>3.44</v>
      </c>
    </row>
    <row r="157" spans="1:13" x14ac:dyDescent="0.25">
      <c r="A157" s="250">
        <f t="shared" si="57"/>
        <v>148</v>
      </c>
      <c r="B157" s="231" t="s">
        <v>308</v>
      </c>
      <c r="C157" s="228" t="s">
        <v>288</v>
      </c>
      <c r="D157" s="232" t="s">
        <v>295</v>
      </c>
      <c r="E157" s="248">
        <f t="shared" si="62"/>
        <v>6.57</v>
      </c>
      <c r="F157" s="227">
        <f t="shared" si="63"/>
        <v>0.19</v>
      </c>
      <c r="G157" s="226">
        <v>0</v>
      </c>
      <c r="H157" s="219">
        <f t="shared" si="64"/>
        <v>0</v>
      </c>
      <c r="I157" s="219">
        <f t="shared" si="65"/>
        <v>0</v>
      </c>
      <c r="K157" s="341"/>
      <c r="L157" s="340">
        <v>2.68</v>
      </c>
      <c r="M157" s="340">
        <v>3.89</v>
      </c>
    </row>
    <row r="158" spans="1:13" x14ac:dyDescent="0.25">
      <c r="A158" s="250">
        <f t="shared" si="57"/>
        <v>149</v>
      </c>
      <c r="B158" s="231" t="s">
        <v>308</v>
      </c>
      <c r="C158" s="228" t="s">
        <v>288</v>
      </c>
      <c r="D158" s="232" t="s">
        <v>294</v>
      </c>
      <c r="E158" s="248">
        <f t="shared" si="62"/>
        <v>7.35</v>
      </c>
      <c r="F158" s="227">
        <f t="shared" si="63"/>
        <v>0.21</v>
      </c>
      <c r="G158" s="226">
        <v>0</v>
      </c>
      <c r="H158" s="219">
        <f t="shared" si="64"/>
        <v>0</v>
      </c>
      <c r="I158" s="219">
        <f t="shared" si="65"/>
        <v>0</v>
      </c>
      <c r="K158" s="341"/>
      <c r="L158" s="340">
        <v>3</v>
      </c>
      <c r="M158" s="340">
        <v>4.3499999999999996</v>
      </c>
    </row>
    <row r="159" spans="1:13" x14ac:dyDescent="0.25">
      <c r="A159" s="250">
        <f t="shared" si="57"/>
        <v>150</v>
      </c>
      <c r="B159" s="231"/>
      <c r="C159" s="228"/>
      <c r="D159" s="228"/>
      <c r="E159" s="248"/>
      <c r="F159" s="230"/>
      <c r="G159" s="226"/>
      <c r="H159" s="226"/>
      <c r="I159" s="226"/>
      <c r="K159" s="341"/>
      <c r="L159" s="340"/>
      <c r="M159" s="340"/>
    </row>
    <row r="160" spans="1:13" x14ac:dyDescent="0.25">
      <c r="A160" s="250">
        <f t="shared" si="57"/>
        <v>151</v>
      </c>
      <c r="B160" s="221" t="s">
        <v>286</v>
      </c>
      <c r="C160" s="228"/>
      <c r="D160" s="228"/>
      <c r="E160" s="248"/>
      <c r="F160" s="230"/>
      <c r="G160" s="226"/>
      <c r="H160" s="226"/>
      <c r="I160" s="226"/>
      <c r="K160" s="341"/>
      <c r="L160" s="340"/>
      <c r="M160" s="340"/>
    </row>
    <row r="161" spans="1:13" x14ac:dyDescent="0.25">
      <c r="A161" s="250">
        <f t="shared" si="57"/>
        <v>152</v>
      </c>
      <c r="B161" s="231" t="s">
        <v>285</v>
      </c>
      <c r="C161" s="228" t="s">
        <v>284</v>
      </c>
      <c r="D161" s="228">
        <v>0</v>
      </c>
      <c r="E161" s="249">
        <f>SUM(L161:M161)</f>
        <v>3.823E-2</v>
      </c>
      <c r="F161" s="249">
        <f>ROUND(+E161*$J$10,5)</f>
        <v>1.1100000000000001E-3</v>
      </c>
      <c r="G161" s="226">
        <v>13435326</v>
      </c>
      <c r="H161" s="219">
        <f>ROUND($G161*E161,0)</f>
        <v>513633</v>
      </c>
      <c r="I161" s="219">
        <f>ROUND($G161*F161,0)</f>
        <v>14913</v>
      </c>
      <c r="K161" s="341"/>
      <c r="L161" s="249">
        <v>6.3800000000000003E-3</v>
      </c>
      <c r="M161" s="249">
        <v>3.1850000000000003E-2</v>
      </c>
    </row>
    <row r="162" spans="1:13" x14ac:dyDescent="0.25">
      <c r="A162" s="250">
        <f t="shared" si="57"/>
        <v>153</v>
      </c>
      <c r="B162" s="231"/>
      <c r="C162" s="228"/>
      <c r="D162" s="228"/>
      <c r="E162" s="248"/>
      <c r="F162" s="230"/>
      <c r="G162" s="226"/>
      <c r="H162" s="226"/>
      <c r="I162" s="226"/>
      <c r="K162" s="341"/>
      <c r="L162" s="340"/>
      <c r="M162" s="340"/>
    </row>
    <row r="163" spans="1:13" x14ac:dyDescent="0.25">
      <c r="A163" s="250">
        <f t="shared" si="57"/>
        <v>154</v>
      </c>
      <c r="B163" s="221" t="s">
        <v>307</v>
      </c>
      <c r="C163" s="228"/>
      <c r="D163" s="228"/>
      <c r="E163" s="248"/>
      <c r="F163" s="230"/>
      <c r="G163" s="226"/>
      <c r="H163" s="226"/>
      <c r="I163" s="226"/>
      <c r="K163" s="341"/>
      <c r="L163" s="340"/>
      <c r="M163" s="340"/>
    </row>
    <row r="164" spans="1:13" x14ac:dyDescent="0.25">
      <c r="A164" s="250">
        <f t="shared" si="57"/>
        <v>155</v>
      </c>
      <c r="B164" s="229" t="s">
        <v>306</v>
      </c>
      <c r="C164" s="228" t="s">
        <v>13</v>
      </c>
      <c r="D164" s="233">
        <v>70</v>
      </c>
      <c r="E164" s="248">
        <f t="shared" ref="E164:E183" si="66">SUM(L164:M164)</f>
        <v>1.81</v>
      </c>
      <c r="F164" s="227">
        <f t="shared" ref="F164:F169" si="67">ROUND(+E164*$J$10,2)</f>
        <v>0.05</v>
      </c>
      <c r="G164" s="226">
        <v>691</v>
      </c>
      <c r="H164" s="219">
        <f t="shared" ref="H164:H169" si="68">ROUND($G164*E164,0)</f>
        <v>1251</v>
      </c>
      <c r="I164" s="219">
        <f t="shared" ref="I164:I169" si="69">ROUND($G164*F164,0)</f>
        <v>35</v>
      </c>
      <c r="K164" s="341"/>
      <c r="L164" s="340">
        <v>0.74</v>
      </c>
      <c r="M164" s="340">
        <v>1.07</v>
      </c>
    </row>
    <row r="165" spans="1:13" x14ac:dyDescent="0.25">
      <c r="A165" s="250">
        <f t="shared" si="57"/>
        <v>156</v>
      </c>
      <c r="B165" s="231" t="str">
        <f>+B164</f>
        <v>58E &amp; 59E - Directional</v>
      </c>
      <c r="C165" s="228" t="s">
        <v>13</v>
      </c>
      <c r="D165" s="233">
        <v>100</v>
      </c>
      <c r="E165" s="248">
        <f t="shared" si="66"/>
        <v>2.58</v>
      </c>
      <c r="F165" s="227">
        <f t="shared" si="67"/>
        <v>0.08</v>
      </c>
      <c r="G165" s="226">
        <v>68</v>
      </c>
      <c r="H165" s="219">
        <f t="shared" si="68"/>
        <v>175</v>
      </c>
      <c r="I165" s="219">
        <f t="shared" si="69"/>
        <v>5</v>
      </c>
      <c r="K165" s="341"/>
      <c r="L165" s="340">
        <v>1.05</v>
      </c>
      <c r="M165" s="340">
        <v>1.53</v>
      </c>
    </row>
    <row r="166" spans="1:13" x14ac:dyDescent="0.25">
      <c r="A166" s="250">
        <f t="shared" si="57"/>
        <v>157</v>
      </c>
      <c r="B166" s="231" t="str">
        <f>+B165</f>
        <v>58E &amp; 59E - Directional</v>
      </c>
      <c r="C166" s="228" t="s">
        <v>13</v>
      </c>
      <c r="D166" s="233">
        <v>150</v>
      </c>
      <c r="E166" s="248">
        <f t="shared" si="66"/>
        <v>3.87</v>
      </c>
      <c r="F166" s="227">
        <f t="shared" si="67"/>
        <v>0.11</v>
      </c>
      <c r="G166" s="226">
        <v>2002</v>
      </c>
      <c r="H166" s="219">
        <f t="shared" si="68"/>
        <v>7748</v>
      </c>
      <c r="I166" s="219">
        <f t="shared" si="69"/>
        <v>220</v>
      </c>
      <c r="K166" s="341"/>
      <c r="L166" s="340">
        <v>1.58</v>
      </c>
      <c r="M166" s="340">
        <v>2.29</v>
      </c>
    </row>
    <row r="167" spans="1:13" x14ac:dyDescent="0.25">
      <c r="A167" s="250">
        <f t="shared" si="57"/>
        <v>158</v>
      </c>
      <c r="B167" s="231" t="str">
        <f>+B166</f>
        <v>58E &amp; 59E - Directional</v>
      </c>
      <c r="C167" s="228" t="s">
        <v>13</v>
      </c>
      <c r="D167" s="228">
        <v>200</v>
      </c>
      <c r="E167" s="248">
        <f t="shared" si="66"/>
        <v>5.15</v>
      </c>
      <c r="F167" s="227">
        <f t="shared" si="67"/>
        <v>0.15</v>
      </c>
      <c r="G167" s="226">
        <v>3524</v>
      </c>
      <c r="H167" s="219">
        <f t="shared" si="68"/>
        <v>18149</v>
      </c>
      <c r="I167" s="219">
        <f t="shared" si="69"/>
        <v>529</v>
      </c>
      <c r="K167" s="341"/>
      <c r="L167" s="340">
        <v>2.1</v>
      </c>
      <c r="M167" s="340">
        <v>3.05</v>
      </c>
    </row>
    <row r="168" spans="1:13" x14ac:dyDescent="0.25">
      <c r="A168" s="250">
        <f t="shared" si="57"/>
        <v>159</v>
      </c>
      <c r="B168" s="231" t="str">
        <f>+B167</f>
        <v>58E &amp; 59E - Directional</v>
      </c>
      <c r="C168" s="228" t="s">
        <v>13</v>
      </c>
      <c r="D168" s="228">
        <v>250</v>
      </c>
      <c r="E168" s="248">
        <f t="shared" si="66"/>
        <v>6.4499999999999993</v>
      </c>
      <c r="F168" s="227">
        <f t="shared" si="67"/>
        <v>0.19</v>
      </c>
      <c r="G168" s="226">
        <v>480</v>
      </c>
      <c r="H168" s="219">
        <f t="shared" si="68"/>
        <v>3096</v>
      </c>
      <c r="I168" s="219">
        <f t="shared" si="69"/>
        <v>91</v>
      </c>
      <c r="K168" s="341"/>
      <c r="L168" s="340">
        <v>2.63</v>
      </c>
      <c r="M168" s="340">
        <v>3.82</v>
      </c>
    </row>
    <row r="169" spans="1:13" x14ac:dyDescent="0.25">
      <c r="A169" s="250">
        <f t="shared" si="57"/>
        <v>160</v>
      </c>
      <c r="B169" s="231" t="str">
        <f>+B168</f>
        <v>58E &amp; 59E - Directional</v>
      </c>
      <c r="C169" s="228" t="s">
        <v>13</v>
      </c>
      <c r="D169" s="228">
        <v>400</v>
      </c>
      <c r="E169" s="248">
        <f t="shared" si="66"/>
        <v>10.31</v>
      </c>
      <c r="F169" s="227">
        <f t="shared" si="67"/>
        <v>0.3</v>
      </c>
      <c r="G169" s="226">
        <v>4625</v>
      </c>
      <c r="H169" s="219">
        <f t="shared" si="68"/>
        <v>47684</v>
      </c>
      <c r="I169" s="219">
        <f t="shared" si="69"/>
        <v>1388</v>
      </c>
      <c r="K169" s="341"/>
      <c r="L169" s="340">
        <v>4.2</v>
      </c>
      <c r="M169" s="340">
        <v>6.11</v>
      </c>
    </row>
    <row r="170" spans="1:13" x14ac:dyDescent="0.25">
      <c r="A170" s="250">
        <f t="shared" si="57"/>
        <v>161</v>
      </c>
      <c r="B170" s="231"/>
      <c r="C170" s="228"/>
      <c r="D170" s="228"/>
      <c r="E170" s="248"/>
      <c r="F170" s="230"/>
      <c r="G170" s="226"/>
      <c r="H170" s="226"/>
      <c r="I170" s="226"/>
      <c r="K170" s="341"/>
      <c r="L170" s="340"/>
      <c r="M170" s="340"/>
    </row>
    <row r="171" spans="1:13" x14ac:dyDescent="0.25">
      <c r="A171" s="250">
        <f t="shared" si="57"/>
        <v>162</v>
      </c>
      <c r="B171" s="229" t="s">
        <v>305</v>
      </c>
      <c r="C171" s="228" t="s">
        <v>13</v>
      </c>
      <c r="D171" s="228">
        <v>100</v>
      </c>
      <c r="E171" s="248">
        <f t="shared" si="66"/>
        <v>2.58</v>
      </c>
      <c r="F171" s="227">
        <f>ROUND(+E171*$J$10,2)</f>
        <v>0.08</v>
      </c>
      <c r="G171" s="226">
        <v>13</v>
      </c>
      <c r="H171" s="219">
        <f t="shared" ref="H171:H175" si="70">ROUND($G171*E171,0)</f>
        <v>34</v>
      </c>
      <c r="I171" s="219">
        <f t="shared" ref="I171:I175" si="71">ROUND($G171*F171,0)</f>
        <v>1</v>
      </c>
      <c r="K171" s="341"/>
      <c r="L171" s="340">
        <v>1.05</v>
      </c>
      <c r="M171" s="340">
        <v>1.53</v>
      </c>
    </row>
    <row r="172" spans="1:13" x14ac:dyDescent="0.25">
      <c r="A172" s="250">
        <f t="shared" si="57"/>
        <v>163</v>
      </c>
      <c r="B172" s="231" t="str">
        <f>B171</f>
        <v>58E &amp; 59E - Horizontal</v>
      </c>
      <c r="C172" s="228" t="s">
        <v>13</v>
      </c>
      <c r="D172" s="228">
        <v>150</v>
      </c>
      <c r="E172" s="248">
        <f t="shared" si="66"/>
        <v>3.87</v>
      </c>
      <c r="F172" s="227">
        <f>ROUND(+E172*$J$10,2)</f>
        <v>0.11</v>
      </c>
      <c r="G172" s="226">
        <v>275</v>
      </c>
      <c r="H172" s="219">
        <f t="shared" si="70"/>
        <v>1064</v>
      </c>
      <c r="I172" s="219">
        <f t="shared" si="71"/>
        <v>30</v>
      </c>
      <c r="K172" s="341"/>
      <c r="L172" s="340">
        <v>1.58</v>
      </c>
      <c r="M172" s="340">
        <v>2.29</v>
      </c>
    </row>
    <row r="173" spans="1:13" x14ac:dyDescent="0.25">
      <c r="A173" s="250">
        <f t="shared" si="57"/>
        <v>164</v>
      </c>
      <c r="B173" s="231" t="str">
        <f>B172</f>
        <v>58E &amp; 59E - Horizontal</v>
      </c>
      <c r="C173" s="228" t="s">
        <v>13</v>
      </c>
      <c r="D173" s="228">
        <v>200</v>
      </c>
      <c r="E173" s="248">
        <f t="shared" si="66"/>
        <v>5.15</v>
      </c>
      <c r="F173" s="227">
        <f>ROUND(+E173*$J$10,2)</f>
        <v>0.15</v>
      </c>
      <c r="G173" s="226">
        <v>156</v>
      </c>
      <c r="H173" s="219">
        <f t="shared" si="70"/>
        <v>803</v>
      </c>
      <c r="I173" s="219">
        <f t="shared" si="71"/>
        <v>23</v>
      </c>
      <c r="K173" s="341"/>
      <c r="L173" s="340">
        <v>2.1</v>
      </c>
      <c r="M173" s="340">
        <v>3.05</v>
      </c>
    </row>
    <row r="174" spans="1:13" x14ac:dyDescent="0.25">
      <c r="A174" s="250">
        <f t="shared" si="57"/>
        <v>165</v>
      </c>
      <c r="B174" s="231" t="str">
        <f>B173</f>
        <v>58E &amp; 59E - Horizontal</v>
      </c>
      <c r="C174" s="228" t="s">
        <v>13</v>
      </c>
      <c r="D174" s="228">
        <v>250</v>
      </c>
      <c r="E174" s="248">
        <f t="shared" si="66"/>
        <v>6.4499999999999993</v>
      </c>
      <c r="F174" s="227">
        <f>ROUND(+E174*$J$10,2)</f>
        <v>0.19</v>
      </c>
      <c r="G174" s="226">
        <v>423</v>
      </c>
      <c r="H174" s="219">
        <f t="shared" si="70"/>
        <v>2728</v>
      </c>
      <c r="I174" s="219">
        <f t="shared" si="71"/>
        <v>80</v>
      </c>
      <c r="K174" s="341"/>
      <c r="L174" s="340">
        <v>2.63</v>
      </c>
      <c r="M174" s="340">
        <v>3.82</v>
      </c>
    </row>
    <row r="175" spans="1:13" x14ac:dyDescent="0.25">
      <c r="A175" s="250">
        <f t="shared" si="57"/>
        <v>166</v>
      </c>
      <c r="B175" s="231" t="str">
        <f>B174</f>
        <v>58E &amp; 59E - Horizontal</v>
      </c>
      <c r="C175" s="228" t="s">
        <v>13</v>
      </c>
      <c r="D175" s="228">
        <v>400</v>
      </c>
      <c r="E175" s="248">
        <f t="shared" si="66"/>
        <v>10.31</v>
      </c>
      <c r="F175" s="227">
        <f>ROUND(+E175*$J$10,2)</f>
        <v>0.3</v>
      </c>
      <c r="G175" s="226">
        <v>581</v>
      </c>
      <c r="H175" s="219">
        <f t="shared" si="70"/>
        <v>5990</v>
      </c>
      <c r="I175" s="219">
        <f t="shared" si="71"/>
        <v>174</v>
      </c>
      <c r="K175" s="341"/>
      <c r="L175" s="340">
        <v>4.2</v>
      </c>
      <c r="M175" s="340">
        <v>6.11</v>
      </c>
    </row>
    <row r="176" spans="1:13" x14ac:dyDescent="0.25">
      <c r="A176" s="250">
        <f t="shared" si="57"/>
        <v>167</v>
      </c>
      <c r="B176" s="231"/>
      <c r="C176" s="228"/>
      <c r="D176" s="228"/>
      <c r="F176" s="230"/>
      <c r="G176" s="226"/>
      <c r="H176" s="226"/>
      <c r="I176" s="226"/>
      <c r="K176" s="341"/>
      <c r="L176" s="340"/>
      <c r="M176" s="340"/>
    </row>
    <row r="177" spans="1:13" x14ac:dyDescent="0.25">
      <c r="A177" s="250">
        <f t="shared" si="57"/>
        <v>168</v>
      </c>
      <c r="B177" s="231" t="str">
        <f>B165</f>
        <v>58E &amp; 59E - Directional</v>
      </c>
      <c r="C177" s="228" t="s">
        <v>304</v>
      </c>
      <c r="D177" s="228">
        <v>175</v>
      </c>
      <c r="E177" s="248">
        <f t="shared" si="66"/>
        <v>4.51</v>
      </c>
      <c r="F177" s="227">
        <f>ROUND(+E177*$J$10,2)</f>
        <v>0.13</v>
      </c>
      <c r="G177" s="226">
        <v>36</v>
      </c>
      <c r="H177" s="219">
        <f t="shared" ref="H177:H180" si="72">ROUND($G177*E177,0)</f>
        <v>162</v>
      </c>
      <c r="I177" s="219">
        <f t="shared" ref="I177:I180" si="73">ROUND($G177*F177,0)</f>
        <v>5</v>
      </c>
      <c r="K177" s="341"/>
      <c r="L177" s="340">
        <v>1.84</v>
      </c>
      <c r="M177" s="340">
        <v>2.67</v>
      </c>
    </row>
    <row r="178" spans="1:13" x14ac:dyDescent="0.25">
      <c r="A178" s="250">
        <f t="shared" si="57"/>
        <v>169</v>
      </c>
      <c r="B178" s="231" t="str">
        <f>B177</f>
        <v>58E &amp; 59E - Directional</v>
      </c>
      <c r="C178" s="228" t="s">
        <v>304</v>
      </c>
      <c r="D178" s="228">
        <v>250</v>
      </c>
      <c r="E178" s="248">
        <f t="shared" si="66"/>
        <v>6.4499999999999993</v>
      </c>
      <c r="F178" s="227">
        <f>ROUND(+E178*$J$10,2)</f>
        <v>0.19</v>
      </c>
      <c r="G178" s="226">
        <v>258</v>
      </c>
      <c r="H178" s="219">
        <f t="shared" si="72"/>
        <v>1664</v>
      </c>
      <c r="I178" s="219">
        <f t="shared" si="73"/>
        <v>49</v>
      </c>
      <c r="K178" s="341"/>
      <c r="L178" s="340">
        <v>2.63</v>
      </c>
      <c r="M178" s="340">
        <v>3.82</v>
      </c>
    </row>
    <row r="179" spans="1:13" x14ac:dyDescent="0.25">
      <c r="A179" s="250">
        <f t="shared" si="57"/>
        <v>170</v>
      </c>
      <c r="B179" s="231" t="str">
        <f>B178</f>
        <v>58E &amp; 59E - Directional</v>
      </c>
      <c r="C179" s="228" t="s">
        <v>304</v>
      </c>
      <c r="D179" s="228">
        <v>400</v>
      </c>
      <c r="E179" s="248">
        <f t="shared" si="66"/>
        <v>10.31</v>
      </c>
      <c r="F179" s="227">
        <f>ROUND(+E179*$J$10,2)</f>
        <v>0.3</v>
      </c>
      <c r="G179" s="226">
        <v>1056</v>
      </c>
      <c r="H179" s="219">
        <f t="shared" si="72"/>
        <v>10887</v>
      </c>
      <c r="I179" s="219">
        <f t="shared" si="73"/>
        <v>317</v>
      </c>
      <c r="K179" s="341"/>
      <c r="L179" s="340">
        <v>4.2</v>
      </c>
      <c r="M179" s="340">
        <v>6.11</v>
      </c>
    </row>
    <row r="180" spans="1:13" x14ac:dyDescent="0.25">
      <c r="A180" s="250">
        <f t="shared" si="57"/>
        <v>171</v>
      </c>
      <c r="B180" s="231" t="str">
        <f>B179</f>
        <v>58E &amp; 59E - Directional</v>
      </c>
      <c r="C180" s="228" t="s">
        <v>304</v>
      </c>
      <c r="D180" s="228">
        <v>1000</v>
      </c>
      <c r="E180" s="248">
        <f t="shared" si="66"/>
        <v>25.78</v>
      </c>
      <c r="F180" s="227">
        <f>ROUND(+E180*$J$10,2)</f>
        <v>0.75</v>
      </c>
      <c r="G180" s="226">
        <v>1519</v>
      </c>
      <c r="H180" s="219">
        <f t="shared" si="72"/>
        <v>39160</v>
      </c>
      <c r="I180" s="219">
        <f t="shared" si="73"/>
        <v>1139</v>
      </c>
      <c r="K180" s="341"/>
      <c r="L180" s="340">
        <v>10.51</v>
      </c>
      <c r="M180" s="340">
        <v>15.27</v>
      </c>
    </row>
    <row r="181" spans="1:13" x14ac:dyDescent="0.25">
      <c r="A181" s="250">
        <f t="shared" si="57"/>
        <v>172</v>
      </c>
      <c r="B181" s="231"/>
      <c r="C181" s="228"/>
      <c r="D181" s="228"/>
      <c r="F181" s="230"/>
      <c r="G181" s="226"/>
      <c r="H181" s="226"/>
      <c r="I181" s="226"/>
      <c r="K181" s="341"/>
      <c r="L181" s="340"/>
      <c r="M181" s="340"/>
    </row>
    <row r="182" spans="1:13" x14ac:dyDescent="0.25">
      <c r="A182" s="250">
        <f t="shared" si="57"/>
        <v>173</v>
      </c>
      <c r="B182" s="231" t="str">
        <f>B171</f>
        <v>58E &amp; 59E - Horizontal</v>
      </c>
      <c r="C182" s="228" t="s">
        <v>304</v>
      </c>
      <c r="D182" s="228">
        <v>250</v>
      </c>
      <c r="E182" s="248">
        <f t="shared" si="66"/>
        <v>6.4499999999999993</v>
      </c>
      <c r="F182" s="227">
        <f>ROUND(+E182*$J$10,2)</f>
        <v>0.19</v>
      </c>
      <c r="G182" s="226">
        <v>132</v>
      </c>
      <c r="H182" s="219">
        <f t="shared" ref="H182:H183" si="74">ROUND($G182*E182,0)</f>
        <v>851</v>
      </c>
      <c r="I182" s="219">
        <f t="shared" ref="I182:I183" si="75">ROUND($G182*F182,0)</f>
        <v>25</v>
      </c>
      <c r="K182" s="341"/>
      <c r="L182" s="340">
        <v>2.63</v>
      </c>
      <c r="M182" s="340">
        <v>3.82</v>
      </c>
    </row>
    <row r="183" spans="1:13" x14ac:dyDescent="0.25">
      <c r="A183" s="250">
        <f t="shared" si="57"/>
        <v>174</v>
      </c>
      <c r="B183" s="231" t="str">
        <f>B182</f>
        <v>58E &amp; 59E - Horizontal</v>
      </c>
      <c r="C183" s="228" t="s">
        <v>304</v>
      </c>
      <c r="D183" s="228">
        <v>400</v>
      </c>
      <c r="E183" s="248">
        <f t="shared" si="66"/>
        <v>10.31</v>
      </c>
      <c r="F183" s="227">
        <f>ROUND(+E183*$J$10,2)</f>
        <v>0.3</v>
      </c>
      <c r="G183" s="226">
        <v>480</v>
      </c>
      <c r="H183" s="219">
        <f t="shared" si="74"/>
        <v>4949</v>
      </c>
      <c r="I183" s="219">
        <f t="shared" si="75"/>
        <v>144</v>
      </c>
      <c r="K183" s="341"/>
      <c r="L183" s="340">
        <v>4.2</v>
      </c>
      <c r="M183" s="340">
        <v>6.11</v>
      </c>
    </row>
    <row r="184" spans="1:13" x14ac:dyDescent="0.25">
      <c r="A184" s="250">
        <f t="shared" si="57"/>
        <v>175</v>
      </c>
      <c r="B184" s="231"/>
      <c r="C184" s="228"/>
      <c r="D184" s="228"/>
      <c r="F184" s="230"/>
      <c r="G184" s="226"/>
      <c r="H184" s="226"/>
      <c r="I184" s="226"/>
      <c r="K184" s="341"/>
      <c r="L184" s="340"/>
      <c r="M184" s="340"/>
    </row>
    <row r="185" spans="1:13" x14ac:dyDescent="0.25">
      <c r="A185" s="250">
        <f t="shared" si="57"/>
        <v>176</v>
      </c>
      <c r="B185" s="231"/>
      <c r="C185" s="228"/>
      <c r="D185" s="228"/>
      <c r="F185" s="230"/>
      <c r="G185" s="226"/>
      <c r="H185" s="226"/>
      <c r="I185" s="226"/>
      <c r="K185" s="341"/>
      <c r="L185" s="340"/>
      <c r="M185" s="340"/>
    </row>
    <row r="186" spans="1:13" x14ac:dyDescent="0.25">
      <c r="A186" s="250">
        <f t="shared" si="57"/>
        <v>177</v>
      </c>
      <c r="B186" s="231" t="s">
        <v>303</v>
      </c>
      <c r="C186" s="228" t="s">
        <v>288</v>
      </c>
      <c r="D186" s="232" t="s">
        <v>302</v>
      </c>
      <c r="E186" s="248">
        <f t="shared" ref="E186:E200" si="76">SUM(L186:M186)</f>
        <v>1.1599999999999999</v>
      </c>
      <c r="F186" s="227">
        <f t="shared" ref="F186:F200" si="77">ROUND(+E186*$J$10,2)</f>
        <v>0.03</v>
      </c>
      <c r="G186" s="226">
        <v>15</v>
      </c>
      <c r="H186" s="219">
        <f t="shared" ref="H186:H200" si="78">ROUND($G186*E186,0)</f>
        <v>17</v>
      </c>
      <c r="I186" s="219">
        <f t="shared" ref="I186:I200" si="79">ROUND($G186*F186,0)</f>
        <v>0</v>
      </c>
      <c r="K186" s="341"/>
      <c r="L186" s="340">
        <v>0.47</v>
      </c>
      <c r="M186" s="340">
        <v>0.69</v>
      </c>
    </row>
    <row r="187" spans="1:13" x14ac:dyDescent="0.25">
      <c r="A187" s="250">
        <f t="shared" si="57"/>
        <v>178</v>
      </c>
      <c r="B187" s="231" t="str">
        <f t="shared" ref="B187:B200" si="80">B186</f>
        <v>58E &amp; 59E</v>
      </c>
      <c r="C187" s="228" t="s">
        <v>288</v>
      </c>
      <c r="D187" s="232" t="s">
        <v>301</v>
      </c>
      <c r="E187" s="248">
        <f t="shared" si="76"/>
        <v>1.94</v>
      </c>
      <c r="F187" s="227">
        <f t="shared" si="77"/>
        <v>0.06</v>
      </c>
      <c r="G187" s="226">
        <v>108</v>
      </c>
      <c r="H187" s="219">
        <f t="shared" si="78"/>
        <v>210</v>
      </c>
      <c r="I187" s="219">
        <f t="shared" si="79"/>
        <v>6</v>
      </c>
      <c r="K187" s="341"/>
      <c r="L187" s="340">
        <v>0.79</v>
      </c>
      <c r="M187" s="340">
        <v>1.1499999999999999</v>
      </c>
    </row>
    <row r="188" spans="1:13" x14ac:dyDescent="0.25">
      <c r="A188" s="250">
        <f t="shared" si="57"/>
        <v>179</v>
      </c>
      <c r="B188" s="231" t="str">
        <f t="shared" si="80"/>
        <v>58E &amp; 59E</v>
      </c>
      <c r="C188" s="228" t="s">
        <v>288</v>
      </c>
      <c r="D188" s="232" t="s">
        <v>300</v>
      </c>
      <c r="E188" s="248">
        <f t="shared" si="76"/>
        <v>2.7</v>
      </c>
      <c r="F188" s="227">
        <f t="shared" si="77"/>
        <v>0.08</v>
      </c>
      <c r="G188" s="226">
        <v>241</v>
      </c>
      <c r="H188" s="219">
        <f t="shared" si="78"/>
        <v>651</v>
      </c>
      <c r="I188" s="219">
        <f t="shared" si="79"/>
        <v>19</v>
      </c>
      <c r="K188" s="341"/>
      <c r="L188" s="340">
        <v>1.1000000000000001</v>
      </c>
      <c r="M188" s="340">
        <v>1.6</v>
      </c>
    </row>
    <row r="189" spans="1:13" x14ac:dyDescent="0.25">
      <c r="A189" s="250">
        <f t="shared" si="57"/>
        <v>180</v>
      </c>
      <c r="B189" s="231" t="str">
        <f t="shared" si="80"/>
        <v>58E &amp; 59E</v>
      </c>
      <c r="C189" s="228" t="s">
        <v>288</v>
      </c>
      <c r="D189" s="232" t="s">
        <v>299</v>
      </c>
      <c r="E189" s="248">
        <f t="shared" si="76"/>
        <v>3.48</v>
      </c>
      <c r="F189" s="227">
        <f t="shared" si="77"/>
        <v>0.1</v>
      </c>
      <c r="G189" s="226">
        <v>566</v>
      </c>
      <c r="H189" s="219">
        <f t="shared" si="78"/>
        <v>1970</v>
      </c>
      <c r="I189" s="219">
        <f t="shared" si="79"/>
        <v>57</v>
      </c>
      <c r="K189" s="341"/>
      <c r="L189" s="340">
        <v>1.42</v>
      </c>
      <c r="M189" s="340">
        <v>2.06</v>
      </c>
    </row>
    <row r="190" spans="1:13" x14ac:dyDescent="0.25">
      <c r="A190" s="250">
        <f t="shared" si="57"/>
        <v>181</v>
      </c>
      <c r="B190" s="231" t="str">
        <f t="shared" si="80"/>
        <v>58E &amp; 59E</v>
      </c>
      <c r="C190" s="228" t="s">
        <v>288</v>
      </c>
      <c r="D190" s="232" t="s">
        <v>298</v>
      </c>
      <c r="E190" s="248">
        <f t="shared" si="76"/>
        <v>4.25</v>
      </c>
      <c r="F190" s="227">
        <f t="shared" si="77"/>
        <v>0.12</v>
      </c>
      <c r="G190" s="226">
        <v>50</v>
      </c>
      <c r="H190" s="219">
        <f t="shared" si="78"/>
        <v>213</v>
      </c>
      <c r="I190" s="219">
        <f t="shared" si="79"/>
        <v>6</v>
      </c>
      <c r="K190" s="341"/>
      <c r="L190" s="340">
        <v>1.73</v>
      </c>
      <c r="M190" s="340">
        <v>2.52</v>
      </c>
    </row>
    <row r="191" spans="1:13" x14ac:dyDescent="0.25">
      <c r="A191" s="250">
        <f t="shared" si="57"/>
        <v>182</v>
      </c>
      <c r="B191" s="231" t="str">
        <f t="shared" si="80"/>
        <v>58E &amp; 59E</v>
      </c>
      <c r="C191" s="228" t="s">
        <v>288</v>
      </c>
      <c r="D191" s="232" t="s">
        <v>297</v>
      </c>
      <c r="E191" s="248">
        <f t="shared" si="76"/>
        <v>5.0299999999999994</v>
      </c>
      <c r="F191" s="227">
        <f t="shared" si="77"/>
        <v>0.15</v>
      </c>
      <c r="G191" s="226">
        <v>0</v>
      </c>
      <c r="H191" s="219">
        <f t="shared" si="78"/>
        <v>0</v>
      </c>
      <c r="I191" s="219">
        <f t="shared" si="79"/>
        <v>0</v>
      </c>
      <c r="K191" s="341"/>
      <c r="L191" s="340">
        <v>2.0499999999999998</v>
      </c>
      <c r="M191" s="340">
        <v>2.98</v>
      </c>
    </row>
    <row r="192" spans="1:13" x14ac:dyDescent="0.25">
      <c r="A192" s="250">
        <f t="shared" si="57"/>
        <v>183</v>
      </c>
      <c r="B192" s="231" t="str">
        <f t="shared" si="80"/>
        <v>58E &amp; 59E</v>
      </c>
      <c r="C192" s="228" t="s">
        <v>288</v>
      </c>
      <c r="D192" s="232" t="s">
        <v>296</v>
      </c>
      <c r="E192" s="248">
        <f t="shared" si="76"/>
        <v>5.8</v>
      </c>
      <c r="F192" s="227">
        <f t="shared" si="77"/>
        <v>0.17</v>
      </c>
      <c r="G192" s="226">
        <v>25</v>
      </c>
      <c r="H192" s="219">
        <f t="shared" si="78"/>
        <v>145</v>
      </c>
      <c r="I192" s="219">
        <f t="shared" si="79"/>
        <v>4</v>
      </c>
      <c r="K192" s="341"/>
      <c r="L192" s="340">
        <v>2.36</v>
      </c>
      <c r="M192" s="340">
        <v>3.44</v>
      </c>
    </row>
    <row r="193" spans="1:13" x14ac:dyDescent="0.25">
      <c r="A193" s="250">
        <f t="shared" si="57"/>
        <v>184</v>
      </c>
      <c r="B193" s="231" t="str">
        <f t="shared" si="80"/>
        <v>58E &amp; 59E</v>
      </c>
      <c r="C193" s="228" t="s">
        <v>288</v>
      </c>
      <c r="D193" s="232" t="s">
        <v>295</v>
      </c>
      <c r="E193" s="248">
        <f t="shared" si="76"/>
        <v>6.57</v>
      </c>
      <c r="F193" s="227">
        <f t="shared" si="77"/>
        <v>0.19</v>
      </c>
      <c r="G193" s="226">
        <v>97</v>
      </c>
      <c r="H193" s="219">
        <f t="shared" si="78"/>
        <v>637</v>
      </c>
      <c r="I193" s="219">
        <f t="shared" si="79"/>
        <v>18</v>
      </c>
      <c r="K193" s="341"/>
      <c r="L193" s="340">
        <v>2.68</v>
      </c>
      <c r="M193" s="340">
        <v>3.89</v>
      </c>
    </row>
    <row r="194" spans="1:13" x14ac:dyDescent="0.25">
      <c r="A194" s="250">
        <f t="shared" si="57"/>
        <v>185</v>
      </c>
      <c r="B194" s="231" t="str">
        <f t="shared" si="80"/>
        <v>58E &amp; 59E</v>
      </c>
      <c r="C194" s="228" t="s">
        <v>288</v>
      </c>
      <c r="D194" s="232" t="s">
        <v>294</v>
      </c>
      <c r="E194" s="248">
        <f t="shared" si="76"/>
        <v>7.35</v>
      </c>
      <c r="F194" s="227">
        <f t="shared" si="77"/>
        <v>0.21</v>
      </c>
      <c r="G194" s="226">
        <v>0</v>
      </c>
      <c r="H194" s="219">
        <f t="shared" si="78"/>
        <v>0</v>
      </c>
      <c r="I194" s="219">
        <f t="shared" si="79"/>
        <v>0</v>
      </c>
      <c r="K194" s="341"/>
      <c r="L194" s="340">
        <v>3</v>
      </c>
      <c r="M194" s="340">
        <v>4.3499999999999996</v>
      </c>
    </row>
    <row r="195" spans="1:13" x14ac:dyDescent="0.25">
      <c r="A195" s="250">
        <f t="shared" si="57"/>
        <v>186</v>
      </c>
      <c r="B195" s="231" t="str">
        <f t="shared" si="80"/>
        <v>58E &amp; 59E</v>
      </c>
      <c r="C195" s="228" t="s">
        <v>288</v>
      </c>
      <c r="D195" s="232" t="s">
        <v>293</v>
      </c>
      <c r="E195" s="248">
        <f t="shared" si="76"/>
        <v>9.0299999999999994</v>
      </c>
      <c r="F195" s="227">
        <f t="shared" si="77"/>
        <v>0.26</v>
      </c>
      <c r="G195" s="226">
        <v>0</v>
      </c>
      <c r="H195" s="219">
        <f t="shared" si="78"/>
        <v>0</v>
      </c>
      <c r="I195" s="219">
        <f t="shared" si="79"/>
        <v>0</v>
      </c>
      <c r="K195" s="341"/>
      <c r="L195" s="340">
        <v>3.68</v>
      </c>
      <c r="M195" s="340">
        <v>5.35</v>
      </c>
    </row>
    <row r="196" spans="1:13" x14ac:dyDescent="0.25">
      <c r="A196" s="250">
        <f t="shared" si="57"/>
        <v>187</v>
      </c>
      <c r="B196" s="231" t="str">
        <f t="shared" si="80"/>
        <v>58E &amp; 59E</v>
      </c>
      <c r="C196" s="228" t="s">
        <v>288</v>
      </c>
      <c r="D196" s="232" t="s">
        <v>292</v>
      </c>
      <c r="E196" s="248">
        <f t="shared" si="76"/>
        <v>11.600000000000001</v>
      </c>
      <c r="F196" s="227">
        <f t="shared" si="77"/>
        <v>0.34</v>
      </c>
      <c r="G196" s="226">
        <v>0</v>
      </c>
      <c r="H196" s="219">
        <f t="shared" si="78"/>
        <v>0</v>
      </c>
      <c r="I196" s="219">
        <f t="shared" si="79"/>
        <v>0</v>
      </c>
      <c r="K196" s="341"/>
      <c r="L196" s="340">
        <v>4.7300000000000004</v>
      </c>
      <c r="M196" s="340">
        <v>6.87</v>
      </c>
    </row>
    <row r="197" spans="1:13" x14ac:dyDescent="0.25">
      <c r="A197" s="250">
        <f t="shared" si="57"/>
        <v>188</v>
      </c>
      <c r="B197" s="231" t="str">
        <f t="shared" si="80"/>
        <v>58E &amp; 59E</v>
      </c>
      <c r="C197" s="228" t="s">
        <v>288</v>
      </c>
      <c r="D197" s="232" t="s">
        <v>291</v>
      </c>
      <c r="E197" s="248">
        <f t="shared" si="76"/>
        <v>14.18</v>
      </c>
      <c r="F197" s="227">
        <f t="shared" si="77"/>
        <v>0.41</v>
      </c>
      <c r="G197" s="226">
        <v>0</v>
      </c>
      <c r="H197" s="219">
        <f t="shared" si="78"/>
        <v>0</v>
      </c>
      <c r="I197" s="219">
        <f t="shared" si="79"/>
        <v>0</v>
      </c>
      <c r="K197" s="341"/>
      <c r="L197" s="340">
        <v>5.78</v>
      </c>
      <c r="M197" s="340">
        <v>8.4</v>
      </c>
    </row>
    <row r="198" spans="1:13" x14ac:dyDescent="0.25">
      <c r="A198" s="250">
        <f t="shared" si="57"/>
        <v>189</v>
      </c>
      <c r="B198" s="231" t="str">
        <f t="shared" si="80"/>
        <v>58E &amp; 59E</v>
      </c>
      <c r="C198" s="228" t="s">
        <v>288</v>
      </c>
      <c r="D198" s="232" t="s">
        <v>290</v>
      </c>
      <c r="E198" s="248">
        <f t="shared" si="76"/>
        <v>16.759999999999998</v>
      </c>
      <c r="F198" s="227">
        <f t="shared" si="77"/>
        <v>0.49</v>
      </c>
      <c r="G198" s="226">
        <v>0</v>
      </c>
      <c r="H198" s="219">
        <f t="shared" si="78"/>
        <v>0</v>
      </c>
      <c r="I198" s="219">
        <f t="shared" si="79"/>
        <v>0</v>
      </c>
      <c r="K198" s="341"/>
      <c r="L198" s="340">
        <v>6.83</v>
      </c>
      <c r="M198" s="340">
        <v>9.93</v>
      </c>
    </row>
    <row r="199" spans="1:13" x14ac:dyDescent="0.25">
      <c r="A199" s="250">
        <f t="shared" si="57"/>
        <v>190</v>
      </c>
      <c r="B199" s="231" t="str">
        <f t="shared" si="80"/>
        <v>58E &amp; 59E</v>
      </c>
      <c r="C199" s="228" t="s">
        <v>288</v>
      </c>
      <c r="D199" s="232" t="s">
        <v>289</v>
      </c>
      <c r="E199" s="248">
        <f t="shared" si="76"/>
        <v>19.329999999999998</v>
      </c>
      <c r="F199" s="227">
        <f t="shared" si="77"/>
        <v>0.56000000000000005</v>
      </c>
      <c r="G199" s="226">
        <v>0</v>
      </c>
      <c r="H199" s="219">
        <f t="shared" si="78"/>
        <v>0</v>
      </c>
      <c r="I199" s="219">
        <f t="shared" si="79"/>
        <v>0</v>
      </c>
      <c r="K199" s="341"/>
      <c r="L199" s="340">
        <v>7.88</v>
      </c>
      <c r="M199" s="340">
        <v>11.45</v>
      </c>
    </row>
    <row r="200" spans="1:13" x14ac:dyDescent="0.25">
      <c r="A200" s="250">
        <f t="shared" si="57"/>
        <v>191</v>
      </c>
      <c r="B200" s="231" t="str">
        <f t="shared" si="80"/>
        <v>58E &amp; 59E</v>
      </c>
      <c r="C200" s="228" t="s">
        <v>288</v>
      </c>
      <c r="D200" s="232" t="s">
        <v>287</v>
      </c>
      <c r="E200" s="248">
        <f t="shared" si="76"/>
        <v>21.91</v>
      </c>
      <c r="F200" s="227">
        <f t="shared" si="77"/>
        <v>0.64</v>
      </c>
      <c r="G200" s="226">
        <v>0</v>
      </c>
      <c r="H200" s="219">
        <f t="shared" si="78"/>
        <v>0</v>
      </c>
      <c r="I200" s="219">
        <f t="shared" si="79"/>
        <v>0</v>
      </c>
      <c r="K200" s="341"/>
      <c r="L200" s="340">
        <v>8.93</v>
      </c>
      <c r="M200" s="340">
        <v>12.98</v>
      </c>
    </row>
    <row r="201" spans="1:13" x14ac:dyDescent="0.25">
      <c r="B201" s="221"/>
      <c r="K201" s="341"/>
      <c r="L201" s="340"/>
      <c r="M201" s="340"/>
    </row>
    <row r="202" spans="1:13" x14ac:dyDescent="0.25">
      <c r="B202" s="221"/>
      <c r="K202" s="341"/>
      <c r="L202" s="340"/>
      <c r="M202" s="340"/>
    </row>
    <row r="204" spans="1:13" x14ac:dyDescent="0.25">
      <c r="K204" s="341"/>
      <c r="L204" s="340"/>
      <c r="M204" s="340"/>
    </row>
    <row r="205" spans="1:13" x14ac:dyDescent="0.25">
      <c r="K205" s="341"/>
      <c r="L205" s="340"/>
      <c r="M205" s="340"/>
    </row>
    <row r="206" spans="1:13" x14ac:dyDescent="0.25">
      <c r="K206" s="341"/>
      <c r="L206" s="340"/>
      <c r="M206" s="340"/>
    </row>
    <row r="207" spans="1:13" x14ac:dyDescent="0.25">
      <c r="K207" s="341"/>
      <c r="L207" s="340"/>
      <c r="M207" s="340"/>
    </row>
    <row r="208" spans="1:13" x14ac:dyDescent="0.25">
      <c r="K208" s="341"/>
      <c r="L208" s="340"/>
      <c r="M208" s="340"/>
    </row>
  </sheetData>
  <mergeCells count="4">
    <mergeCell ref="B4:F4"/>
    <mergeCell ref="A1:J1"/>
    <mergeCell ref="A2:J2"/>
    <mergeCell ref="A3:J3"/>
  </mergeCells>
  <printOptions horizontalCentered="1"/>
  <pageMargins left="0.7" right="0.7" top="0.75" bottom="0.75" header="0.3" footer="0.3"/>
  <pageSetup scale="60" fitToHeight="0" orientation="portrait" r:id="rId1"/>
  <headerFooter alignWithMargins="0">
    <oddHeader>&amp;RAdvice No. 2018-xx
Electric Schedule 140 Rate Design Workpapers
Page &amp;P of &amp;N</oddHeader>
    <oddFooter>&amp;L&amp;F
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31" sqref="G31"/>
    </sheetView>
  </sheetViews>
  <sheetFormatPr defaultColWidth="8.85546875" defaultRowHeight="12.75" x14ac:dyDescent="0.2"/>
  <cols>
    <col min="1" max="1" width="24.85546875" style="6" bestFit="1" customWidth="1"/>
    <col min="2" max="2" width="15.42578125" style="6" customWidth="1"/>
    <col min="3" max="3" width="10.42578125" style="6" bestFit="1" customWidth="1"/>
    <col min="4" max="4" width="12" style="6" bestFit="1" customWidth="1"/>
    <col min="5" max="5" width="8.5703125" style="6" bestFit="1" customWidth="1"/>
    <col min="6" max="6" width="12.28515625" style="6" bestFit="1" customWidth="1"/>
    <col min="7" max="7" width="11.5703125" style="6" bestFit="1" customWidth="1"/>
    <col min="8" max="8" width="9.140625" style="6" bestFit="1" customWidth="1"/>
    <col min="9" max="9" width="7.5703125" style="6" bestFit="1" customWidth="1"/>
    <col min="10" max="10" width="7.85546875" style="6" bestFit="1" customWidth="1"/>
    <col min="11" max="11" width="7.7109375" style="6" bestFit="1" customWidth="1"/>
    <col min="12" max="13" width="8.5703125" style="6" bestFit="1" customWidth="1"/>
    <col min="14" max="14" width="10.42578125" style="6" bestFit="1" customWidth="1"/>
    <col min="15" max="15" width="8.5703125" style="6" bestFit="1" customWidth="1"/>
    <col min="16" max="16" width="8.7109375" style="6" customWidth="1"/>
    <col min="17" max="17" width="9.5703125" style="6" bestFit="1" customWidth="1"/>
    <col min="18" max="18" width="10.42578125" style="6" bestFit="1" customWidth="1"/>
    <col min="19" max="19" width="9.5703125" style="6" bestFit="1" customWidth="1"/>
    <col min="20" max="16384" width="8.85546875" style="6"/>
  </cols>
  <sheetData>
    <row r="1" spans="1:19" x14ac:dyDescent="0.2">
      <c r="A1" s="297" t="s">
        <v>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x14ac:dyDescent="0.2">
      <c r="A2" s="297" t="s">
        <v>17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</row>
    <row r="3" spans="1:19" x14ac:dyDescent="0.2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</row>
    <row r="5" spans="1:19" x14ac:dyDescent="0.2">
      <c r="C5" s="348" t="s">
        <v>18</v>
      </c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</row>
    <row r="6" spans="1:19" s="300" customFormat="1" ht="38.25" x14ac:dyDescent="0.2">
      <c r="A6" s="298" t="s">
        <v>19</v>
      </c>
      <c r="B6" s="298" t="s">
        <v>20</v>
      </c>
      <c r="C6" s="299" t="s">
        <v>189</v>
      </c>
      <c r="D6" s="299" t="s">
        <v>190</v>
      </c>
      <c r="E6" s="299" t="s">
        <v>191</v>
      </c>
      <c r="F6" s="299" t="s">
        <v>192</v>
      </c>
      <c r="G6" s="299" t="s">
        <v>193</v>
      </c>
      <c r="H6" s="299" t="s">
        <v>194</v>
      </c>
      <c r="I6" s="299" t="s">
        <v>195</v>
      </c>
      <c r="J6" s="299" t="s">
        <v>196</v>
      </c>
      <c r="K6" s="299" t="s">
        <v>197</v>
      </c>
      <c r="L6" s="299" t="s">
        <v>198</v>
      </c>
      <c r="M6" s="299" t="s">
        <v>199</v>
      </c>
      <c r="N6" s="299" t="s">
        <v>200</v>
      </c>
      <c r="O6" s="298" t="s">
        <v>201</v>
      </c>
      <c r="P6" s="299" t="s">
        <v>202</v>
      </c>
      <c r="Q6" s="299" t="s">
        <v>21</v>
      </c>
      <c r="R6" s="299" t="s">
        <v>203</v>
      </c>
      <c r="S6" s="298" t="s">
        <v>22</v>
      </c>
    </row>
    <row r="7" spans="1:19" x14ac:dyDescent="0.2">
      <c r="A7" s="6" t="s">
        <v>23</v>
      </c>
      <c r="B7" s="301">
        <f>ROUND(+D69,0)</f>
        <v>1238</v>
      </c>
      <c r="C7" s="120">
        <f t="shared" ref="C7:C18" si="0">ROUND($F$33+IF($B7&gt;600,(600*$F$37+(($B7-600)*$F$44)),$B7*$F$37),2)</f>
        <v>127.71</v>
      </c>
      <c r="D7" s="120">
        <f t="shared" ref="D7:D18" si="1">ROUND($B7*$F$55,2)</f>
        <v>0</v>
      </c>
      <c r="E7" s="120">
        <f t="shared" ref="E7:E18" si="2">ROUND($B7*$F$56,2)</f>
        <v>-2.57</v>
      </c>
      <c r="F7" s="120">
        <f t="shared" ref="F7:F18" si="3">ROUND($B7*$F$57,2)</f>
        <v>6.02</v>
      </c>
      <c r="G7" s="120">
        <f t="shared" ref="G7:G18" si="4">ROUND($B7*$F$38,2)</f>
        <v>1.1599999999999999</v>
      </c>
      <c r="H7" s="120">
        <f t="shared" ref="H7:H18" si="5">ROUND($B7*$F$58,2)</f>
        <v>-0.43</v>
      </c>
      <c r="I7" s="120">
        <f t="shared" ref="I7:I18" si="6">ROUND($B7*$F$59,2)</f>
        <v>-0.04</v>
      </c>
      <c r="J7" s="120">
        <f t="shared" ref="J7:J18" si="7">ROUND($B7*$F$39,2)</f>
        <v>4.3</v>
      </c>
      <c r="K7" s="120">
        <f t="shared" ref="K7:K18" si="8">ROUND($F$34+IF($B7&gt;600,(600*$F$40+(($B7-600)*$F$47)),$B7*$F$40),2)</f>
        <v>0</v>
      </c>
      <c r="L7" s="120">
        <f t="shared" ref="L7:L18" si="9">ROUND($B7*$F$41,2)</f>
        <v>-1.53</v>
      </c>
      <c r="M7" s="120">
        <f t="shared" ref="M7:M18" si="10">ROUND($B7*$F$51,2)</f>
        <v>-9.17</v>
      </c>
      <c r="N7" s="120">
        <f>SUM(C7:M7)</f>
        <v>125.45</v>
      </c>
      <c r="O7" s="120">
        <f>-G7</f>
        <v>-1.1599999999999999</v>
      </c>
      <c r="P7" s="120">
        <f t="shared" ref="P7:P18" si="11">ROUND($B7*$G$38,2)</f>
        <v>1.1100000000000001</v>
      </c>
      <c r="Q7" s="120">
        <f>SUM(O7:P7)</f>
        <v>-4.9999999999999822E-2</v>
      </c>
      <c r="R7" s="120">
        <f>+N7+Q7</f>
        <v>125.4</v>
      </c>
      <c r="S7" s="302">
        <f>+Q7/N7</f>
        <v>-3.985651654045422E-4</v>
      </c>
    </row>
    <row r="8" spans="1:19" x14ac:dyDescent="0.2">
      <c r="A8" s="6" t="s">
        <v>24</v>
      </c>
      <c r="B8" s="301">
        <f t="shared" ref="B8:B18" si="12">ROUND(+D70,0)</f>
        <v>1031</v>
      </c>
      <c r="C8" s="120">
        <f t="shared" si="0"/>
        <v>105.71</v>
      </c>
      <c r="D8" s="120">
        <f t="shared" si="1"/>
        <v>0</v>
      </c>
      <c r="E8" s="120">
        <f t="shared" si="2"/>
        <v>-2.14</v>
      </c>
      <c r="F8" s="120">
        <f t="shared" si="3"/>
        <v>5.01</v>
      </c>
      <c r="G8" s="120">
        <f t="shared" si="4"/>
        <v>0.97</v>
      </c>
      <c r="H8" s="120">
        <f t="shared" si="5"/>
        <v>-0.36</v>
      </c>
      <c r="I8" s="120">
        <f t="shared" si="6"/>
        <v>-0.04</v>
      </c>
      <c r="J8" s="120">
        <f t="shared" si="7"/>
        <v>3.58</v>
      </c>
      <c r="K8" s="120">
        <f t="shared" si="8"/>
        <v>0</v>
      </c>
      <c r="L8" s="120">
        <f t="shared" si="9"/>
        <v>-1.28</v>
      </c>
      <c r="M8" s="120">
        <f t="shared" si="10"/>
        <v>-7.64</v>
      </c>
      <c r="N8" s="120">
        <f t="shared" ref="N8:N18" si="13">SUM(C8:M8)</f>
        <v>103.80999999999999</v>
      </c>
      <c r="O8" s="120">
        <f t="shared" ref="O8:O18" si="14">-G8</f>
        <v>-0.97</v>
      </c>
      <c r="P8" s="120">
        <f t="shared" si="11"/>
        <v>0.92</v>
      </c>
      <c r="Q8" s="120">
        <f t="shared" ref="Q8:Q18" si="15">SUM(O8:P8)</f>
        <v>-4.9999999999999933E-2</v>
      </c>
      <c r="R8" s="120">
        <f t="shared" ref="R8:R18" si="16">+N8+Q8</f>
        <v>103.75999999999999</v>
      </c>
      <c r="S8" s="302">
        <f t="shared" ref="S8:S22" si="17">+Q8/N8</f>
        <v>-4.8164916674694092E-4</v>
      </c>
    </row>
    <row r="9" spans="1:19" x14ac:dyDescent="0.2">
      <c r="A9" s="6" t="s">
        <v>25</v>
      </c>
      <c r="B9" s="301">
        <f t="shared" si="12"/>
        <v>1026</v>
      </c>
      <c r="C9" s="120">
        <f t="shared" si="0"/>
        <v>105.17</v>
      </c>
      <c r="D9" s="120">
        <f t="shared" si="1"/>
        <v>0</v>
      </c>
      <c r="E9" s="120">
        <f t="shared" si="2"/>
        <v>-2.13</v>
      </c>
      <c r="F9" s="120">
        <f t="shared" si="3"/>
        <v>4.99</v>
      </c>
      <c r="G9" s="120">
        <f t="shared" si="4"/>
        <v>0.96</v>
      </c>
      <c r="H9" s="120">
        <f t="shared" si="5"/>
        <v>-0.35</v>
      </c>
      <c r="I9" s="120">
        <f t="shared" si="6"/>
        <v>-0.04</v>
      </c>
      <c r="J9" s="120">
        <f t="shared" si="7"/>
        <v>3.56</v>
      </c>
      <c r="K9" s="120">
        <f t="shared" si="8"/>
        <v>0</v>
      </c>
      <c r="L9" s="120">
        <f t="shared" si="9"/>
        <v>-1.27</v>
      </c>
      <c r="M9" s="120">
        <f t="shared" si="10"/>
        <v>-7.6</v>
      </c>
      <c r="N9" s="120">
        <f t="shared" si="13"/>
        <v>103.29</v>
      </c>
      <c r="O9" s="120">
        <f t="shared" si="14"/>
        <v>-0.96</v>
      </c>
      <c r="P9" s="120">
        <f t="shared" si="11"/>
        <v>0.92</v>
      </c>
      <c r="Q9" s="120">
        <f t="shared" si="15"/>
        <v>-3.9999999999999925E-2</v>
      </c>
      <c r="R9" s="120">
        <f t="shared" si="16"/>
        <v>103.25</v>
      </c>
      <c r="S9" s="302">
        <f t="shared" si="17"/>
        <v>-3.8725917320166448E-4</v>
      </c>
    </row>
    <row r="10" spans="1:19" x14ac:dyDescent="0.2">
      <c r="A10" s="6" t="s">
        <v>26</v>
      </c>
      <c r="B10" s="301">
        <f t="shared" si="12"/>
        <v>845</v>
      </c>
      <c r="C10" s="120">
        <f t="shared" si="0"/>
        <v>85.93</v>
      </c>
      <c r="D10" s="120">
        <f t="shared" si="1"/>
        <v>0</v>
      </c>
      <c r="E10" s="120">
        <f t="shared" si="2"/>
        <v>-1.75</v>
      </c>
      <c r="F10" s="120">
        <f t="shared" si="3"/>
        <v>4.1100000000000003</v>
      </c>
      <c r="G10" s="120">
        <f t="shared" si="4"/>
        <v>0.79</v>
      </c>
      <c r="H10" s="120">
        <f t="shared" si="5"/>
        <v>-0.28999999999999998</v>
      </c>
      <c r="I10" s="120">
        <f t="shared" si="6"/>
        <v>-0.03</v>
      </c>
      <c r="J10" s="120">
        <f t="shared" si="7"/>
        <v>2.93</v>
      </c>
      <c r="K10" s="120">
        <f t="shared" si="8"/>
        <v>0</v>
      </c>
      <c r="L10" s="120">
        <f t="shared" si="9"/>
        <v>-1.05</v>
      </c>
      <c r="M10" s="120">
        <f t="shared" si="10"/>
        <v>-6.26</v>
      </c>
      <c r="N10" s="120">
        <f t="shared" si="13"/>
        <v>84.38000000000001</v>
      </c>
      <c r="O10" s="120">
        <f t="shared" si="14"/>
        <v>-0.79</v>
      </c>
      <c r="P10" s="120">
        <f t="shared" si="11"/>
        <v>0.76</v>
      </c>
      <c r="Q10" s="120">
        <f t="shared" si="15"/>
        <v>-3.0000000000000027E-2</v>
      </c>
      <c r="R10" s="120">
        <f t="shared" si="16"/>
        <v>84.350000000000009</v>
      </c>
      <c r="S10" s="302">
        <f t="shared" si="17"/>
        <v>-3.5553448684522425E-4</v>
      </c>
    </row>
    <row r="11" spans="1:19" x14ac:dyDescent="0.2">
      <c r="A11" s="6" t="s">
        <v>27</v>
      </c>
      <c r="B11" s="301">
        <f t="shared" si="12"/>
        <v>725</v>
      </c>
      <c r="C11" s="120">
        <f t="shared" si="0"/>
        <v>73.180000000000007</v>
      </c>
      <c r="D11" s="120">
        <f t="shared" si="1"/>
        <v>0</v>
      </c>
      <c r="E11" s="120">
        <f t="shared" si="2"/>
        <v>-1.5</v>
      </c>
      <c r="F11" s="120">
        <f t="shared" si="3"/>
        <v>3.52</v>
      </c>
      <c r="G11" s="120">
        <f t="shared" si="4"/>
        <v>0.68</v>
      </c>
      <c r="H11" s="120">
        <f t="shared" si="5"/>
        <v>-0.25</v>
      </c>
      <c r="I11" s="120">
        <f t="shared" si="6"/>
        <v>-0.03</v>
      </c>
      <c r="J11" s="120">
        <f t="shared" si="7"/>
        <v>2.52</v>
      </c>
      <c r="K11" s="120">
        <f t="shared" si="8"/>
        <v>0</v>
      </c>
      <c r="L11" s="120">
        <f t="shared" si="9"/>
        <v>-0.9</v>
      </c>
      <c r="M11" s="120">
        <f t="shared" si="10"/>
        <v>-5.37</v>
      </c>
      <c r="N11" s="120">
        <f t="shared" si="13"/>
        <v>71.849999999999994</v>
      </c>
      <c r="O11" s="120">
        <f t="shared" si="14"/>
        <v>-0.68</v>
      </c>
      <c r="P11" s="120">
        <f t="shared" si="11"/>
        <v>0.65</v>
      </c>
      <c r="Q11" s="120">
        <f t="shared" si="15"/>
        <v>-3.0000000000000027E-2</v>
      </c>
      <c r="R11" s="120">
        <f t="shared" si="16"/>
        <v>71.819999999999993</v>
      </c>
      <c r="S11" s="302">
        <f t="shared" si="17"/>
        <v>-4.1753653444676449E-4</v>
      </c>
    </row>
    <row r="12" spans="1:19" x14ac:dyDescent="0.2">
      <c r="A12" s="6" t="s">
        <v>28</v>
      </c>
      <c r="B12" s="301">
        <f t="shared" si="12"/>
        <v>666</v>
      </c>
      <c r="C12" s="120">
        <f t="shared" si="0"/>
        <v>66.91</v>
      </c>
      <c r="D12" s="120">
        <f t="shared" si="1"/>
        <v>0</v>
      </c>
      <c r="E12" s="120">
        <f t="shared" si="2"/>
        <v>-1.38</v>
      </c>
      <c r="F12" s="120">
        <f t="shared" si="3"/>
        <v>3.24</v>
      </c>
      <c r="G12" s="120">
        <f t="shared" si="4"/>
        <v>0.62</v>
      </c>
      <c r="H12" s="120">
        <f t="shared" si="5"/>
        <v>-0.23</v>
      </c>
      <c r="I12" s="120">
        <f t="shared" si="6"/>
        <v>-0.02</v>
      </c>
      <c r="J12" s="120">
        <f t="shared" si="7"/>
        <v>2.31</v>
      </c>
      <c r="K12" s="120">
        <f t="shared" si="8"/>
        <v>0</v>
      </c>
      <c r="L12" s="120">
        <f t="shared" si="9"/>
        <v>-0.82</v>
      </c>
      <c r="M12" s="120">
        <f t="shared" si="10"/>
        <v>-4.93</v>
      </c>
      <c r="N12" s="120">
        <f t="shared" si="13"/>
        <v>65.700000000000017</v>
      </c>
      <c r="O12" s="120">
        <f t="shared" si="14"/>
        <v>-0.62</v>
      </c>
      <c r="P12" s="120">
        <f t="shared" si="11"/>
        <v>0.6</v>
      </c>
      <c r="Q12" s="120">
        <f t="shared" si="15"/>
        <v>-2.0000000000000018E-2</v>
      </c>
      <c r="R12" s="120">
        <f t="shared" si="16"/>
        <v>65.680000000000021</v>
      </c>
      <c r="S12" s="302">
        <f t="shared" si="17"/>
        <v>-3.0441400304414022E-4</v>
      </c>
    </row>
    <row r="13" spans="1:19" x14ac:dyDescent="0.2">
      <c r="A13" s="6" t="s">
        <v>29</v>
      </c>
      <c r="B13" s="301">
        <f t="shared" si="12"/>
        <v>667</v>
      </c>
      <c r="C13" s="120">
        <f t="shared" si="0"/>
        <v>67.010000000000005</v>
      </c>
      <c r="D13" s="120">
        <f t="shared" si="1"/>
        <v>0</v>
      </c>
      <c r="E13" s="120">
        <f t="shared" si="2"/>
        <v>-1.38</v>
      </c>
      <c r="F13" s="120">
        <f t="shared" si="3"/>
        <v>3.24</v>
      </c>
      <c r="G13" s="120">
        <f t="shared" si="4"/>
        <v>0.62</v>
      </c>
      <c r="H13" s="120">
        <f t="shared" si="5"/>
        <v>-0.23</v>
      </c>
      <c r="I13" s="120">
        <f t="shared" si="6"/>
        <v>-0.02</v>
      </c>
      <c r="J13" s="120">
        <f t="shared" si="7"/>
        <v>2.3199999999999998</v>
      </c>
      <c r="K13" s="120">
        <f t="shared" si="8"/>
        <v>0</v>
      </c>
      <c r="L13" s="120">
        <f t="shared" si="9"/>
        <v>-0.83</v>
      </c>
      <c r="M13" s="120">
        <f t="shared" si="10"/>
        <v>-4.9400000000000004</v>
      </c>
      <c r="N13" s="120">
        <f t="shared" si="13"/>
        <v>65.790000000000006</v>
      </c>
      <c r="O13" s="120">
        <f t="shared" si="14"/>
        <v>-0.62</v>
      </c>
      <c r="P13" s="120">
        <f t="shared" si="11"/>
        <v>0.6</v>
      </c>
      <c r="Q13" s="120">
        <f t="shared" si="15"/>
        <v>-2.0000000000000018E-2</v>
      </c>
      <c r="R13" s="120">
        <f t="shared" si="16"/>
        <v>65.77000000000001</v>
      </c>
      <c r="S13" s="302">
        <f t="shared" si="17"/>
        <v>-3.0399756801945609E-4</v>
      </c>
    </row>
    <row r="14" spans="1:19" x14ac:dyDescent="0.2">
      <c r="A14" s="6" t="s">
        <v>30</v>
      </c>
      <c r="B14" s="301">
        <f t="shared" si="12"/>
        <v>650</v>
      </c>
      <c r="C14" s="120">
        <f t="shared" si="0"/>
        <v>65.209999999999994</v>
      </c>
      <c r="D14" s="120">
        <f t="shared" si="1"/>
        <v>0</v>
      </c>
      <c r="E14" s="120">
        <f t="shared" si="2"/>
        <v>-1.35</v>
      </c>
      <c r="F14" s="120">
        <f t="shared" si="3"/>
        <v>3.16</v>
      </c>
      <c r="G14" s="120">
        <f t="shared" si="4"/>
        <v>0.61</v>
      </c>
      <c r="H14" s="120">
        <f t="shared" si="5"/>
        <v>-0.22</v>
      </c>
      <c r="I14" s="120">
        <f t="shared" si="6"/>
        <v>-0.02</v>
      </c>
      <c r="J14" s="120">
        <f t="shared" si="7"/>
        <v>2.2599999999999998</v>
      </c>
      <c r="K14" s="120">
        <f t="shared" si="8"/>
        <v>0</v>
      </c>
      <c r="L14" s="120">
        <f t="shared" si="9"/>
        <v>-0.8</v>
      </c>
      <c r="M14" s="120">
        <f t="shared" si="10"/>
        <v>-4.8099999999999996</v>
      </c>
      <c r="N14" s="120">
        <f t="shared" si="13"/>
        <v>64.040000000000006</v>
      </c>
      <c r="O14" s="120">
        <f t="shared" si="14"/>
        <v>-0.61</v>
      </c>
      <c r="P14" s="120">
        <f t="shared" si="11"/>
        <v>0.57999999999999996</v>
      </c>
      <c r="Q14" s="120">
        <f t="shared" si="15"/>
        <v>-3.0000000000000027E-2</v>
      </c>
      <c r="R14" s="120">
        <f t="shared" si="16"/>
        <v>64.010000000000005</v>
      </c>
      <c r="S14" s="302">
        <f t="shared" si="17"/>
        <v>-4.6845721424109966E-4</v>
      </c>
    </row>
    <row r="15" spans="1:19" x14ac:dyDescent="0.2">
      <c r="A15" s="6" t="s">
        <v>31</v>
      </c>
      <c r="B15" s="301">
        <f t="shared" si="12"/>
        <v>652</v>
      </c>
      <c r="C15" s="120">
        <f t="shared" si="0"/>
        <v>65.42</v>
      </c>
      <c r="D15" s="120">
        <f t="shared" si="1"/>
        <v>0</v>
      </c>
      <c r="E15" s="120">
        <f t="shared" si="2"/>
        <v>-1.35</v>
      </c>
      <c r="F15" s="120">
        <f t="shared" si="3"/>
        <v>3.17</v>
      </c>
      <c r="G15" s="120">
        <f t="shared" si="4"/>
        <v>0.61</v>
      </c>
      <c r="H15" s="120">
        <f t="shared" si="5"/>
        <v>-0.23</v>
      </c>
      <c r="I15" s="120">
        <f t="shared" si="6"/>
        <v>-0.02</v>
      </c>
      <c r="J15" s="120">
        <f t="shared" si="7"/>
        <v>2.2599999999999998</v>
      </c>
      <c r="K15" s="120">
        <f t="shared" si="8"/>
        <v>0</v>
      </c>
      <c r="L15" s="120">
        <f t="shared" si="9"/>
        <v>-0.81</v>
      </c>
      <c r="M15" s="120">
        <f t="shared" si="10"/>
        <v>-4.83</v>
      </c>
      <c r="N15" s="120">
        <f t="shared" si="13"/>
        <v>64.220000000000013</v>
      </c>
      <c r="O15" s="120">
        <f t="shared" si="14"/>
        <v>-0.61</v>
      </c>
      <c r="P15" s="120">
        <f t="shared" si="11"/>
        <v>0.57999999999999996</v>
      </c>
      <c r="Q15" s="120">
        <f t="shared" si="15"/>
        <v>-3.0000000000000027E-2</v>
      </c>
      <c r="R15" s="120">
        <f t="shared" si="16"/>
        <v>64.190000000000012</v>
      </c>
      <c r="S15" s="302">
        <f t="shared" si="17"/>
        <v>-4.6714419184054845E-4</v>
      </c>
    </row>
    <row r="16" spans="1:19" x14ac:dyDescent="0.2">
      <c r="A16" s="6" t="s">
        <v>32</v>
      </c>
      <c r="B16" s="301">
        <f t="shared" si="12"/>
        <v>823</v>
      </c>
      <c r="C16" s="120">
        <f t="shared" si="0"/>
        <v>83.6</v>
      </c>
      <c r="D16" s="120">
        <f t="shared" si="1"/>
        <v>0</v>
      </c>
      <c r="E16" s="120">
        <f t="shared" si="2"/>
        <v>-1.71</v>
      </c>
      <c r="F16" s="120">
        <f t="shared" si="3"/>
        <v>4</v>
      </c>
      <c r="G16" s="120">
        <f t="shared" si="4"/>
        <v>0.77</v>
      </c>
      <c r="H16" s="120">
        <f t="shared" si="5"/>
        <v>-0.28000000000000003</v>
      </c>
      <c r="I16" s="120">
        <f t="shared" si="6"/>
        <v>-0.03</v>
      </c>
      <c r="J16" s="120">
        <f t="shared" si="7"/>
        <v>2.86</v>
      </c>
      <c r="K16" s="120">
        <f t="shared" si="8"/>
        <v>0</v>
      </c>
      <c r="L16" s="120">
        <f t="shared" si="9"/>
        <v>-1.02</v>
      </c>
      <c r="M16" s="120">
        <f t="shared" si="10"/>
        <v>-6.1</v>
      </c>
      <c r="N16" s="120">
        <f t="shared" si="13"/>
        <v>82.09</v>
      </c>
      <c r="O16" s="120">
        <f t="shared" si="14"/>
        <v>-0.77</v>
      </c>
      <c r="P16" s="120">
        <f t="shared" si="11"/>
        <v>0.74</v>
      </c>
      <c r="Q16" s="120">
        <f t="shared" si="15"/>
        <v>-3.0000000000000027E-2</v>
      </c>
      <c r="R16" s="120">
        <f t="shared" si="16"/>
        <v>82.06</v>
      </c>
      <c r="S16" s="302">
        <f t="shared" si="17"/>
        <v>-3.6545255207698899E-4</v>
      </c>
    </row>
    <row r="17" spans="1:19" x14ac:dyDescent="0.2">
      <c r="A17" s="6" t="s">
        <v>33</v>
      </c>
      <c r="B17" s="301">
        <f t="shared" si="12"/>
        <v>1012</v>
      </c>
      <c r="C17" s="120">
        <f t="shared" si="0"/>
        <v>103.69</v>
      </c>
      <c r="D17" s="120">
        <f t="shared" si="1"/>
        <v>0</v>
      </c>
      <c r="E17" s="120">
        <f t="shared" si="2"/>
        <v>-2.1</v>
      </c>
      <c r="F17" s="120">
        <f t="shared" si="3"/>
        <v>4.92</v>
      </c>
      <c r="G17" s="120">
        <f t="shared" si="4"/>
        <v>0.95</v>
      </c>
      <c r="H17" s="120">
        <f t="shared" si="5"/>
        <v>-0.35</v>
      </c>
      <c r="I17" s="120">
        <f t="shared" si="6"/>
        <v>-0.04</v>
      </c>
      <c r="J17" s="120">
        <f t="shared" si="7"/>
        <v>3.51</v>
      </c>
      <c r="K17" s="120">
        <f t="shared" si="8"/>
        <v>0</v>
      </c>
      <c r="L17" s="120">
        <f t="shared" si="9"/>
        <v>-1.25</v>
      </c>
      <c r="M17" s="120">
        <f t="shared" si="10"/>
        <v>-7.49</v>
      </c>
      <c r="N17" s="120">
        <f t="shared" si="13"/>
        <v>101.84000000000002</v>
      </c>
      <c r="O17" s="120">
        <f t="shared" si="14"/>
        <v>-0.95</v>
      </c>
      <c r="P17" s="120">
        <f t="shared" si="11"/>
        <v>0.91</v>
      </c>
      <c r="Q17" s="120">
        <f t="shared" si="15"/>
        <v>-3.9999999999999925E-2</v>
      </c>
      <c r="R17" s="120">
        <f t="shared" si="16"/>
        <v>101.80000000000001</v>
      </c>
      <c r="S17" s="302">
        <f t="shared" si="17"/>
        <v>-3.9277297721916653E-4</v>
      </c>
    </row>
    <row r="18" spans="1:19" x14ac:dyDescent="0.2">
      <c r="A18" s="6" t="s">
        <v>34</v>
      </c>
      <c r="B18" s="301">
        <f t="shared" si="12"/>
        <v>1281</v>
      </c>
      <c r="C18" s="120">
        <f t="shared" si="0"/>
        <v>132.28</v>
      </c>
      <c r="D18" s="120">
        <f t="shared" si="1"/>
        <v>0</v>
      </c>
      <c r="E18" s="120">
        <f t="shared" si="2"/>
        <v>-2.65</v>
      </c>
      <c r="F18" s="120">
        <f t="shared" si="3"/>
        <v>6.23</v>
      </c>
      <c r="G18" s="120">
        <f t="shared" si="4"/>
        <v>1.2</v>
      </c>
      <c r="H18" s="120">
        <f t="shared" si="5"/>
        <v>-0.44</v>
      </c>
      <c r="I18" s="120">
        <f t="shared" si="6"/>
        <v>-0.04</v>
      </c>
      <c r="J18" s="120">
        <f t="shared" si="7"/>
        <v>4.45</v>
      </c>
      <c r="K18" s="120">
        <f t="shared" si="8"/>
        <v>0</v>
      </c>
      <c r="L18" s="120">
        <f t="shared" si="9"/>
        <v>-1.58</v>
      </c>
      <c r="M18" s="120">
        <f t="shared" si="10"/>
        <v>-9.49</v>
      </c>
      <c r="N18" s="120">
        <f t="shared" si="13"/>
        <v>129.95999999999995</v>
      </c>
      <c r="O18" s="120">
        <f t="shared" si="14"/>
        <v>-1.2</v>
      </c>
      <c r="P18" s="120">
        <f t="shared" si="11"/>
        <v>1.1499999999999999</v>
      </c>
      <c r="Q18" s="120">
        <f t="shared" si="15"/>
        <v>-5.0000000000000044E-2</v>
      </c>
      <c r="R18" s="120">
        <f t="shared" si="16"/>
        <v>129.90999999999994</v>
      </c>
      <c r="S18" s="302">
        <f t="shared" si="17"/>
        <v>-3.8473376423514978E-4</v>
      </c>
    </row>
    <row r="19" spans="1:19" x14ac:dyDescent="0.2"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302"/>
    </row>
    <row r="20" spans="1:19" ht="13.5" thickBot="1" x14ac:dyDescent="0.25">
      <c r="A20" s="303" t="s">
        <v>35</v>
      </c>
      <c r="B20" s="304">
        <f>SUM(B7:B19)</f>
        <v>10616</v>
      </c>
      <c r="C20" s="305">
        <f>SUM(C7:C19)</f>
        <v>1081.82</v>
      </c>
      <c r="D20" s="305">
        <f t="shared" ref="D20:R20" si="18">SUM(D7:D19)</f>
        <v>0</v>
      </c>
      <c r="E20" s="305">
        <f t="shared" si="18"/>
        <v>-22.009999999999998</v>
      </c>
      <c r="F20" s="305">
        <f t="shared" si="18"/>
        <v>51.610000000000014</v>
      </c>
      <c r="G20" s="305">
        <f t="shared" si="18"/>
        <v>9.94</v>
      </c>
      <c r="H20" s="305">
        <f t="shared" si="18"/>
        <v>-3.66</v>
      </c>
      <c r="I20" s="305">
        <f t="shared" si="18"/>
        <v>-0.36999999999999988</v>
      </c>
      <c r="J20" s="305">
        <f t="shared" si="18"/>
        <v>36.86</v>
      </c>
      <c r="K20" s="305">
        <f t="shared" si="18"/>
        <v>0</v>
      </c>
      <c r="L20" s="305">
        <f t="shared" si="18"/>
        <v>-13.14</v>
      </c>
      <c r="M20" s="305">
        <f t="shared" si="18"/>
        <v>-78.629999999999981</v>
      </c>
      <c r="N20" s="305">
        <f t="shared" si="18"/>
        <v>1062.42</v>
      </c>
      <c r="O20" s="305">
        <f t="shared" si="18"/>
        <v>-9.94</v>
      </c>
      <c r="P20" s="305">
        <f t="shared" si="18"/>
        <v>9.52</v>
      </c>
      <c r="Q20" s="305">
        <f t="shared" si="18"/>
        <v>-0.41999999999999982</v>
      </c>
      <c r="R20" s="305">
        <f t="shared" si="18"/>
        <v>1061.9999999999998</v>
      </c>
      <c r="S20" s="306">
        <f t="shared" si="17"/>
        <v>-3.9532388321002974E-4</v>
      </c>
    </row>
    <row r="21" spans="1:19" ht="13.5" thickTop="1" x14ac:dyDescent="0.2">
      <c r="A21" s="303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8"/>
    </row>
    <row r="22" spans="1:19" ht="13.5" thickBot="1" x14ac:dyDescent="0.25">
      <c r="A22" s="147" t="s">
        <v>36</v>
      </c>
      <c r="B22" s="304">
        <f>ROUND(+B20/12,0)</f>
        <v>885</v>
      </c>
      <c r="C22" s="305">
        <f>+C20/12</f>
        <v>90.151666666666657</v>
      </c>
      <c r="D22" s="305">
        <f t="shared" ref="D22:R22" si="19">+D20/12</f>
        <v>0</v>
      </c>
      <c r="E22" s="305">
        <f t="shared" si="19"/>
        <v>-1.8341666666666665</v>
      </c>
      <c r="F22" s="305">
        <f t="shared" si="19"/>
        <v>4.3008333333333342</v>
      </c>
      <c r="G22" s="305">
        <f t="shared" si="19"/>
        <v>0.82833333333333325</v>
      </c>
      <c r="H22" s="305">
        <f t="shared" si="19"/>
        <v>-0.30499999999999999</v>
      </c>
      <c r="I22" s="305">
        <f t="shared" si="19"/>
        <v>-3.0833333333333324E-2</v>
      </c>
      <c r="J22" s="305">
        <f t="shared" si="19"/>
        <v>3.0716666666666668</v>
      </c>
      <c r="K22" s="305">
        <f t="shared" si="19"/>
        <v>0</v>
      </c>
      <c r="L22" s="305">
        <f t="shared" si="19"/>
        <v>-1.095</v>
      </c>
      <c r="M22" s="305">
        <f t="shared" si="19"/>
        <v>-6.5524999999999984</v>
      </c>
      <c r="N22" s="305">
        <f t="shared" si="19"/>
        <v>88.535000000000011</v>
      </c>
      <c r="O22" s="305">
        <f t="shared" si="19"/>
        <v>-0.82833333333333325</v>
      </c>
      <c r="P22" s="305">
        <f t="shared" si="19"/>
        <v>0.79333333333333333</v>
      </c>
      <c r="Q22" s="305">
        <f t="shared" si="19"/>
        <v>-3.4999999999999983E-2</v>
      </c>
      <c r="R22" s="305">
        <f t="shared" si="19"/>
        <v>88.499999999999986</v>
      </c>
      <c r="S22" s="306">
        <f t="shared" si="17"/>
        <v>-3.9532388321002968E-4</v>
      </c>
    </row>
    <row r="23" spans="1:19" ht="13.5" thickTop="1" x14ac:dyDescent="0.2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</row>
    <row r="24" spans="1:19" x14ac:dyDescent="0.2">
      <c r="A24" s="6" t="s">
        <v>37</v>
      </c>
      <c r="C24" s="122">
        <f>+C20/$B$20*100</f>
        <v>10.190467219291635</v>
      </c>
      <c r="D24" s="122">
        <f t="shared" ref="D24:R24" si="20">+D20/$B$20*100</f>
        <v>0</v>
      </c>
      <c r="E24" s="122">
        <f t="shared" si="20"/>
        <v>-0.20732856066314997</v>
      </c>
      <c r="F24" s="122">
        <f t="shared" si="20"/>
        <v>0.48615297663903556</v>
      </c>
      <c r="G24" s="122">
        <f t="shared" si="20"/>
        <v>9.3632253202712873E-2</v>
      </c>
      <c r="H24" s="122">
        <f t="shared" si="20"/>
        <v>-3.4476262245666918E-2</v>
      </c>
      <c r="I24" s="122">
        <f t="shared" si="20"/>
        <v>-3.4853051996985669E-3</v>
      </c>
      <c r="J24" s="122">
        <f t="shared" si="20"/>
        <v>0.34721175584024111</v>
      </c>
      <c r="K24" s="122">
        <f t="shared" si="20"/>
        <v>0</v>
      </c>
      <c r="L24" s="122">
        <f t="shared" si="20"/>
        <v>-0.12377543330821401</v>
      </c>
      <c r="M24" s="122">
        <f t="shared" si="20"/>
        <v>-0.7406744536548604</v>
      </c>
      <c r="N24" s="122">
        <f t="shared" si="20"/>
        <v>10.007724189902035</v>
      </c>
      <c r="O24" s="122">
        <f t="shared" si="20"/>
        <v>-9.3632253202712873E-2</v>
      </c>
      <c r="P24" s="122">
        <f t="shared" si="20"/>
        <v>8.9675960813865863E-2</v>
      </c>
      <c r="Q24" s="122">
        <f t="shared" si="20"/>
        <v>-3.9562923888470216E-3</v>
      </c>
      <c r="R24" s="122">
        <f t="shared" si="20"/>
        <v>10.003767897513185</v>
      </c>
    </row>
    <row r="25" spans="1:19" x14ac:dyDescent="0.2"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</row>
    <row r="26" spans="1:19" ht="13.5" thickBot="1" x14ac:dyDescent="0.25">
      <c r="A26" s="147" t="s">
        <v>232</v>
      </c>
      <c r="B26" s="304">
        <v>1000</v>
      </c>
      <c r="C26" s="305">
        <f>ROUND($F$33+IF($B26&gt;600,(600*$F$37+(($B26-600)*$F$44)),$B26*$F$37),2)</f>
        <v>102.41</v>
      </c>
      <c r="D26" s="305">
        <f>ROUND($B26*$F$55,2)</f>
        <v>0</v>
      </c>
      <c r="E26" s="305">
        <f>ROUND($B26*$F$56,2)</f>
        <v>-2.0699999999999998</v>
      </c>
      <c r="F26" s="305">
        <f>ROUND($B26*$F$57,2)</f>
        <v>4.8600000000000003</v>
      </c>
      <c r="G26" s="305">
        <f>ROUND($B26*$F$38,2)</f>
        <v>0.94</v>
      </c>
      <c r="H26" s="305">
        <f>ROUND($B26*$F$58,2)</f>
        <v>-0.35</v>
      </c>
      <c r="I26" s="305">
        <f>ROUND($B26*$F$59,2)</f>
        <v>-0.04</v>
      </c>
      <c r="J26" s="305">
        <f>ROUND($B26*$F$39,2)</f>
        <v>3.47</v>
      </c>
      <c r="K26" s="305">
        <f>ROUND($F$34+IF($B26&gt;600,(600*$F$40+(($B26-600)*$F$47)),$B26*$F$37),2)</f>
        <v>0</v>
      </c>
      <c r="L26" s="305">
        <f>ROUND($B26*$F$41,2)</f>
        <v>-1.24</v>
      </c>
      <c r="M26" s="305">
        <f>ROUND($B26*$F$51,2)</f>
        <v>-7.41</v>
      </c>
      <c r="N26" s="305">
        <f>SUM(C26:M26)</f>
        <v>100.57000000000001</v>
      </c>
      <c r="O26" s="305">
        <f>-G26</f>
        <v>-0.94</v>
      </c>
      <c r="P26" s="305">
        <f>ROUND($B26*$G$38,2)</f>
        <v>0.9</v>
      </c>
      <c r="Q26" s="305">
        <f>SUM(O26:P26)</f>
        <v>-3.9999999999999925E-2</v>
      </c>
      <c r="R26" s="305">
        <f>+N26+Q26</f>
        <v>100.53</v>
      </c>
      <c r="S26" s="306">
        <f>+Q26/N26</f>
        <v>-3.9773292234264614E-4</v>
      </c>
    </row>
    <row r="27" spans="1:19" ht="13.5" thickTop="1" x14ac:dyDescent="0.2"/>
    <row r="28" spans="1:19" ht="13.5" thickBot="1" x14ac:dyDescent="0.25">
      <c r="A28" s="147" t="s">
        <v>204</v>
      </c>
      <c r="B28" s="304">
        <f>ROUND(B22,-2)</f>
        <v>900</v>
      </c>
      <c r="C28" s="305">
        <f>ROUND($F$33+IF($B28&gt;600,(600*$F$37+(($B28-600)*$F$44)),$B28*$F$37),2)</f>
        <v>91.78</v>
      </c>
      <c r="D28" s="305">
        <f>ROUND($B28*$F$55,2)</f>
        <v>0</v>
      </c>
      <c r="E28" s="305">
        <f>ROUND($B28*$F$56,2)</f>
        <v>-1.86</v>
      </c>
      <c r="F28" s="305">
        <f>ROUND($B28*$F$57,2)</f>
        <v>4.37</v>
      </c>
      <c r="G28" s="305">
        <f>ROUND($B28*$F$38,2)</f>
        <v>0.84</v>
      </c>
      <c r="H28" s="305">
        <f>ROUND($B28*$F$58,2)</f>
        <v>-0.31</v>
      </c>
      <c r="I28" s="305">
        <f>ROUND($B28*$F$59,2)</f>
        <v>-0.03</v>
      </c>
      <c r="J28" s="305">
        <f>ROUND($B28*$F$39,2)</f>
        <v>3.12</v>
      </c>
      <c r="K28" s="305">
        <f>ROUND($F$34+IF($B28&gt;600,(600*$F$40+(($B28-600)*$F$47)),$B28*$F$37),2)</f>
        <v>0</v>
      </c>
      <c r="L28" s="305">
        <f>ROUND($B28*$F$41,2)</f>
        <v>-1.1100000000000001</v>
      </c>
      <c r="M28" s="305">
        <f>ROUND($B28*$F$51,2)</f>
        <v>-6.67</v>
      </c>
      <c r="N28" s="305">
        <f>SUM(C28:M28)</f>
        <v>90.13000000000001</v>
      </c>
      <c r="O28" s="305">
        <f>-G28</f>
        <v>-0.84</v>
      </c>
      <c r="P28" s="305">
        <f>ROUND($B28*$G$38,2)</f>
        <v>0.81</v>
      </c>
      <c r="Q28" s="305">
        <f>SUM(O28:P28)</f>
        <v>-2.9999999999999916E-2</v>
      </c>
      <c r="R28" s="305">
        <f>+N28+Q28</f>
        <v>90.100000000000009</v>
      </c>
      <c r="S28" s="306">
        <f>+Q28/N28</f>
        <v>-3.328525463219784E-4</v>
      </c>
    </row>
    <row r="29" spans="1:19" ht="13.5" thickTop="1" x14ac:dyDescent="0.2"/>
    <row r="31" spans="1:19" ht="51" x14ac:dyDescent="0.2">
      <c r="A31" s="309" t="s">
        <v>205</v>
      </c>
      <c r="B31" s="310"/>
      <c r="C31" s="310"/>
      <c r="D31" s="310"/>
      <c r="F31" s="311" t="s">
        <v>246</v>
      </c>
      <c r="G31" s="312" t="s">
        <v>366</v>
      </c>
      <c r="H31" s="121"/>
      <c r="I31" s="121"/>
      <c r="J31" s="121"/>
      <c r="K31" s="121"/>
      <c r="L31" s="121"/>
      <c r="M31" s="121"/>
    </row>
    <row r="32" spans="1:19" x14ac:dyDescent="0.2">
      <c r="A32" s="345" t="s">
        <v>38</v>
      </c>
      <c r="B32" s="345"/>
      <c r="C32" s="345"/>
      <c r="D32" s="345"/>
      <c r="F32" s="313"/>
      <c r="G32" s="314"/>
      <c r="H32" s="121"/>
      <c r="I32" s="121"/>
      <c r="J32" s="121"/>
      <c r="K32" s="121"/>
      <c r="L32" s="121"/>
      <c r="M32" s="121"/>
    </row>
    <row r="33" spans="1:13" x14ac:dyDescent="0.2">
      <c r="A33" s="347" t="s">
        <v>206</v>
      </c>
      <c r="B33" s="347"/>
      <c r="C33" s="347"/>
      <c r="D33" s="347"/>
      <c r="F33" s="315">
        <v>7.49</v>
      </c>
      <c r="G33" s="316">
        <f>+F33</f>
        <v>7.49</v>
      </c>
      <c r="H33" s="121" t="s">
        <v>39</v>
      </c>
      <c r="I33" s="121"/>
      <c r="J33" s="121"/>
      <c r="K33" s="121"/>
      <c r="L33" s="121"/>
      <c r="M33" s="121"/>
    </row>
    <row r="34" spans="1:13" x14ac:dyDescent="0.2">
      <c r="A34" s="347" t="s">
        <v>125</v>
      </c>
      <c r="B34" s="347"/>
      <c r="C34" s="347"/>
      <c r="D34" s="347"/>
      <c r="F34" s="317">
        <v>0</v>
      </c>
      <c r="G34" s="318">
        <f>+F34</f>
        <v>0</v>
      </c>
      <c r="H34" s="121" t="s">
        <v>39</v>
      </c>
      <c r="I34" s="121"/>
      <c r="J34" s="121"/>
      <c r="K34" s="121"/>
      <c r="L34" s="121"/>
      <c r="M34" s="121"/>
    </row>
    <row r="35" spans="1:13" ht="13.5" thickBot="1" x14ac:dyDescent="0.25">
      <c r="A35" s="346" t="s">
        <v>130</v>
      </c>
      <c r="B35" s="346"/>
      <c r="C35" s="346"/>
      <c r="D35" s="346"/>
      <c r="F35" s="319">
        <f>SUM(F33:F34)</f>
        <v>7.49</v>
      </c>
      <c r="G35" s="320">
        <f>SUM(G33:G34)</f>
        <v>7.49</v>
      </c>
      <c r="H35" s="121"/>
      <c r="I35" s="121"/>
      <c r="J35" s="121"/>
      <c r="K35" s="121"/>
      <c r="L35" s="121"/>
      <c r="M35" s="121"/>
    </row>
    <row r="36" spans="1:13" ht="13.5" thickTop="1" x14ac:dyDescent="0.2">
      <c r="A36" s="345" t="s">
        <v>40</v>
      </c>
      <c r="B36" s="345"/>
      <c r="C36" s="345"/>
      <c r="D36" s="345"/>
      <c r="F36" s="270"/>
      <c r="G36" s="321"/>
      <c r="H36" s="121"/>
      <c r="I36" s="121"/>
      <c r="J36" s="121"/>
      <c r="K36" s="121"/>
      <c r="L36" s="121"/>
      <c r="M36" s="121"/>
    </row>
    <row r="37" spans="1:13" x14ac:dyDescent="0.2">
      <c r="A37" s="347" t="s">
        <v>41</v>
      </c>
      <c r="B37" s="347"/>
      <c r="C37" s="347"/>
      <c r="D37" s="347"/>
      <c r="F37" s="322">
        <v>8.7335999999999997E-2</v>
      </c>
      <c r="G37" s="323">
        <f>+F37</f>
        <v>8.7335999999999997E-2</v>
      </c>
      <c r="H37" s="121" t="s">
        <v>11</v>
      </c>
      <c r="I37" s="121"/>
      <c r="J37" s="121"/>
      <c r="K37" s="121"/>
      <c r="L37" s="121"/>
      <c r="M37" s="121"/>
    </row>
    <row r="38" spans="1:13" x14ac:dyDescent="0.2">
      <c r="A38" s="347" t="s">
        <v>46</v>
      </c>
      <c r="B38" s="347"/>
      <c r="C38" s="347"/>
      <c r="D38" s="347"/>
      <c r="F38" s="322">
        <f>+'2018 Proposed Impacts'!F9</f>
        <v>9.3700000000000001E-4</v>
      </c>
      <c r="G38" s="331">
        <f>+'2018 Proposed Impacts'!G9</f>
        <v>8.9499999999999996E-4</v>
      </c>
      <c r="H38" s="121" t="s">
        <v>11</v>
      </c>
      <c r="I38" s="121"/>
      <c r="J38" s="121"/>
      <c r="K38" s="121"/>
      <c r="L38" s="121"/>
      <c r="M38" s="121"/>
    </row>
    <row r="39" spans="1:13" x14ac:dyDescent="0.2">
      <c r="A39" s="347" t="s">
        <v>124</v>
      </c>
      <c r="B39" s="347"/>
      <c r="C39" s="347"/>
      <c r="D39" s="347"/>
      <c r="F39" s="322">
        <v>3.4719999999999998E-3</v>
      </c>
      <c r="G39" s="323">
        <f t="shared" ref="G39:G41" si="21">+F39</f>
        <v>3.4719999999999998E-3</v>
      </c>
      <c r="H39" s="121" t="s">
        <v>11</v>
      </c>
      <c r="I39" s="121"/>
      <c r="J39" s="121"/>
      <c r="K39" s="121"/>
      <c r="L39" s="121"/>
      <c r="M39" s="121"/>
    </row>
    <row r="40" spans="1:13" x14ac:dyDescent="0.2">
      <c r="A40" s="347" t="s">
        <v>126</v>
      </c>
      <c r="B40" s="347"/>
      <c r="C40" s="347"/>
      <c r="D40" s="347"/>
      <c r="F40" s="322">
        <v>0</v>
      </c>
      <c r="G40" s="323">
        <f t="shared" si="21"/>
        <v>0</v>
      </c>
      <c r="H40" s="121" t="s">
        <v>11</v>
      </c>
      <c r="I40" s="121"/>
      <c r="J40" s="121"/>
      <c r="K40" s="121"/>
      <c r="L40" s="121"/>
      <c r="M40" s="121"/>
    </row>
    <row r="41" spans="1:13" x14ac:dyDescent="0.2">
      <c r="A41" s="347" t="s">
        <v>128</v>
      </c>
      <c r="B41" s="347"/>
      <c r="C41" s="347"/>
      <c r="D41" s="347"/>
      <c r="F41" s="322">
        <v>-1.237E-3</v>
      </c>
      <c r="G41" s="323">
        <f t="shared" si="21"/>
        <v>-1.237E-3</v>
      </c>
      <c r="H41" s="121" t="s">
        <v>11</v>
      </c>
      <c r="I41" s="121"/>
      <c r="J41" s="121"/>
      <c r="K41" s="121"/>
      <c r="L41" s="121"/>
      <c r="M41" s="121"/>
    </row>
    <row r="42" spans="1:13" ht="13.5" thickBot="1" x14ac:dyDescent="0.25">
      <c r="A42" s="346" t="s">
        <v>131</v>
      </c>
      <c r="B42" s="346"/>
      <c r="C42" s="346"/>
      <c r="D42" s="346"/>
      <c r="F42" s="324">
        <f>SUM(F37:F41)</f>
        <v>9.0507999999999991E-2</v>
      </c>
      <c r="G42" s="325">
        <f>SUM(G37:G41)</f>
        <v>9.0466000000000005E-2</v>
      </c>
      <c r="H42" s="121" t="s">
        <v>11</v>
      </c>
      <c r="I42" s="121"/>
      <c r="J42" s="121"/>
      <c r="K42" s="121"/>
      <c r="L42" s="121"/>
      <c r="M42" s="121"/>
    </row>
    <row r="43" spans="1:13" ht="13.5" thickTop="1" x14ac:dyDescent="0.2">
      <c r="A43" s="345"/>
      <c r="B43" s="345"/>
      <c r="C43" s="345"/>
      <c r="D43" s="345"/>
      <c r="F43" s="322"/>
      <c r="G43" s="323"/>
      <c r="H43" s="121"/>
      <c r="I43" s="121"/>
      <c r="J43" s="121"/>
      <c r="K43" s="121"/>
      <c r="L43" s="121"/>
      <c r="M43" s="121"/>
    </row>
    <row r="44" spans="1:13" x14ac:dyDescent="0.2">
      <c r="A44" s="345" t="s">
        <v>42</v>
      </c>
      <c r="B44" s="345"/>
      <c r="C44" s="345"/>
      <c r="D44" s="345"/>
      <c r="F44" s="322">
        <v>0.106297</v>
      </c>
      <c r="G44" s="323">
        <f>+F44</f>
        <v>0.106297</v>
      </c>
      <c r="H44" s="121" t="s">
        <v>11</v>
      </c>
      <c r="I44" s="121"/>
      <c r="J44" s="121"/>
      <c r="K44" s="121"/>
      <c r="L44" s="121"/>
      <c r="M44" s="121"/>
    </row>
    <row r="45" spans="1:13" x14ac:dyDescent="0.2">
      <c r="A45" s="347" t="s">
        <v>46</v>
      </c>
      <c r="B45" s="347"/>
      <c r="C45" s="347"/>
      <c r="D45" s="347"/>
      <c r="F45" s="322">
        <f>+F38</f>
        <v>9.3700000000000001E-4</v>
      </c>
      <c r="G45" s="323">
        <f>+G38</f>
        <v>8.9499999999999996E-4</v>
      </c>
      <c r="H45" s="121" t="s">
        <v>11</v>
      </c>
      <c r="I45" s="121"/>
      <c r="J45" s="121"/>
      <c r="K45" s="121"/>
      <c r="L45" s="121"/>
      <c r="M45" s="121"/>
    </row>
    <row r="46" spans="1:13" x14ac:dyDescent="0.2">
      <c r="A46" s="347" t="s">
        <v>124</v>
      </c>
      <c r="B46" s="347"/>
      <c r="C46" s="347"/>
      <c r="D46" s="347"/>
      <c r="F46" s="322">
        <f>+F39</f>
        <v>3.4719999999999998E-3</v>
      </c>
      <c r="G46" s="323">
        <f t="shared" ref="G46:G48" si="22">+F46</f>
        <v>3.4719999999999998E-3</v>
      </c>
      <c r="H46" s="121" t="s">
        <v>11</v>
      </c>
      <c r="I46" s="121"/>
      <c r="J46" s="121"/>
      <c r="K46" s="121"/>
      <c r="L46" s="121"/>
      <c r="M46" s="121"/>
    </row>
    <row r="47" spans="1:13" x14ac:dyDescent="0.2">
      <c r="A47" s="347" t="s">
        <v>127</v>
      </c>
      <c r="B47" s="347"/>
      <c r="C47" s="347"/>
      <c r="D47" s="347"/>
      <c r="F47" s="322">
        <f>+F40</f>
        <v>0</v>
      </c>
      <c r="G47" s="323">
        <f t="shared" si="22"/>
        <v>0</v>
      </c>
      <c r="H47" s="121" t="s">
        <v>11</v>
      </c>
      <c r="I47" s="121"/>
      <c r="J47" s="121"/>
      <c r="K47" s="121"/>
      <c r="L47" s="121"/>
      <c r="M47" s="121"/>
    </row>
    <row r="48" spans="1:13" x14ac:dyDescent="0.2">
      <c r="A48" s="347" t="s">
        <v>128</v>
      </c>
      <c r="B48" s="347"/>
      <c r="C48" s="347"/>
      <c r="D48" s="347"/>
      <c r="F48" s="322">
        <f>+F41</f>
        <v>-1.237E-3</v>
      </c>
      <c r="G48" s="323">
        <f t="shared" si="22"/>
        <v>-1.237E-3</v>
      </c>
      <c r="H48" s="121" t="s">
        <v>11</v>
      </c>
      <c r="I48" s="121"/>
      <c r="J48" s="121"/>
      <c r="K48" s="121"/>
      <c r="L48" s="121"/>
      <c r="M48" s="121"/>
    </row>
    <row r="49" spans="1:13" ht="13.5" thickBot="1" x14ac:dyDescent="0.25">
      <c r="A49" s="346" t="s">
        <v>132</v>
      </c>
      <c r="B49" s="346"/>
      <c r="C49" s="346"/>
      <c r="D49" s="346"/>
      <c r="F49" s="324">
        <f>SUM(F44:F48)</f>
        <v>0.109469</v>
      </c>
      <c r="G49" s="325">
        <f>SUM(G44:G48)</f>
        <v>0.10942700000000001</v>
      </c>
      <c r="H49" s="121" t="s">
        <v>11</v>
      </c>
      <c r="I49" s="121"/>
      <c r="J49" s="121"/>
      <c r="K49" s="121"/>
      <c r="L49" s="121"/>
      <c r="M49" s="121"/>
    </row>
    <row r="50" spans="1:13" ht="13.5" thickTop="1" x14ac:dyDescent="0.2">
      <c r="A50" s="345"/>
      <c r="B50" s="345"/>
      <c r="C50" s="345"/>
      <c r="D50" s="345"/>
      <c r="F50" s="322"/>
      <c r="G50" s="323"/>
      <c r="H50" s="121"/>
      <c r="I50" s="121"/>
      <c r="J50" s="121"/>
      <c r="K50" s="121"/>
      <c r="L50" s="121"/>
      <c r="M50" s="121"/>
    </row>
    <row r="51" spans="1:13" x14ac:dyDescent="0.2">
      <c r="A51" s="346" t="s">
        <v>47</v>
      </c>
      <c r="B51" s="346"/>
      <c r="C51" s="346"/>
      <c r="D51" s="346"/>
      <c r="F51" s="322">
        <v>-7.4060000000000003E-3</v>
      </c>
      <c r="G51" s="323">
        <f>+F51</f>
        <v>-7.4060000000000003E-3</v>
      </c>
      <c r="H51" s="121" t="s">
        <v>11</v>
      </c>
      <c r="I51" s="121"/>
      <c r="J51" s="121"/>
      <c r="K51" s="121"/>
      <c r="L51" s="121"/>
      <c r="M51" s="121"/>
    </row>
    <row r="52" spans="1:13" x14ac:dyDescent="0.2">
      <c r="A52" s="346" t="s">
        <v>89</v>
      </c>
      <c r="B52" s="346"/>
      <c r="C52" s="346"/>
      <c r="D52" s="346"/>
      <c r="F52" s="322">
        <v>0</v>
      </c>
      <c r="G52" s="323">
        <f>+F52</f>
        <v>0</v>
      </c>
      <c r="H52" s="121" t="s">
        <v>11</v>
      </c>
      <c r="K52" s="121"/>
      <c r="L52" s="121"/>
      <c r="M52" s="121"/>
    </row>
    <row r="53" spans="1:13" x14ac:dyDescent="0.2">
      <c r="A53" s="345"/>
      <c r="B53" s="345"/>
      <c r="C53" s="345"/>
      <c r="D53" s="345"/>
      <c r="F53" s="322"/>
      <c r="G53" s="323"/>
      <c r="I53" s="121"/>
      <c r="J53" s="121"/>
      <c r="K53" s="121"/>
      <c r="L53" s="121"/>
      <c r="M53" s="121"/>
    </row>
    <row r="54" spans="1:13" x14ac:dyDescent="0.2">
      <c r="A54" s="345" t="s">
        <v>207</v>
      </c>
      <c r="B54" s="345"/>
      <c r="C54" s="345"/>
      <c r="D54" s="345"/>
      <c r="F54" s="322"/>
      <c r="G54" s="323"/>
      <c r="H54" s="121" t="s">
        <v>11</v>
      </c>
      <c r="I54" s="121"/>
      <c r="J54" s="121"/>
      <c r="K54" s="121"/>
      <c r="L54" s="121"/>
      <c r="M54" s="121"/>
    </row>
    <row r="55" spans="1:13" x14ac:dyDescent="0.2">
      <c r="A55" s="347" t="s">
        <v>43</v>
      </c>
      <c r="B55" s="347"/>
      <c r="C55" s="347"/>
      <c r="D55" s="347"/>
      <c r="F55" s="322">
        <v>0</v>
      </c>
      <c r="G55" s="323">
        <f>+F55</f>
        <v>0</v>
      </c>
      <c r="H55" s="121" t="s">
        <v>11</v>
      </c>
      <c r="I55" s="121"/>
      <c r="J55" s="121"/>
      <c r="K55" s="121"/>
      <c r="L55" s="121"/>
      <c r="M55" s="121"/>
    </row>
    <row r="56" spans="1:13" x14ac:dyDescent="0.2">
      <c r="A56" s="347" t="s">
        <v>44</v>
      </c>
      <c r="B56" s="347"/>
      <c r="C56" s="347"/>
      <c r="D56" s="347"/>
      <c r="F56" s="322">
        <v>-2.0720000000000001E-3</v>
      </c>
      <c r="G56" s="323">
        <f t="shared" ref="G56:G59" si="23">+F56</f>
        <v>-2.0720000000000001E-3</v>
      </c>
      <c r="H56" s="121" t="s">
        <v>11</v>
      </c>
      <c r="I56" s="121"/>
      <c r="J56" s="121"/>
      <c r="K56" s="121"/>
      <c r="L56" s="121"/>
      <c r="M56" s="121"/>
    </row>
    <row r="57" spans="1:13" x14ac:dyDescent="0.2">
      <c r="A57" s="347" t="s">
        <v>45</v>
      </c>
      <c r="B57" s="347"/>
      <c r="C57" s="347"/>
      <c r="D57" s="347"/>
      <c r="F57" s="322">
        <v>4.8599999999999997E-3</v>
      </c>
      <c r="G57" s="323">
        <f t="shared" si="23"/>
        <v>4.8599999999999997E-3</v>
      </c>
      <c r="H57" s="121" t="s">
        <v>11</v>
      </c>
      <c r="I57" s="121"/>
      <c r="J57" s="121"/>
      <c r="K57" s="121"/>
      <c r="L57" s="121"/>
      <c r="M57" s="121"/>
    </row>
    <row r="58" spans="1:13" x14ac:dyDescent="0.2">
      <c r="A58" s="347" t="s">
        <v>85</v>
      </c>
      <c r="B58" s="347"/>
      <c r="C58" s="347"/>
      <c r="D58" s="347"/>
      <c r="F58" s="322">
        <v>-3.4600000000000001E-4</v>
      </c>
      <c r="G58" s="323">
        <f t="shared" si="23"/>
        <v>-3.4600000000000001E-4</v>
      </c>
      <c r="H58" s="121" t="s">
        <v>11</v>
      </c>
      <c r="I58" s="121"/>
      <c r="J58" s="121"/>
      <c r="K58" s="121"/>
      <c r="L58" s="121"/>
      <c r="M58" s="121"/>
    </row>
    <row r="59" spans="1:13" x14ac:dyDescent="0.2">
      <c r="A59" s="347" t="s">
        <v>114</v>
      </c>
      <c r="B59" s="347"/>
      <c r="C59" s="347"/>
      <c r="D59" s="347"/>
      <c r="F59" s="322">
        <v>-3.4999999999999997E-5</v>
      </c>
      <c r="G59" s="323">
        <f t="shared" si="23"/>
        <v>-3.4999999999999997E-5</v>
      </c>
      <c r="H59" s="121" t="s">
        <v>11</v>
      </c>
      <c r="I59" s="121"/>
      <c r="J59" s="121"/>
      <c r="K59" s="121"/>
      <c r="L59" s="121"/>
      <c r="M59" s="121"/>
    </row>
    <row r="60" spans="1:13" ht="13.5" thickBot="1" x14ac:dyDescent="0.25">
      <c r="A60" s="346" t="s">
        <v>208</v>
      </c>
      <c r="B60" s="346"/>
      <c r="C60" s="346"/>
      <c r="D60" s="346"/>
      <c r="F60" s="324">
        <f>SUM(F55:F59)</f>
        <v>2.4069999999999999E-3</v>
      </c>
      <c r="G60" s="325">
        <f>SUM(G55:G59)</f>
        <v>2.4069999999999999E-3</v>
      </c>
      <c r="H60" s="121" t="s">
        <v>11</v>
      </c>
    </row>
    <row r="61" spans="1:13" ht="13.5" thickTop="1" x14ac:dyDescent="0.2">
      <c r="A61" s="345"/>
      <c r="B61" s="345"/>
      <c r="C61" s="345"/>
      <c r="D61" s="345"/>
      <c r="F61" s="270"/>
      <c r="G61" s="321"/>
    </row>
    <row r="62" spans="1:13" x14ac:dyDescent="0.2">
      <c r="A62" s="346" t="s">
        <v>209</v>
      </c>
      <c r="B62" s="346"/>
      <c r="C62" s="346"/>
      <c r="D62" s="346"/>
      <c r="F62" s="326">
        <f>SUM(F42,F51:F52,F60)</f>
        <v>8.5509000000000002E-2</v>
      </c>
      <c r="G62" s="327">
        <f>SUM(G42,G51:G52,G60)</f>
        <v>8.5467000000000015E-2</v>
      </c>
      <c r="H62" s="121" t="s">
        <v>11</v>
      </c>
    </row>
    <row r="63" spans="1:13" x14ac:dyDescent="0.2">
      <c r="A63" s="346" t="s">
        <v>210</v>
      </c>
      <c r="B63" s="346"/>
      <c r="C63" s="346"/>
      <c r="D63" s="346"/>
      <c r="F63" s="328">
        <f>SUM(F49,F51:F52,F60)</f>
        <v>0.10447000000000001</v>
      </c>
      <c r="G63" s="329">
        <f>SUM(G49,G51:G52,G60)</f>
        <v>0.10442800000000002</v>
      </c>
      <c r="H63" s="121" t="s">
        <v>11</v>
      </c>
    </row>
    <row r="67" spans="1:19" x14ac:dyDescent="0.2">
      <c r="B67" s="303" t="s">
        <v>269</v>
      </c>
    </row>
    <row r="68" spans="1:19" ht="38.25" x14ac:dyDescent="0.2">
      <c r="A68" s="300"/>
      <c r="B68" s="300" t="s">
        <v>211</v>
      </c>
      <c r="C68" s="300" t="s">
        <v>212</v>
      </c>
      <c r="D68" s="300" t="s">
        <v>213</v>
      </c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0"/>
    </row>
    <row r="69" spans="1:19" x14ac:dyDescent="0.2">
      <c r="A69" s="6" t="str">
        <f t="shared" ref="A69:A80" si="24">+A7</f>
        <v>January</v>
      </c>
      <c r="B69" s="330">
        <f>+'F2018 Electric Load'!E19*1000</f>
        <v>1259288000</v>
      </c>
      <c r="C69" s="330">
        <f>+'F2018 Forecast Cust'!E20</f>
        <v>1017096</v>
      </c>
      <c r="D69" s="330">
        <f>+B69/C69</f>
        <v>1238.1210819824284</v>
      </c>
    </row>
    <row r="70" spans="1:19" x14ac:dyDescent="0.2">
      <c r="A70" s="6" t="str">
        <f t="shared" si="24"/>
        <v>February</v>
      </c>
      <c r="B70" s="330">
        <f>+'F2018 Electric Load'!E20*1000</f>
        <v>1049964000</v>
      </c>
      <c r="C70" s="330">
        <f>+'F2018 Forecast Cust'!E21</f>
        <v>1018173</v>
      </c>
      <c r="D70" s="330">
        <f t="shared" ref="D70:D80" si="25">+B70/C70</f>
        <v>1031.223573989882</v>
      </c>
    </row>
    <row r="71" spans="1:19" x14ac:dyDescent="0.2">
      <c r="A71" s="6" t="str">
        <f t="shared" si="24"/>
        <v>March</v>
      </c>
      <c r="B71" s="330">
        <f>+'F2018 Electric Load'!E21*1000</f>
        <v>1045413000</v>
      </c>
      <c r="C71" s="330">
        <f>+'F2018 Forecast Cust'!E22</f>
        <v>1019088</v>
      </c>
      <c r="D71" s="330">
        <f t="shared" si="25"/>
        <v>1025.831920305214</v>
      </c>
    </row>
    <row r="72" spans="1:19" x14ac:dyDescent="0.2">
      <c r="A72" s="6" t="str">
        <f t="shared" si="24"/>
        <v>April</v>
      </c>
      <c r="B72" s="330">
        <f>+'F2018 Electric Load'!E22*1000</f>
        <v>862305000</v>
      </c>
      <c r="C72" s="330">
        <f>+'F2018 Forecast Cust'!E23</f>
        <v>1019934</v>
      </c>
      <c r="D72" s="330">
        <f t="shared" si="25"/>
        <v>845.45176452593989</v>
      </c>
    </row>
    <row r="73" spans="1:19" x14ac:dyDescent="0.2">
      <c r="A73" s="6" t="str">
        <f t="shared" si="24"/>
        <v>May</v>
      </c>
      <c r="B73" s="330">
        <f>+'F2018 Electric Load'!E23*1000</f>
        <v>739742000</v>
      </c>
      <c r="C73" s="330">
        <f>+'F2018 Forecast Cust'!E24</f>
        <v>1020686</v>
      </c>
      <c r="D73" s="330">
        <f t="shared" si="25"/>
        <v>724.74982511761698</v>
      </c>
    </row>
    <row r="74" spans="1:19" x14ac:dyDescent="0.2">
      <c r="A74" s="6" t="str">
        <f t="shared" si="24"/>
        <v>June</v>
      </c>
      <c r="B74" s="330">
        <f>+'F2018 Electric Load'!E24*1000</f>
        <v>680386000</v>
      </c>
      <c r="C74" s="330">
        <f>+'F2018 Forecast Cust'!E25</f>
        <v>1021433</v>
      </c>
      <c r="D74" s="330">
        <f t="shared" si="25"/>
        <v>666.10927980591975</v>
      </c>
    </row>
    <row r="75" spans="1:19" x14ac:dyDescent="0.2">
      <c r="A75" s="6" t="str">
        <f t="shared" si="24"/>
        <v>July</v>
      </c>
      <c r="B75" s="330">
        <f>+'F2018 Electric Load'!E25*1000</f>
        <v>681210000</v>
      </c>
      <c r="C75" s="330">
        <f>+'F2018 Forecast Cust'!E26</f>
        <v>1021991</v>
      </c>
      <c r="D75" s="330">
        <f t="shared" si="25"/>
        <v>666.5518580887699</v>
      </c>
    </row>
    <row r="76" spans="1:19" x14ac:dyDescent="0.2">
      <c r="A76" s="6" t="str">
        <f t="shared" si="24"/>
        <v>August</v>
      </c>
      <c r="B76" s="330">
        <f>+'F2018 Electric Load'!E26*1000</f>
        <v>664685000</v>
      </c>
      <c r="C76" s="330">
        <f>+'F2018 Forecast Cust'!E27</f>
        <v>1022870</v>
      </c>
      <c r="D76" s="330">
        <f t="shared" si="25"/>
        <v>649.82353573767932</v>
      </c>
    </row>
    <row r="77" spans="1:19" x14ac:dyDescent="0.2">
      <c r="A77" s="6" t="str">
        <f t="shared" si="24"/>
        <v>September</v>
      </c>
      <c r="B77" s="330">
        <f>+'F2018 Electric Load'!E27*1000</f>
        <v>667588000</v>
      </c>
      <c r="C77" s="330">
        <f>+'F2018 Forecast Cust'!E28</f>
        <v>1024028</v>
      </c>
      <c r="D77" s="330">
        <f t="shared" si="25"/>
        <v>651.92358021460348</v>
      </c>
    </row>
    <row r="78" spans="1:19" x14ac:dyDescent="0.2">
      <c r="A78" s="6" t="str">
        <f t="shared" si="24"/>
        <v>October</v>
      </c>
      <c r="B78" s="330">
        <f>+'F2018 Electric Load'!E16*1000</f>
        <v>833727000</v>
      </c>
      <c r="C78" s="330">
        <f>+'F2018 Forecast Cust'!E17</f>
        <v>1013241</v>
      </c>
      <c r="D78" s="330">
        <f t="shared" si="25"/>
        <v>822.83188303671091</v>
      </c>
    </row>
    <row r="79" spans="1:19" x14ac:dyDescent="0.2">
      <c r="A79" s="6" t="str">
        <f t="shared" si="24"/>
        <v>November</v>
      </c>
      <c r="B79" s="330">
        <f>+'F2018 Electric Load'!E17*1000</f>
        <v>1026625000</v>
      </c>
      <c r="C79" s="330">
        <f>+'F2018 Forecast Cust'!E18</f>
        <v>1014665</v>
      </c>
      <c r="D79" s="330">
        <f t="shared" si="25"/>
        <v>1011.7871415688923</v>
      </c>
    </row>
    <row r="80" spans="1:19" x14ac:dyDescent="0.2">
      <c r="A80" s="6" t="str">
        <f t="shared" si="24"/>
        <v>December</v>
      </c>
      <c r="B80" s="330">
        <f>+'F2018 Electric Load'!E18*1000</f>
        <v>1300977000</v>
      </c>
      <c r="C80" s="330">
        <f>+'F2018 Forecast Cust'!E19</f>
        <v>1015814</v>
      </c>
      <c r="D80" s="330">
        <f t="shared" si="25"/>
        <v>1280.723636413753</v>
      </c>
    </row>
    <row r="81" spans="1:4" x14ac:dyDescent="0.2">
      <c r="A81" s="6" t="s">
        <v>63</v>
      </c>
      <c r="B81" s="330">
        <f>SUM(B69:B80)</f>
        <v>10811910000</v>
      </c>
      <c r="C81" s="330">
        <f>SUM(C69:C77)</f>
        <v>9185299</v>
      </c>
      <c r="D81" s="330">
        <f>SUM(D69:D80)</f>
        <v>10615.12908078741</v>
      </c>
    </row>
    <row r="82" spans="1:4" x14ac:dyDescent="0.2">
      <c r="D82" s="330"/>
    </row>
    <row r="83" spans="1:4" x14ac:dyDescent="0.2">
      <c r="A83" s="6" t="s">
        <v>214</v>
      </c>
      <c r="B83" s="330"/>
      <c r="C83" s="330"/>
      <c r="D83" s="330">
        <f>AVERAGE(D69:D80)</f>
        <v>884.59409006561748</v>
      </c>
    </row>
  </sheetData>
  <mergeCells count="33">
    <mergeCell ref="A42:D42"/>
    <mergeCell ref="C5:N5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54:D54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61:D61"/>
    <mergeCell ref="A62:D62"/>
    <mergeCell ref="A63:D63"/>
    <mergeCell ref="A55:D55"/>
    <mergeCell ref="A56:D56"/>
    <mergeCell ref="A57:D57"/>
    <mergeCell ref="A58:D58"/>
    <mergeCell ref="A59:D59"/>
    <mergeCell ref="A60:D60"/>
  </mergeCells>
  <phoneticPr fontId="0" type="noConversion"/>
  <printOptions horizontalCentered="1"/>
  <pageMargins left="0.7" right="0.7" top="0.75" bottom="0.75" header="0.3" footer="0.3"/>
  <pageSetup scale="58" orientation="landscape" r:id="rId1"/>
  <headerFooter alignWithMargins="0">
    <oddHeader>&amp;R2018 Low Income Filing
Advice 2018-xx
Page &amp;P of &amp;N</oddHeader>
    <oddFooter>&amp;L&amp;F
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zoomScaleNormal="100" workbookViewId="0">
      <pane xSplit="3" ySplit="7" topLeftCell="D8" activePane="bottomRight" state="frozen"/>
      <selection activeCell="J7" sqref="J7"/>
      <selection pane="topRight" activeCell="J7" sqref="J7"/>
      <selection pane="bottomLeft" activeCell="J7" sqref="J7"/>
      <selection pane="bottomRight" activeCell="J10" sqref="J10"/>
    </sheetView>
  </sheetViews>
  <sheetFormatPr defaultColWidth="9.140625" defaultRowHeight="12.75" x14ac:dyDescent="0.2"/>
  <cols>
    <col min="1" max="1" width="4.28515625" style="74" bestFit="1" customWidth="1"/>
    <col min="2" max="2" width="34.140625" style="74" bestFit="1" customWidth="1"/>
    <col min="3" max="3" width="10.85546875" style="74" bestFit="1" customWidth="1"/>
    <col min="4" max="4" width="14.42578125" style="74" customWidth="1"/>
    <col min="5" max="6" width="14.7109375" style="74" bestFit="1" customWidth="1"/>
    <col min="7" max="7" width="13.28515625" style="74" bestFit="1" customWidth="1"/>
    <col min="8" max="8" width="9.140625" style="74"/>
    <col min="9" max="9" width="17.28515625" style="74" bestFit="1" customWidth="1"/>
    <col min="10" max="10" width="14" style="74" bestFit="1" customWidth="1"/>
    <col min="11" max="11" width="15" style="74" bestFit="1" customWidth="1"/>
    <col min="12" max="16384" width="9.140625" style="74"/>
  </cols>
  <sheetData>
    <row r="1" spans="1:11" x14ac:dyDescent="0.2">
      <c r="A1" s="349" t="s">
        <v>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 x14ac:dyDescent="0.2">
      <c r="A2" s="349" t="s">
        <v>133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11" x14ac:dyDescent="0.2">
      <c r="A3" s="349" t="s">
        <v>253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</row>
    <row r="4" spans="1:11" x14ac:dyDescent="0.2">
      <c r="A4" s="349" t="s">
        <v>252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</row>
    <row r="5" spans="1:11" x14ac:dyDescent="0.2">
      <c r="A5" s="350" t="s">
        <v>350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</row>
    <row r="6" spans="1:11" x14ac:dyDescent="0.2">
      <c r="A6" s="104"/>
      <c r="B6" s="105"/>
      <c r="C6" s="105"/>
    </row>
    <row r="7" spans="1:11" s="77" customFormat="1" ht="76.5" x14ac:dyDescent="0.2">
      <c r="A7" s="75" t="s">
        <v>9</v>
      </c>
      <c r="B7" s="75" t="s">
        <v>90</v>
      </c>
      <c r="C7" s="75" t="s">
        <v>0</v>
      </c>
      <c r="D7" s="76" t="s">
        <v>247</v>
      </c>
      <c r="E7" s="76" t="s">
        <v>248</v>
      </c>
      <c r="F7" s="76" t="s">
        <v>249</v>
      </c>
      <c r="G7" s="76" t="s">
        <v>250</v>
      </c>
      <c r="I7" s="76" t="s">
        <v>349</v>
      </c>
      <c r="J7" s="76" t="s">
        <v>348</v>
      </c>
      <c r="K7" s="76" t="s">
        <v>251</v>
      </c>
    </row>
    <row r="8" spans="1:11" s="77" customFormat="1" x14ac:dyDescent="0.2">
      <c r="A8" s="78"/>
      <c r="B8" s="78" t="s">
        <v>91</v>
      </c>
      <c r="C8" s="79" t="s">
        <v>92</v>
      </c>
      <c r="D8" s="80" t="s">
        <v>281</v>
      </c>
      <c r="E8" s="80" t="s">
        <v>282</v>
      </c>
      <c r="F8" s="80" t="s">
        <v>120</v>
      </c>
      <c r="G8" s="80" t="s">
        <v>94</v>
      </c>
      <c r="I8" s="80" t="s">
        <v>121</v>
      </c>
      <c r="J8" s="80" t="s">
        <v>122</v>
      </c>
      <c r="K8" s="80" t="s">
        <v>283</v>
      </c>
    </row>
    <row r="9" spans="1:11" s="77" customFormat="1" x14ac:dyDescent="0.2">
      <c r="A9" s="77">
        <v>1</v>
      </c>
      <c r="B9" s="81" t="s">
        <v>1</v>
      </c>
      <c r="C9" s="78"/>
    </row>
    <row r="10" spans="1:11" x14ac:dyDescent="0.2">
      <c r="A10" s="77">
        <v>2</v>
      </c>
      <c r="B10" s="82" t="s">
        <v>1</v>
      </c>
      <c r="C10" s="83">
        <v>7</v>
      </c>
      <c r="D10" s="84">
        <f>+'F2018 Sch Level Delivered Load'!AT33</f>
        <v>10809562000</v>
      </c>
      <c r="E10" s="85">
        <f>SUM(F10:G10)</f>
        <v>1112711000</v>
      </c>
      <c r="F10" s="85">
        <f>+'[1]Rate Impacts 10-1-2018'!D9</f>
        <v>1124904000</v>
      </c>
      <c r="G10" s="85">
        <f>+'[1]Rate Impacts 10-1-2018'!L9</f>
        <v>-12193000</v>
      </c>
      <c r="I10" s="85">
        <f>+'[1]Rate Impacts 10-1-2018'!O9</f>
        <v>1106022000</v>
      </c>
      <c r="J10" s="85">
        <f>+'[1]Rate Impacts 10-1-2018'!H9</f>
        <v>10129000</v>
      </c>
      <c r="K10" s="85">
        <f>+I10-J10</f>
        <v>1095893000</v>
      </c>
    </row>
    <row r="11" spans="1:11" x14ac:dyDescent="0.2">
      <c r="A11" s="77">
        <v>3</v>
      </c>
      <c r="B11" s="86" t="s">
        <v>95</v>
      </c>
      <c r="C11" s="83"/>
      <c r="D11" s="87">
        <f>SUM(D10:D10)</f>
        <v>10809562000</v>
      </c>
      <c r="E11" s="88">
        <f>SUM(E10:E10)</f>
        <v>1112711000</v>
      </c>
      <c r="F11" s="88">
        <f t="shared" ref="F11" si="0">SUM(F10:F10)</f>
        <v>1124904000</v>
      </c>
      <c r="G11" s="88">
        <f>SUM(G10:G10)</f>
        <v>-12193000</v>
      </c>
      <c r="I11" s="88">
        <f>SUM(I10:I10)</f>
        <v>1106022000</v>
      </c>
      <c r="J11" s="88">
        <f>SUM(J10:J10)</f>
        <v>10129000</v>
      </c>
      <c r="K11" s="88">
        <f>SUM(K10:K10)</f>
        <v>1095893000</v>
      </c>
    </row>
    <row r="12" spans="1:11" x14ac:dyDescent="0.2">
      <c r="A12" s="77">
        <v>4</v>
      </c>
      <c r="C12" s="83"/>
      <c r="D12" s="89"/>
      <c r="E12" s="90"/>
      <c r="F12" s="90"/>
      <c r="G12" s="90"/>
      <c r="I12" s="90"/>
      <c r="J12" s="90"/>
      <c r="K12" s="90"/>
    </row>
    <row r="13" spans="1:11" x14ac:dyDescent="0.2">
      <c r="A13" s="77">
        <v>5</v>
      </c>
      <c r="B13" s="74" t="s">
        <v>96</v>
      </c>
      <c r="C13" s="83"/>
      <c r="D13" s="89"/>
      <c r="E13" s="90"/>
      <c r="F13" s="90"/>
      <c r="G13" s="90"/>
      <c r="I13" s="90"/>
      <c r="J13" s="90"/>
      <c r="K13" s="90"/>
    </row>
    <row r="14" spans="1:11" x14ac:dyDescent="0.2">
      <c r="A14" s="77">
        <v>6</v>
      </c>
      <c r="B14" s="91" t="s">
        <v>97</v>
      </c>
      <c r="C14" s="83" t="s">
        <v>165</v>
      </c>
      <c r="D14" s="84">
        <f>+'F2018 Sch Level Delivered Load'!AV33</f>
        <v>3049254000</v>
      </c>
      <c r="E14" s="90">
        <f>SUM(F14:G14)</f>
        <v>300311000</v>
      </c>
      <c r="F14" s="85">
        <f>+'[1]Rate Impacts 10-1-2018'!D12</f>
        <v>296137000</v>
      </c>
      <c r="G14" s="85">
        <f>+'[1]Rate Impacts 10-1-2018'!L12</f>
        <v>4174000</v>
      </c>
      <c r="I14" s="85">
        <f>+'[1]Rate Impacts 10-1-2018'!O12</f>
        <v>315698000</v>
      </c>
      <c r="J14" s="85">
        <f>+'[1]Rate Impacts 10-1-2018'!H12</f>
        <v>2607000</v>
      </c>
      <c r="K14" s="85">
        <f>+I14-J14</f>
        <v>313091000</v>
      </c>
    </row>
    <row r="15" spans="1:11" x14ac:dyDescent="0.2">
      <c r="A15" s="77">
        <v>7</v>
      </c>
      <c r="B15" s="91" t="s">
        <v>98</v>
      </c>
      <c r="C15" s="108" t="s">
        <v>168</v>
      </c>
      <c r="D15" s="84">
        <f>+'F2018 Sch Level Delivered Load'!AU33+'F2018 Sch Level Delivered Load'!AW33</f>
        <v>3208495000</v>
      </c>
      <c r="E15" s="90">
        <f>SUM(F15:G15)</f>
        <v>293729000</v>
      </c>
      <c r="F15" s="85">
        <f>+'[1]Rate Impacts 10-1-2018'!D13</f>
        <v>288839000</v>
      </c>
      <c r="G15" s="85">
        <f>+'[1]Rate Impacts 10-1-2018'!L13</f>
        <v>4890000</v>
      </c>
      <c r="I15" s="85">
        <f>+'[1]Rate Impacts 10-1-2018'!O13</f>
        <v>310234000</v>
      </c>
      <c r="J15" s="85">
        <f>+'[1]Rate Impacts 10-1-2018'!H13</f>
        <v>2548000</v>
      </c>
      <c r="K15" s="85">
        <f t="shared" ref="K15:K17" si="1">+I15-J15</f>
        <v>307686000</v>
      </c>
    </row>
    <row r="16" spans="1:11" x14ac:dyDescent="0.2">
      <c r="A16" s="77">
        <v>8</v>
      </c>
      <c r="B16" s="91" t="s">
        <v>99</v>
      </c>
      <c r="C16" s="108" t="s">
        <v>169</v>
      </c>
      <c r="D16" s="84">
        <f>+'F2018 Sch Level Delivered Load'!AX33</f>
        <v>1921550000</v>
      </c>
      <c r="E16" s="90">
        <f>SUM(F16:G16)</f>
        <v>158357000</v>
      </c>
      <c r="F16" s="85">
        <f>+'[1]Rate Impacts 10-1-2018'!D14</f>
        <v>158173000</v>
      </c>
      <c r="G16" s="85">
        <f>+'[1]Rate Impacts 10-1-2018'!L14</f>
        <v>184000</v>
      </c>
      <c r="I16" s="85">
        <f>+'[1]Rate Impacts 10-1-2018'!O14</f>
        <v>168337000</v>
      </c>
      <c r="J16" s="85">
        <f>+'[1]Rate Impacts 10-1-2018'!H14</f>
        <v>1359000</v>
      </c>
      <c r="K16" s="85">
        <f t="shared" si="1"/>
        <v>166978000</v>
      </c>
    </row>
    <row r="17" spans="1:11" x14ac:dyDescent="0.2">
      <c r="A17" s="77">
        <v>10</v>
      </c>
      <c r="B17" s="91" t="s">
        <v>100</v>
      </c>
      <c r="C17" s="83">
        <v>29</v>
      </c>
      <c r="D17" s="84">
        <f>+'F2018 Sch Level Delivered Load'!AY33</f>
        <v>16140000</v>
      </c>
      <c r="E17" s="90">
        <f>SUM(F17:G17)</f>
        <v>1322000</v>
      </c>
      <c r="F17" s="85">
        <f>+'[1]Rate Impacts 10-1-2018'!D15</f>
        <v>1297000</v>
      </c>
      <c r="G17" s="85">
        <f>+'[1]Rate Impacts 10-1-2018'!L15</f>
        <v>25000</v>
      </c>
      <c r="I17" s="85">
        <f>+'[1]Rate Impacts 10-1-2018'!O15</f>
        <v>1275000</v>
      </c>
      <c r="J17" s="85">
        <f>+'[1]Rate Impacts 10-1-2018'!H15</f>
        <v>11000</v>
      </c>
      <c r="K17" s="85">
        <f t="shared" si="1"/>
        <v>1264000</v>
      </c>
    </row>
    <row r="18" spans="1:11" x14ac:dyDescent="0.2">
      <c r="A18" s="77">
        <v>11</v>
      </c>
      <c r="B18" s="74" t="s">
        <v>101</v>
      </c>
      <c r="C18" s="83"/>
      <c r="D18" s="87">
        <f>SUM(D14:D17)</f>
        <v>8195439000</v>
      </c>
      <c r="E18" s="88">
        <f>SUM(E14:E17)</f>
        <v>753719000</v>
      </c>
      <c r="F18" s="88">
        <f t="shared" ref="F18" si="2">SUM(F14:F17)</f>
        <v>744446000</v>
      </c>
      <c r="G18" s="88">
        <f>SUM(G14:G17)</f>
        <v>9273000</v>
      </c>
      <c r="I18" s="88">
        <f>SUM(I14:I17)</f>
        <v>795544000</v>
      </c>
      <c r="J18" s="88">
        <f>SUM(J14:J17)</f>
        <v>6525000</v>
      </c>
      <c r="K18" s="88">
        <f>SUM(K14:K17)</f>
        <v>789019000</v>
      </c>
    </row>
    <row r="19" spans="1:11" x14ac:dyDescent="0.2">
      <c r="A19" s="77">
        <v>12</v>
      </c>
      <c r="C19" s="83"/>
      <c r="D19" s="89"/>
      <c r="E19" s="90"/>
      <c r="F19" s="90"/>
      <c r="G19" s="90"/>
      <c r="I19" s="90"/>
      <c r="J19" s="90"/>
      <c r="K19" s="90"/>
    </row>
    <row r="20" spans="1:11" x14ac:dyDescent="0.2">
      <c r="A20" s="77">
        <v>13</v>
      </c>
      <c r="B20" s="92" t="s">
        <v>102</v>
      </c>
      <c r="C20" s="83"/>
      <c r="D20" s="89"/>
      <c r="E20" s="90"/>
      <c r="F20" s="90"/>
      <c r="G20" s="90"/>
      <c r="I20" s="90"/>
      <c r="J20" s="90"/>
      <c r="K20" s="90"/>
    </row>
    <row r="21" spans="1:11" x14ac:dyDescent="0.2">
      <c r="A21" s="77">
        <v>14</v>
      </c>
      <c r="B21" s="82" t="s">
        <v>103</v>
      </c>
      <c r="C21" s="83" t="s">
        <v>166</v>
      </c>
      <c r="D21" s="84">
        <f>+'F2018 Sch Level Delivered Load'!AZ33</f>
        <v>1409546000</v>
      </c>
      <c r="E21" s="90">
        <f>SUM(F21:G21)</f>
        <v>114140000</v>
      </c>
      <c r="F21" s="85">
        <f>+'[1]Rate Impacts 10-1-2018'!D18</f>
        <v>114296000</v>
      </c>
      <c r="G21" s="85">
        <f>+'[1]Rate Impacts 10-1-2018'!L18</f>
        <v>-156000</v>
      </c>
      <c r="I21" s="85">
        <f>+'[1]Rate Impacts 10-1-2018'!O18</f>
        <v>121142000</v>
      </c>
      <c r="J21" s="85">
        <f>+'[1]Rate Impacts 10-1-2018'!H18</f>
        <v>981000</v>
      </c>
      <c r="K21" s="85">
        <f>+I21-J21</f>
        <v>120161000</v>
      </c>
    </row>
    <row r="22" spans="1:11" x14ac:dyDescent="0.2">
      <c r="A22" s="77">
        <v>15</v>
      </c>
      <c r="B22" s="82" t="s">
        <v>100</v>
      </c>
      <c r="C22" s="83">
        <v>35</v>
      </c>
      <c r="D22" s="84">
        <f>+'F2018 Sch Level Delivered Load'!BA33</f>
        <v>5150000</v>
      </c>
      <c r="E22" s="90">
        <f>SUM(F22:G22)</f>
        <v>303000</v>
      </c>
      <c r="F22" s="85">
        <f>+'[1]Rate Impacts 10-1-2018'!D19</f>
        <v>295000</v>
      </c>
      <c r="G22" s="85">
        <f>+'[1]Rate Impacts 10-1-2018'!L19</f>
        <v>8000</v>
      </c>
      <c r="I22" s="85">
        <f>+'[1]Rate Impacts 10-1-2018'!O19</f>
        <v>286000</v>
      </c>
      <c r="J22" s="85">
        <f>+'[1]Rate Impacts 10-1-2018'!H19</f>
        <v>2000</v>
      </c>
      <c r="K22" s="85">
        <f t="shared" ref="K22:K23" si="3">+I22-J22</f>
        <v>284000</v>
      </c>
    </row>
    <row r="23" spans="1:11" x14ac:dyDescent="0.2">
      <c r="A23" s="77">
        <v>16</v>
      </c>
      <c r="B23" s="82" t="s">
        <v>104</v>
      </c>
      <c r="C23" s="83">
        <v>43</v>
      </c>
      <c r="D23" s="84">
        <f>+'F2018 Sch Level Delivered Load'!BB33</f>
        <v>123766000</v>
      </c>
      <c r="E23" s="90">
        <f>SUM(F23:G23)</f>
        <v>11083000</v>
      </c>
      <c r="F23" s="85">
        <f>+'[1]Rate Impacts 10-1-2018'!D20</f>
        <v>10894000</v>
      </c>
      <c r="G23" s="85">
        <f>+'[1]Rate Impacts 10-1-2018'!L20</f>
        <v>189000</v>
      </c>
      <c r="I23" s="85">
        <f>+'[1]Rate Impacts 10-1-2018'!O20</f>
        <v>11771000</v>
      </c>
      <c r="J23" s="85">
        <f>+'[1]Rate Impacts 10-1-2018'!H20</f>
        <v>95000</v>
      </c>
      <c r="K23" s="85">
        <f t="shared" si="3"/>
        <v>11676000</v>
      </c>
    </row>
    <row r="24" spans="1:11" x14ac:dyDescent="0.2">
      <c r="A24" s="77">
        <v>17</v>
      </c>
      <c r="B24" s="74" t="s">
        <v>105</v>
      </c>
      <c r="C24" s="83"/>
      <c r="D24" s="87">
        <f>SUM(D21:D23)</f>
        <v>1538462000</v>
      </c>
      <c r="E24" s="88">
        <f>SUM(E21:E23)</f>
        <v>125526000</v>
      </c>
      <c r="F24" s="88">
        <f t="shared" ref="F24" si="4">SUM(F21:F23)</f>
        <v>125485000</v>
      </c>
      <c r="G24" s="88">
        <f>SUM(G21:G23)</f>
        <v>41000</v>
      </c>
      <c r="I24" s="88">
        <f>SUM(I21:I23)</f>
        <v>133199000</v>
      </c>
      <c r="J24" s="88">
        <f>SUM(J21:J23)</f>
        <v>1078000</v>
      </c>
      <c r="K24" s="88">
        <f>SUM(K21:K23)</f>
        <v>132121000</v>
      </c>
    </row>
    <row r="25" spans="1:11" x14ac:dyDescent="0.2">
      <c r="A25" s="77">
        <v>18</v>
      </c>
      <c r="C25" s="83"/>
      <c r="D25" s="87"/>
    </row>
    <row r="26" spans="1:11" x14ac:dyDescent="0.2">
      <c r="A26" s="77">
        <v>19</v>
      </c>
      <c r="B26" s="74" t="s">
        <v>77</v>
      </c>
      <c r="C26" s="83">
        <v>40</v>
      </c>
      <c r="D26" s="87">
        <f>+'F2018 Sch Level Delivered Load'!BC33</f>
        <v>586365000</v>
      </c>
      <c r="E26" s="88">
        <f>SUM(F26:G26)</f>
        <v>43672000</v>
      </c>
      <c r="F26" s="88">
        <f>+'[1]Rate Impacts 10-1-2018'!D23</f>
        <v>42551000</v>
      </c>
      <c r="G26" s="88">
        <f>+'[1]Rate Impacts 10-1-2018'!L23</f>
        <v>1121000</v>
      </c>
      <c r="I26" s="88">
        <f>+'[1]Rate Impacts 10-1-2018'!O23</f>
        <v>46383000</v>
      </c>
      <c r="J26" s="88">
        <f>+'[1]Rate Impacts 10-1-2018'!H23</f>
        <v>393000</v>
      </c>
      <c r="K26" s="88">
        <f>+I26-J26</f>
        <v>45990000</v>
      </c>
    </row>
    <row r="27" spans="1:11" x14ac:dyDescent="0.2">
      <c r="A27" s="77">
        <v>20</v>
      </c>
      <c r="C27" s="83"/>
      <c r="D27" s="89"/>
    </row>
    <row r="28" spans="1:11" x14ac:dyDescent="0.2">
      <c r="A28" s="77">
        <v>21</v>
      </c>
      <c r="B28" s="92" t="s">
        <v>106</v>
      </c>
      <c r="C28" s="83"/>
      <c r="D28" s="89"/>
      <c r="E28" s="90"/>
      <c r="F28" s="90"/>
      <c r="G28" s="90"/>
      <c r="I28" s="90"/>
      <c r="J28" s="90"/>
      <c r="K28" s="90"/>
    </row>
    <row r="29" spans="1:11" x14ac:dyDescent="0.2">
      <c r="A29" s="77">
        <v>22</v>
      </c>
      <c r="B29" s="91" t="s">
        <v>107</v>
      </c>
      <c r="C29" s="83">
        <v>46</v>
      </c>
      <c r="D29" s="84">
        <f>+'F2018 Sch Level Delivered Load'!BD33</f>
        <v>79268000</v>
      </c>
      <c r="E29" s="90">
        <f>SUM(F29:G29)</f>
        <v>5361000</v>
      </c>
      <c r="F29" s="85">
        <f>+'[1]Rate Impacts 10-1-2018'!D25</f>
        <v>5249000</v>
      </c>
      <c r="G29" s="85">
        <f>+'[1]Rate Impacts 10-1-2018'!L25</f>
        <v>112000</v>
      </c>
      <c r="I29" s="85">
        <f>+'[1]Rate Impacts 10-1-2018'!O25</f>
        <v>5666000</v>
      </c>
      <c r="J29" s="85">
        <f>+'[1]Rate Impacts 10-1-2018'!H25</f>
        <v>47000</v>
      </c>
      <c r="K29" s="85">
        <f>+I29-J29</f>
        <v>5619000</v>
      </c>
    </row>
    <row r="30" spans="1:11" x14ac:dyDescent="0.2">
      <c r="A30" s="77">
        <v>23</v>
      </c>
      <c r="B30" s="91" t="s">
        <v>103</v>
      </c>
      <c r="C30" s="83">
        <v>49</v>
      </c>
      <c r="D30" s="84">
        <f>+'F2018 Sch Level Delivered Load'!BE33</f>
        <v>597895000</v>
      </c>
      <c r="E30" s="90">
        <f>SUM(F30:G30)</f>
        <v>39373000</v>
      </c>
      <c r="F30" s="85">
        <f>+'[1]Rate Impacts 10-1-2018'!D26</f>
        <v>38525000</v>
      </c>
      <c r="G30" s="85">
        <f>+'[1]Rate Impacts 10-1-2018'!L26</f>
        <v>848000</v>
      </c>
      <c r="I30" s="85">
        <f>+'[1]Rate Impacts 10-1-2018'!O26</f>
        <v>41941000</v>
      </c>
      <c r="J30" s="85">
        <f>+'[1]Rate Impacts 10-1-2018'!H26</f>
        <v>344000</v>
      </c>
      <c r="K30" s="85">
        <f>+I30-J30</f>
        <v>41597000</v>
      </c>
    </row>
    <row r="31" spans="1:11" x14ac:dyDescent="0.2">
      <c r="A31" s="77">
        <v>24</v>
      </c>
      <c r="B31" s="74" t="s">
        <v>108</v>
      </c>
      <c r="C31" s="83"/>
      <c r="D31" s="87">
        <f>SUM(D29:D30)</f>
        <v>677163000</v>
      </c>
      <c r="E31" s="88">
        <f>SUM(E29:E30)</f>
        <v>44734000</v>
      </c>
      <c r="F31" s="88">
        <f t="shared" ref="F31" si="5">SUM(F29:F30)</f>
        <v>43774000</v>
      </c>
      <c r="G31" s="88">
        <f>SUM(G29:G30)</f>
        <v>960000</v>
      </c>
      <c r="I31" s="88">
        <f>SUM(I29:I30)</f>
        <v>47607000</v>
      </c>
      <c r="J31" s="88">
        <f>SUM(J29:J30)</f>
        <v>391000</v>
      </c>
      <c r="K31" s="88">
        <f>SUM(K29:K30)</f>
        <v>47216000</v>
      </c>
    </row>
    <row r="32" spans="1:11" x14ac:dyDescent="0.2">
      <c r="A32" s="77">
        <v>25</v>
      </c>
      <c r="C32" s="83"/>
      <c r="D32" s="87"/>
    </row>
    <row r="33" spans="1:11" x14ac:dyDescent="0.2">
      <c r="A33" s="77">
        <v>26</v>
      </c>
      <c r="B33" s="74" t="s">
        <v>109</v>
      </c>
      <c r="C33" s="108" t="s">
        <v>342</v>
      </c>
      <c r="D33" s="87">
        <f>+'F2018 Sch Level Delivered Load'!BF33</f>
        <v>70960000</v>
      </c>
      <c r="E33" s="88">
        <f>SUM(F33:G33)</f>
        <v>15916000</v>
      </c>
      <c r="F33" s="88">
        <f>+'[1]Rate Impacts 10-1-2018'!D29</f>
        <v>15916000</v>
      </c>
      <c r="G33" s="88">
        <f>+'[1]Rate Impacts 10-1-2018'!L29</f>
        <v>0</v>
      </c>
      <c r="I33" s="88">
        <f>+'[1]Rate Impacts 10-1-2018'!O29</f>
        <v>16777000</v>
      </c>
      <c r="J33" s="88">
        <f>+'[1]Rate Impacts 10-1-2018'!H29</f>
        <v>154000</v>
      </c>
      <c r="K33" s="88">
        <f>+I33-J33</f>
        <v>16623000</v>
      </c>
    </row>
    <row r="34" spans="1:11" x14ac:dyDescent="0.2">
      <c r="A34" s="77">
        <v>27</v>
      </c>
      <c r="B34" s="82"/>
      <c r="C34" s="83"/>
      <c r="D34" s="89"/>
    </row>
    <row r="35" spans="1:11" x14ac:dyDescent="0.2">
      <c r="A35" s="77">
        <v>30</v>
      </c>
      <c r="B35" s="92" t="s">
        <v>110</v>
      </c>
      <c r="C35" s="108" t="s">
        <v>170</v>
      </c>
      <c r="D35" s="87">
        <f>+'F2018 Sch Level Delivered Load'!BH33</f>
        <v>2030932000</v>
      </c>
      <c r="E35" s="88">
        <f>SUM(F35:G35)</f>
        <v>7703000</v>
      </c>
      <c r="F35" s="88">
        <f>+'[1]Rate Impacts 10-1-2018'!D31</f>
        <v>7703000</v>
      </c>
      <c r="G35" s="88">
        <f>+'[1]Rate Impacts 10-1-2018'!L31</f>
        <v>0</v>
      </c>
      <c r="I35" s="88">
        <f>+'[1]Rate Impacts 10-1-2018'!O31</f>
        <v>9915000</v>
      </c>
      <c r="J35" s="88">
        <f>+'[1]Rate Impacts 10-1-2018'!H31</f>
        <v>67000</v>
      </c>
      <c r="K35" s="88">
        <f>+I35-J35</f>
        <v>9848000</v>
      </c>
    </row>
    <row r="36" spans="1:11" x14ac:dyDescent="0.2">
      <c r="A36" s="77">
        <v>31</v>
      </c>
      <c r="B36" s="92"/>
      <c r="C36" s="83"/>
      <c r="D36" s="84"/>
    </row>
    <row r="37" spans="1:11" ht="13.5" thickBot="1" x14ac:dyDescent="0.25">
      <c r="A37" s="77">
        <v>32</v>
      </c>
      <c r="B37" s="74" t="s">
        <v>111</v>
      </c>
      <c r="C37" s="83"/>
      <c r="D37" s="87">
        <f>SUM(D11,D18,D24,D26,D31,D33,D35)</f>
        <v>23908883000</v>
      </c>
      <c r="E37" s="93">
        <f>SUM(E11,E18,E24,E26,E31,E33,E35)</f>
        <v>2103981000</v>
      </c>
      <c r="F37" s="93">
        <f t="shared" ref="F37" si="6">SUM(F11,F18,F24,F26,F31,F33,F35)</f>
        <v>2104779000</v>
      </c>
      <c r="G37" s="93">
        <f t="shared" ref="G37" si="7">SUM(G11,G18,G24,G26,G31,G33,G35)</f>
        <v>-798000</v>
      </c>
      <c r="I37" s="93">
        <f>SUM(I11,I18,I24,I26,I31,I33,I35)</f>
        <v>2155447000</v>
      </c>
      <c r="J37" s="93">
        <f>SUM(J11,J18,J24,J26,J31,J33,J35)</f>
        <v>18737000</v>
      </c>
      <c r="K37" s="93">
        <f>SUM(K11,K18,K24,K26,K31,K33,K35)</f>
        <v>2136710000</v>
      </c>
    </row>
    <row r="38" spans="1:11" ht="13.5" thickTop="1" x14ac:dyDescent="0.2">
      <c r="A38" s="77">
        <v>33</v>
      </c>
      <c r="B38" s="92"/>
      <c r="C38" s="83"/>
      <c r="D38" s="87"/>
      <c r="E38" s="94"/>
      <c r="F38" s="94"/>
      <c r="G38" s="94"/>
      <c r="I38" s="94"/>
      <c r="J38" s="94"/>
      <c r="K38" s="94"/>
    </row>
    <row r="39" spans="1:11" x14ac:dyDescent="0.2">
      <c r="A39" s="77">
        <v>34</v>
      </c>
      <c r="B39" s="74" t="s">
        <v>112</v>
      </c>
      <c r="C39" s="83">
        <v>5</v>
      </c>
      <c r="D39" s="87">
        <f>+'F2018 Sch Level Delivered Load'!BG33</f>
        <v>7036000</v>
      </c>
      <c r="E39" s="88">
        <f>SUM(F39:G39)</f>
        <v>616000</v>
      </c>
      <c r="F39" s="88">
        <f>+'[1]Rate Impacts 10-1-2018'!D35</f>
        <v>616000</v>
      </c>
      <c r="G39" s="88">
        <f>+'[1]Rate Impacts 10-1-2018'!L35</f>
        <v>0</v>
      </c>
      <c r="I39" s="88">
        <f>+'[1]Rate Impacts 10-1-2018'!O35</f>
        <v>602000</v>
      </c>
      <c r="J39" s="88">
        <f>+'[1]Rate Impacts 10-1-2018'!H35</f>
        <v>0</v>
      </c>
      <c r="K39" s="88">
        <f>+I39-J39</f>
        <v>602000</v>
      </c>
    </row>
    <row r="40" spans="1:11" x14ac:dyDescent="0.2">
      <c r="A40" s="77">
        <v>35</v>
      </c>
      <c r="B40" s="92"/>
      <c r="C40" s="83"/>
      <c r="D40" s="84"/>
    </row>
    <row r="41" spans="1:11" ht="13.5" thickBot="1" x14ac:dyDescent="0.25">
      <c r="A41" s="77">
        <v>36</v>
      </c>
      <c r="B41" s="74" t="s">
        <v>113</v>
      </c>
      <c r="D41" s="95">
        <f>SUM(D37,D39)</f>
        <v>23915919000</v>
      </c>
      <c r="E41" s="93">
        <f>SUM(E37,E39)</f>
        <v>2104597000</v>
      </c>
      <c r="F41" s="93">
        <f t="shared" ref="F41" si="8">SUM(F37,F39)</f>
        <v>2105395000</v>
      </c>
      <c r="G41" s="93">
        <f t="shared" ref="G41" si="9">SUM(G37,G39)</f>
        <v>-798000</v>
      </c>
      <c r="I41" s="93">
        <f>SUM(I37,I39)</f>
        <v>2156049000</v>
      </c>
      <c r="J41" s="93">
        <f>SUM(J37,J39)</f>
        <v>18737000</v>
      </c>
      <c r="K41" s="93">
        <f>SUM(K37,K39)</f>
        <v>2137312000</v>
      </c>
    </row>
    <row r="42" spans="1:11" ht="13.5" thickTop="1" x14ac:dyDescent="0.2">
      <c r="A42" s="77"/>
    </row>
    <row r="43" spans="1:11" x14ac:dyDescent="0.2">
      <c r="D43" s="109">
        <f>+'F2018 Sch Level Delivered Load'!BI33</f>
        <v>23915919000</v>
      </c>
      <c r="E43" s="119">
        <f>SUM(F43:G43)</f>
        <v>2104597000</v>
      </c>
      <c r="F43" s="119">
        <f>+'[1]Rate Impacts 10-1-2018'!$D$37</f>
        <v>2105395000</v>
      </c>
      <c r="G43" s="119">
        <f>+'[1]Rate Impacts 10-1-2018'!$L$37</f>
        <v>-798000</v>
      </c>
      <c r="I43" s="119">
        <f>+'[1]Rate Impacts 10-1-2018'!$O$37</f>
        <v>2156049000</v>
      </c>
      <c r="J43" s="119">
        <f>+'[1]Rate Impacts 10-1-2018'!$H$37</f>
        <v>18737000</v>
      </c>
      <c r="K43" s="119">
        <f>+I43-J43</f>
        <v>2137312000</v>
      </c>
    </row>
    <row r="44" spans="1:11" x14ac:dyDescent="0.2">
      <c r="D44" s="96">
        <f>+D41-D43</f>
        <v>0</v>
      </c>
      <c r="E44" s="119">
        <f>+E41-E43</f>
        <v>0</v>
      </c>
      <c r="F44" s="119">
        <f t="shared" ref="F44" si="10">+F41-F43</f>
        <v>0</v>
      </c>
      <c r="G44" s="119">
        <f>+G41-G43</f>
        <v>0</v>
      </c>
      <c r="I44" s="119">
        <f>+I41-I43</f>
        <v>0</v>
      </c>
      <c r="J44" s="119">
        <f>+J41-J43</f>
        <v>0</v>
      </c>
      <c r="K44" s="119">
        <f>+K41-K43</f>
        <v>0</v>
      </c>
    </row>
  </sheetData>
  <mergeCells count="5">
    <mergeCell ref="A1:K1"/>
    <mergeCell ref="A2:K2"/>
    <mergeCell ref="A3:K3"/>
    <mergeCell ref="A4:K4"/>
    <mergeCell ref="A5:K5"/>
  </mergeCells>
  <phoneticPr fontId="0" type="noConversion"/>
  <printOptions horizontalCentered="1"/>
  <pageMargins left="0.7" right="0.7" top="0.75" bottom="0.75" header="0.3" footer="0.3"/>
  <pageSetup scale="77" orientation="landscape" r:id="rId1"/>
  <headerFooter alignWithMargins="0">
    <oddHeader>&amp;R2018 Low Income Filing
Advice 2018-xx
Page &amp;P of &amp;N</oddHeader>
    <oddFooter>&amp;L&amp;F
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9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8.85546875" defaultRowHeight="12.75" x14ac:dyDescent="0.2"/>
  <cols>
    <col min="1" max="1" width="17.85546875" style="6" customWidth="1"/>
    <col min="2" max="2" width="6.42578125" style="6" bestFit="1" customWidth="1"/>
    <col min="3" max="3" width="5.7109375" style="6" bestFit="1" customWidth="1"/>
    <col min="4" max="4" width="9.140625" style="6" bestFit="1" customWidth="1"/>
    <col min="5" max="5" width="13.7109375" style="6" bestFit="1" customWidth="1"/>
    <col min="6" max="6" width="9.140625" style="6" bestFit="1" customWidth="1"/>
    <col min="7" max="7" width="11.140625" style="6" bestFit="1" customWidth="1"/>
    <col min="8" max="8" width="10.140625" style="6" bestFit="1" customWidth="1"/>
    <col min="9" max="9" width="11.140625" style="6" bestFit="1" customWidth="1"/>
    <col min="10" max="10" width="10.140625" style="6" bestFit="1" customWidth="1"/>
    <col min="11" max="11" width="12.7109375" style="6" bestFit="1" customWidth="1"/>
    <col min="12" max="12" width="10.140625" style="6" bestFit="1" customWidth="1"/>
    <col min="13" max="13" width="12.7109375" style="6" bestFit="1" customWidth="1"/>
    <col min="14" max="14" width="11.140625" style="6" bestFit="1" customWidth="1"/>
    <col min="15" max="15" width="12.7109375" style="6" bestFit="1" customWidth="1"/>
    <col min="16" max="16" width="11.140625" style="6" bestFit="1" customWidth="1"/>
    <col min="17" max="17" width="10.140625" style="6" bestFit="1" customWidth="1"/>
    <col min="18" max="19" width="11.140625" style="6" bestFit="1" customWidth="1"/>
    <col min="20" max="20" width="9.140625" style="6" bestFit="1" customWidth="1"/>
    <col min="21" max="21" width="11.28515625" style="6" customWidth="1"/>
    <col min="22" max="22" width="10.140625" style="6" bestFit="1" customWidth="1"/>
    <col min="23" max="23" width="11.140625" style="6" bestFit="1" customWidth="1"/>
    <col min="24" max="25" width="10.140625" style="6" bestFit="1" customWidth="1"/>
    <col min="26" max="27" width="11.140625" style="6" bestFit="1" customWidth="1"/>
    <col min="28" max="28" width="10.140625" style="6" bestFit="1" customWidth="1"/>
    <col min="29" max="29" width="9.140625" style="6" bestFit="1" customWidth="1"/>
    <col min="30" max="30" width="6.5703125" style="6" bestFit="1" customWidth="1"/>
    <col min="31" max="31" width="9.140625" style="6" bestFit="1" customWidth="1"/>
    <col min="32" max="33" width="10.140625" style="6" bestFit="1" customWidth="1"/>
    <col min="34" max="38" width="9.140625" style="6" bestFit="1" customWidth="1"/>
    <col min="39" max="39" width="6.5703125" style="6" bestFit="1" customWidth="1"/>
    <col min="40" max="40" width="13.7109375" style="6" bestFit="1" customWidth="1"/>
    <col min="41" max="41" width="10.140625" style="6" bestFit="1" customWidth="1"/>
    <col min="42" max="42" width="12.7109375" style="6" bestFit="1" customWidth="1"/>
    <col min="43" max="43" width="11.140625" style="6" bestFit="1" customWidth="1"/>
    <col min="44" max="44" width="14.140625" style="6" bestFit="1" customWidth="1"/>
    <col min="45" max="45" width="8.85546875" style="6"/>
    <col min="46" max="46" width="13.7109375" style="6" bestFit="1" customWidth="1"/>
    <col min="47" max="47" width="9.140625" style="6" bestFit="1" customWidth="1"/>
    <col min="48" max="50" width="12.7109375" style="6" bestFit="1" customWidth="1"/>
    <col min="51" max="51" width="10.140625" style="6" bestFit="1" customWidth="1"/>
    <col min="52" max="52" width="12.7109375" style="6" bestFit="1" customWidth="1"/>
    <col min="53" max="53" width="13.7109375" style="6" customWidth="1"/>
    <col min="54" max="54" width="15.7109375" style="6" customWidth="1"/>
    <col min="55" max="55" width="13.28515625" style="6" bestFit="1" customWidth="1"/>
    <col min="56" max="56" width="10.140625" style="6" bestFit="1" customWidth="1"/>
    <col min="57" max="57" width="17.7109375" style="6" customWidth="1"/>
    <col min="58" max="58" width="10.140625" style="6" bestFit="1" customWidth="1"/>
    <col min="59" max="59" width="10.28515625" style="6" bestFit="1" customWidth="1"/>
    <col min="60" max="60" width="13.28515625" style="6" bestFit="1" customWidth="1"/>
    <col min="61" max="62" width="13.7109375" style="6" bestFit="1" customWidth="1"/>
    <col min="63" max="63" width="5.5703125" style="6" bestFit="1" customWidth="1"/>
    <col min="64" max="16384" width="8.85546875" style="6"/>
  </cols>
  <sheetData>
    <row r="1" spans="1:63" ht="21" x14ac:dyDescent="0.35">
      <c r="A1" s="353" t="s">
        <v>175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 t="str">
        <f>+A1</f>
        <v>As-Delivered Monthly Sales &amp; Transportation by Rate Schedule</v>
      </c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352"/>
      <c r="AO1" s="352"/>
      <c r="AP1" s="352"/>
      <c r="AQ1" s="352"/>
      <c r="AR1" s="352"/>
      <c r="AT1" s="351" t="str">
        <f>+A1</f>
        <v>As-Delivered Monthly Sales &amp; Transportation by Rate Schedule</v>
      </c>
      <c r="AU1" s="351"/>
      <c r="AV1" s="351"/>
      <c r="AW1" s="351"/>
      <c r="AX1" s="351"/>
      <c r="AY1" s="351"/>
      <c r="AZ1" s="351"/>
      <c r="BA1" s="351"/>
      <c r="BB1" s="351"/>
      <c r="BC1" s="351"/>
      <c r="BD1" s="351"/>
      <c r="BE1" s="351"/>
      <c r="BF1" s="351"/>
      <c r="BG1" s="351"/>
      <c r="BH1" s="351"/>
      <c r="BI1" s="351"/>
      <c r="BJ1" s="351"/>
      <c r="BK1" s="351"/>
    </row>
    <row r="2" spans="1:63" ht="21" x14ac:dyDescent="0.35">
      <c r="A2" s="353" t="s">
        <v>343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 t="str">
        <f>+A2</f>
        <v>LFG's F2018 Forecast as of May 25, 2018</v>
      </c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T2" s="351" t="str">
        <f>+A2</f>
        <v>LFG's F2018 Forecast as of May 25, 2018</v>
      </c>
      <c r="AU2" s="351"/>
      <c r="AV2" s="351"/>
      <c r="AW2" s="351"/>
      <c r="AX2" s="351"/>
      <c r="AY2" s="351"/>
      <c r="AZ2" s="351"/>
      <c r="BA2" s="351"/>
      <c r="BB2" s="351"/>
      <c r="BC2" s="351"/>
      <c r="BD2" s="351"/>
      <c r="BE2" s="351"/>
      <c r="BF2" s="351"/>
      <c r="BG2" s="351"/>
      <c r="BH2" s="351"/>
      <c r="BI2" s="351"/>
      <c r="BJ2" s="351"/>
      <c r="BK2" s="351"/>
    </row>
    <row r="3" spans="1:63" ht="21" x14ac:dyDescent="0.35">
      <c r="A3" s="352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352"/>
      <c r="AO3" s="352"/>
      <c r="AP3" s="352"/>
      <c r="AQ3" s="352"/>
      <c r="AR3" s="352"/>
      <c r="AT3" s="351"/>
      <c r="AU3" s="351"/>
      <c r="AV3" s="351"/>
      <c r="AW3" s="351"/>
      <c r="AX3" s="351"/>
      <c r="AY3" s="351"/>
      <c r="AZ3" s="351"/>
      <c r="BA3" s="351"/>
      <c r="BB3" s="351"/>
      <c r="BC3" s="351"/>
      <c r="BD3" s="351"/>
      <c r="BE3" s="351"/>
      <c r="BF3" s="351"/>
      <c r="BG3" s="351"/>
      <c r="BH3" s="351"/>
      <c r="BI3" s="351"/>
      <c r="BJ3" s="351"/>
      <c r="BK3" s="351"/>
    </row>
    <row r="4" spans="1:63" ht="21" x14ac:dyDescent="0.35">
      <c r="A4" s="352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352"/>
      <c r="AO4" s="352"/>
      <c r="AP4" s="352"/>
      <c r="AQ4" s="352"/>
      <c r="AR4" s="352"/>
      <c r="AT4" s="351"/>
      <c r="AU4" s="351"/>
      <c r="AV4" s="351"/>
      <c r="AW4" s="351"/>
      <c r="AX4" s="351"/>
      <c r="AY4" s="351"/>
      <c r="AZ4" s="351"/>
      <c r="BA4" s="351"/>
      <c r="BB4" s="351"/>
      <c r="BC4" s="351"/>
      <c r="BD4" s="351"/>
      <c r="BE4" s="351"/>
      <c r="BF4" s="351"/>
      <c r="BG4" s="351"/>
      <c r="BH4" s="351"/>
      <c r="BI4" s="351"/>
      <c r="BJ4" s="351"/>
      <c r="BK4" s="351"/>
    </row>
    <row r="5" spans="1:63" ht="21" x14ac:dyDescent="0.35">
      <c r="A5" s="352"/>
      <c r="B5" s="352"/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52"/>
      <c r="AQ5" s="352"/>
      <c r="AR5" s="352"/>
      <c r="AT5" s="351"/>
      <c r="AU5" s="351"/>
      <c r="AV5" s="351"/>
      <c r="AW5" s="351"/>
      <c r="AX5" s="351"/>
      <c r="AY5" s="351"/>
      <c r="AZ5" s="351"/>
      <c r="BA5" s="351"/>
      <c r="BB5" s="351"/>
      <c r="BC5" s="351"/>
      <c r="BD5" s="351"/>
      <c r="BE5" s="351"/>
      <c r="BF5" s="351"/>
      <c r="BG5" s="351"/>
      <c r="BH5" s="351"/>
      <c r="BI5" s="351"/>
      <c r="BJ5" s="351"/>
      <c r="BK5" s="351"/>
    </row>
    <row r="7" spans="1:63" ht="15" x14ac:dyDescent="0.25">
      <c r="A7" s="114" t="s">
        <v>129</v>
      </c>
      <c r="B7" s="114" t="s">
        <v>19</v>
      </c>
      <c r="C7" s="114" t="s">
        <v>221</v>
      </c>
      <c r="D7" s="115" t="s">
        <v>141</v>
      </c>
      <c r="E7" s="115" t="s">
        <v>142</v>
      </c>
      <c r="F7" s="115" t="s">
        <v>143</v>
      </c>
      <c r="G7" s="115" t="s">
        <v>144</v>
      </c>
      <c r="H7" s="115" t="s">
        <v>145</v>
      </c>
      <c r="I7" s="115" t="s">
        <v>146</v>
      </c>
      <c r="J7" s="115" t="s">
        <v>147</v>
      </c>
      <c r="K7" s="115" t="s">
        <v>148</v>
      </c>
      <c r="L7" s="115" t="s">
        <v>149</v>
      </c>
      <c r="M7" s="115" t="s">
        <v>150</v>
      </c>
      <c r="N7" s="115" t="s">
        <v>151</v>
      </c>
      <c r="O7" s="115" t="s">
        <v>152</v>
      </c>
      <c r="P7" s="115" t="s">
        <v>153</v>
      </c>
      <c r="Q7" s="115" t="s">
        <v>154</v>
      </c>
      <c r="R7" s="115" t="s">
        <v>155</v>
      </c>
      <c r="S7" s="115" t="s">
        <v>156</v>
      </c>
      <c r="T7" s="115" t="s">
        <v>157</v>
      </c>
      <c r="U7" s="115" t="s">
        <v>254</v>
      </c>
      <c r="V7" s="115" t="s">
        <v>255</v>
      </c>
      <c r="W7" s="115" t="s">
        <v>158</v>
      </c>
      <c r="X7" s="115" t="s">
        <v>159</v>
      </c>
      <c r="Y7" s="115" t="s">
        <v>160</v>
      </c>
      <c r="Z7" s="115" t="s">
        <v>161</v>
      </c>
      <c r="AA7" s="115" t="s">
        <v>162</v>
      </c>
      <c r="AB7" s="115" t="s">
        <v>163</v>
      </c>
      <c r="AC7" s="115" t="s">
        <v>164</v>
      </c>
      <c r="AD7" s="115" t="s">
        <v>222</v>
      </c>
      <c r="AE7" s="115" t="s">
        <v>223</v>
      </c>
      <c r="AF7" s="115" t="s">
        <v>224</v>
      </c>
      <c r="AG7" s="115" t="s">
        <v>225</v>
      </c>
      <c r="AH7" s="115" t="s">
        <v>226</v>
      </c>
      <c r="AI7" s="115" t="s">
        <v>227</v>
      </c>
      <c r="AJ7" s="115" t="s">
        <v>228</v>
      </c>
      <c r="AK7" s="115" t="s">
        <v>229</v>
      </c>
      <c r="AL7" s="115" t="s">
        <v>230</v>
      </c>
      <c r="AM7" s="116" t="s">
        <v>231</v>
      </c>
      <c r="AN7" s="117" t="s">
        <v>256</v>
      </c>
      <c r="AO7" s="114" t="s">
        <v>257</v>
      </c>
      <c r="AP7" s="115" t="s">
        <v>258</v>
      </c>
      <c r="AQ7" s="116" t="s">
        <v>259</v>
      </c>
      <c r="AR7" s="117" t="s">
        <v>260</v>
      </c>
      <c r="AT7" s="123" t="s">
        <v>176</v>
      </c>
      <c r="AU7" s="124" t="s">
        <v>177</v>
      </c>
      <c r="AV7" s="124" t="s">
        <v>178</v>
      </c>
      <c r="AW7" s="124" t="s">
        <v>179</v>
      </c>
      <c r="AX7" s="124" t="s">
        <v>180</v>
      </c>
      <c r="AY7" s="124" t="s">
        <v>181</v>
      </c>
      <c r="AZ7" s="124" t="s">
        <v>182</v>
      </c>
      <c r="BA7" s="124" t="s">
        <v>183</v>
      </c>
      <c r="BB7" s="124" t="s">
        <v>184</v>
      </c>
      <c r="BC7" s="124" t="s">
        <v>280</v>
      </c>
      <c r="BD7" s="124" t="s">
        <v>185</v>
      </c>
      <c r="BE7" s="124" t="s">
        <v>186</v>
      </c>
      <c r="BF7" s="124" t="s">
        <v>62</v>
      </c>
      <c r="BG7" s="124" t="s">
        <v>64</v>
      </c>
      <c r="BH7" s="124" t="s">
        <v>187</v>
      </c>
      <c r="BI7" s="123" t="s">
        <v>188</v>
      </c>
      <c r="BJ7" s="123" t="s">
        <v>66</v>
      </c>
    </row>
    <row r="8" spans="1:63" ht="15" x14ac:dyDescent="0.25">
      <c r="A8" s="266">
        <v>2018</v>
      </c>
      <c r="B8" s="266">
        <v>1</v>
      </c>
      <c r="C8" s="267">
        <v>570.33299999999997</v>
      </c>
      <c r="D8" s="268">
        <v>948926.96100000001</v>
      </c>
      <c r="E8" s="268">
        <v>1157795337.5969999</v>
      </c>
      <c r="F8" s="268">
        <v>242840</v>
      </c>
      <c r="G8" s="268">
        <v>26364621.697999999</v>
      </c>
      <c r="H8" s="268">
        <v>2811987.014</v>
      </c>
      <c r="I8" s="268">
        <v>14067716.933</v>
      </c>
      <c r="J8" s="268">
        <v>1516806.6610000001</v>
      </c>
      <c r="K8" s="268">
        <v>224336622.71000001</v>
      </c>
      <c r="L8" s="268">
        <v>8396458.7750000004</v>
      </c>
      <c r="M8" s="268">
        <v>233438047.40000001</v>
      </c>
      <c r="N8" s="268">
        <v>15724749.4</v>
      </c>
      <c r="O8" s="268">
        <v>137461977.85100001</v>
      </c>
      <c r="P8" s="268">
        <v>18182114.342999998</v>
      </c>
      <c r="Q8" s="268">
        <v>279752.00599999999</v>
      </c>
      <c r="R8" s="268">
        <v>70268526.156000003</v>
      </c>
      <c r="S8" s="268">
        <v>39963292.262999997</v>
      </c>
      <c r="T8" s="268">
        <v>13938.75</v>
      </c>
      <c r="U8" s="268">
        <v>41540313.487000003</v>
      </c>
      <c r="V8" s="268">
        <v>4756716.9450000003</v>
      </c>
      <c r="W8" s="268">
        <v>13880017.316</v>
      </c>
      <c r="X8" s="268">
        <v>1729778.787</v>
      </c>
      <c r="Y8" s="268">
        <v>3391037.102</v>
      </c>
      <c r="Z8" s="268">
        <v>37098993.409999996</v>
      </c>
      <c r="AA8" s="268">
        <v>9867620.0710000005</v>
      </c>
      <c r="AB8" s="268">
        <v>1345833.2819999999</v>
      </c>
      <c r="AC8" s="268">
        <v>121692.549</v>
      </c>
      <c r="AD8" s="268">
        <v>4781.2489999999998</v>
      </c>
      <c r="AE8" s="268">
        <v>112107.79300000001</v>
      </c>
      <c r="AF8" s="268">
        <v>1184481.7960000001</v>
      </c>
      <c r="AG8" s="268">
        <v>3399187.3969999999</v>
      </c>
      <c r="AH8" s="268">
        <v>631618.46699999995</v>
      </c>
      <c r="AI8" s="268">
        <v>162794.65700000001</v>
      </c>
      <c r="AJ8" s="268">
        <v>154961.92499999999</v>
      </c>
      <c r="AK8" s="268">
        <v>282450.33199999999</v>
      </c>
      <c r="AL8" s="268">
        <v>188334.54800000001</v>
      </c>
      <c r="AM8" s="268">
        <v>7012.2960000000003</v>
      </c>
      <c r="AN8" s="269">
        <f>SUM(C8:AM8)</f>
        <v>2071674020.2600005</v>
      </c>
      <c r="AO8" s="268">
        <v>6759403.6380000003</v>
      </c>
      <c r="AP8" s="268">
        <v>144056702.02900001</v>
      </c>
      <c r="AQ8" s="268">
        <v>26647289.359000001</v>
      </c>
      <c r="AR8" s="269">
        <f>AN8+SUM(AO8:AQ8)</f>
        <v>2249137415.2860003</v>
      </c>
      <c r="AT8" s="118">
        <f t="shared" ref="AT8:AT31" si="0">ROUND(E8,-3)</f>
        <v>1157795000</v>
      </c>
      <c r="AU8" s="118">
        <f t="shared" ref="AU8:AU31" si="1">ROUND(F8,-3)</f>
        <v>243000</v>
      </c>
      <c r="AV8" s="118">
        <f t="shared" ref="AV8:AV31" si="2">ROUND(SUM(G8,K8:L8,AB8),-3)</f>
        <v>260444000</v>
      </c>
      <c r="AW8" s="118">
        <f>ROUND(SUM(I8,M8:N8,AC8),-3)-1000</f>
        <v>263351000</v>
      </c>
      <c r="AX8" s="118">
        <f t="shared" ref="AX8:AX31" si="3">ROUND(SUM(J8,O8:P8),-3)</f>
        <v>157161000</v>
      </c>
      <c r="AY8" s="118">
        <f t="shared" ref="AY8:AY31" si="4">ROUND(SUM(Q8),-3)</f>
        <v>280000</v>
      </c>
      <c r="AZ8" s="118">
        <f t="shared" ref="AZ8:AZ31" si="5">ROUND(SUM(H8,R8:S8),-3)</f>
        <v>113044000</v>
      </c>
      <c r="BA8" s="118">
        <f t="shared" ref="BA8:BA31" si="6">ROUND(SUM(T8),-3)</f>
        <v>14000</v>
      </c>
      <c r="BB8" s="118">
        <f t="shared" ref="BB8:BB31" si="7">ROUND(SUM(W8),-3)</f>
        <v>13880000</v>
      </c>
      <c r="BC8" s="118">
        <f t="shared" ref="BC8:BC19" si="8">ROUND(SUM(U8:V8),-3)</f>
        <v>46297000</v>
      </c>
      <c r="BD8" s="118">
        <f t="shared" ref="BD8:BD31" si="9">ROUND(SUM(X8:Y8),-3)</f>
        <v>5121000</v>
      </c>
      <c r="BE8" s="118">
        <f t="shared" ref="BE8:BE31" si="10">ROUND(SUM(Z8:AA8),-3)</f>
        <v>46967000</v>
      </c>
      <c r="BF8" s="118">
        <f t="shared" ref="BF8:BF31" si="11">ROUND(SUM(C8,AD8:AM8),-3)</f>
        <v>6128000</v>
      </c>
      <c r="BG8" s="118">
        <f t="shared" ref="BG8:BG31" si="12">ROUND(SUM(D8),-3)</f>
        <v>949000</v>
      </c>
      <c r="BH8" s="118">
        <f t="shared" ref="BH8:BH31" si="13">ROUND(SUM(AO8:AQ8),-3)</f>
        <v>177463000</v>
      </c>
      <c r="BI8" s="118">
        <f t="shared" ref="BI8:BI13" si="14">SUM(AT8:BH8)</f>
        <v>2249137000</v>
      </c>
      <c r="BJ8" s="110">
        <f t="shared" ref="BJ8:BJ19" si="15">ROUND(SUM(AR8),-3)</f>
        <v>2249137000</v>
      </c>
      <c r="BK8" s="110">
        <f t="shared" ref="BK8:BK13" si="16">+BJ8-BI8</f>
        <v>0</v>
      </c>
    </row>
    <row r="9" spans="1:63" ht="15" x14ac:dyDescent="0.25">
      <c r="A9" s="270"/>
      <c r="B9" s="271">
        <v>2</v>
      </c>
      <c r="C9" s="272">
        <v>555.41399999999999</v>
      </c>
      <c r="D9" s="273">
        <v>862119.03200000001</v>
      </c>
      <c r="E9" s="273">
        <v>1049756323.918</v>
      </c>
      <c r="F9" s="273">
        <v>208073.79300000001</v>
      </c>
      <c r="G9" s="273">
        <v>23733964.315000001</v>
      </c>
      <c r="H9" s="273">
        <v>2573574.2459999998</v>
      </c>
      <c r="I9" s="273">
        <v>12666545.169</v>
      </c>
      <c r="J9" s="273">
        <v>1398661.8049999999</v>
      </c>
      <c r="K9" s="273">
        <v>200844317.877</v>
      </c>
      <c r="L9" s="273">
        <v>7703852.9139999999</v>
      </c>
      <c r="M9" s="273">
        <v>217367912.53999999</v>
      </c>
      <c r="N9" s="273">
        <v>14546840.439999999</v>
      </c>
      <c r="O9" s="273">
        <v>124121555.906</v>
      </c>
      <c r="P9" s="273">
        <v>16870368.295000002</v>
      </c>
      <c r="Q9" s="273">
        <v>256268.68700000001</v>
      </c>
      <c r="R9" s="273">
        <v>64242691.82</v>
      </c>
      <c r="S9" s="273">
        <v>36909518.700999998</v>
      </c>
      <c r="T9" s="273">
        <v>12208</v>
      </c>
      <c r="U9" s="273">
        <v>38437924.453000002</v>
      </c>
      <c r="V9" s="273">
        <v>4380076.2850000001</v>
      </c>
      <c r="W9" s="273">
        <v>13457506.797</v>
      </c>
      <c r="X9" s="273">
        <v>1591113.6810000001</v>
      </c>
      <c r="Y9" s="273">
        <v>5084687.1519999998</v>
      </c>
      <c r="Z9" s="273">
        <v>32750781.688000001</v>
      </c>
      <c r="AA9" s="273">
        <v>8881134.9330000002</v>
      </c>
      <c r="AB9" s="273">
        <v>1110586.3629999999</v>
      </c>
      <c r="AC9" s="273">
        <v>103913.213</v>
      </c>
      <c r="AD9" s="273">
        <v>4200</v>
      </c>
      <c r="AE9" s="273">
        <v>103984.06600000001</v>
      </c>
      <c r="AF9" s="273">
        <v>1037446.2830000001</v>
      </c>
      <c r="AG9" s="273">
        <v>2997758.3139999998</v>
      </c>
      <c r="AH9" s="273">
        <v>554881.30700000003</v>
      </c>
      <c r="AI9" s="273">
        <v>146719.217</v>
      </c>
      <c r="AJ9" s="273">
        <v>140726.073</v>
      </c>
      <c r="AK9" s="273">
        <v>241023.46900000001</v>
      </c>
      <c r="AL9" s="273">
        <v>169447.58</v>
      </c>
      <c r="AM9" s="273">
        <v>6400.9049999999997</v>
      </c>
      <c r="AN9" s="274">
        <f>SUM(C9:AM9)</f>
        <v>1885275664.6509998</v>
      </c>
      <c r="AO9" s="273">
        <v>6277773.1809999999</v>
      </c>
      <c r="AP9" s="273">
        <v>129245945.55700001</v>
      </c>
      <c r="AQ9" s="273">
        <v>24421047.464000002</v>
      </c>
      <c r="AR9" s="274">
        <f>AN9+SUM(AO9:AQ9)</f>
        <v>2045220430.8529997</v>
      </c>
      <c r="AT9" s="118">
        <f t="shared" si="0"/>
        <v>1049756000</v>
      </c>
      <c r="AU9" s="118">
        <f t="shared" si="1"/>
        <v>208000</v>
      </c>
      <c r="AV9" s="118">
        <f t="shared" si="2"/>
        <v>233393000</v>
      </c>
      <c r="AW9" s="118">
        <f>ROUND(SUM(I9,M9:N9,AC9),-3)-1000</f>
        <v>244684000</v>
      </c>
      <c r="AX9" s="118">
        <f t="shared" si="3"/>
        <v>142391000</v>
      </c>
      <c r="AY9" s="118">
        <f t="shared" si="4"/>
        <v>256000</v>
      </c>
      <c r="AZ9" s="118">
        <f t="shared" si="5"/>
        <v>103726000</v>
      </c>
      <c r="BA9" s="118">
        <f t="shared" si="6"/>
        <v>12000</v>
      </c>
      <c r="BB9" s="118">
        <f t="shared" si="7"/>
        <v>13458000</v>
      </c>
      <c r="BC9" s="118">
        <f t="shared" si="8"/>
        <v>42818000</v>
      </c>
      <c r="BD9" s="118">
        <f t="shared" si="9"/>
        <v>6676000</v>
      </c>
      <c r="BE9" s="118">
        <f t="shared" si="10"/>
        <v>41632000</v>
      </c>
      <c r="BF9" s="118">
        <f t="shared" si="11"/>
        <v>5403000</v>
      </c>
      <c r="BG9" s="118">
        <f t="shared" si="12"/>
        <v>862000</v>
      </c>
      <c r="BH9" s="118">
        <f t="shared" si="13"/>
        <v>159945000</v>
      </c>
      <c r="BI9" s="118">
        <f t="shared" si="14"/>
        <v>2045220000</v>
      </c>
      <c r="BJ9" s="110">
        <f t="shared" si="15"/>
        <v>2045220000</v>
      </c>
      <c r="BK9" s="110">
        <f t="shared" si="16"/>
        <v>0</v>
      </c>
    </row>
    <row r="10" spans="1:63" ht="15.75" thickBot="1" x14ac:dyDescent="0.3">
      <c r="A10" s="275"/>
      <c r="B10" s="276">
        <v>3</v>
      </c>
      <c r="C10" s="277">
        <v>667.86393402649242</v>
      </c>
      <c r="D10" s="278">
        <v>814000</v>
      </c>
      <c r="E10" s="278">
        <v>1043234859.2855238</v>
      </c>
      <c r="F10" s="278">
        <v>211140.71447616356</v>
      </c>
      <c r="G10" s="278">
        <v>24598525.34013899</v>
      </c>
      <c r="H10" s="278">
        <v>2709596.7874487736</v>
      </c>
      <c r="I10" s="278">
        <v>13366537.715815933</v>
      </c>
      <c r="J10" s="278">
        <v>1508238.5135250604</v>
      </c>
      <c r="K10" s="278">
        <v>214135884.48799202</v>
      </c>
      <c r="L10" s="278">
        <v>8259307.5207103491</v>
      </c>
      <c r="M10" s="278">
        <v>238957794.68394059</v>
      </c>
      <c r="N10" s="278">
        <v>16072288.926150976</v>
      </c>
      <c r="O10" s="278">
        <v>137841189.47386551</v>
      </c>
      <c r="P10" s="278">
        <v>19409391.829022955</v>
      </c>
      <c r="Q10" s="278">
        <v>279040.32589984144</v>
      </c>
      <c r="R10" s="278">
        <v>70714422.3358735</v>
      </c>
      <c r="S10" s="278">
        <v>40801246.866532147</v>
      </c>
      <c r="T10" s="278">
        <v>4022.0278266770142</v>
      </c>
      <c r="U10" s="278">
        <v>42185716.493599162</v>
      </c>
      <c r="V10" s="278">
        <v>4777363.3947782535</v>
      </c>
      <c r="W10" s="278">
        <v>13597350.323316861</v>
      </c>
      <c r="X10" s="278">
        <v>1804293.8260848692</v>
      </c>
      <c r="Y10" s="278">
        <v>5940888.8670362523</v>
      </c>
      <c r="Z10" s="278">
        <v>36002616.183048107</v>
      </c>
      <c r="AA10" s="278">
        <v>10020512.595769068</v>
      </c>
      <c r="AB10" s="278">
        <v>1150935.4804550514</v>
      </c>
      <c r="AC10" s="278">
        <v>102682.80621243696</v>
      </c>
      <c r="AD10" s="278">
        <v>4775.4936113880603</v>
      </c>
      <c r="AE10" s="278">
        <v>129113.9363220207</v>
      </c>
      <c r="AF10" s="278">
        <v>1173250.4881614596</v>
      </c>
      <c r="AG10" s="278">
        <v>3420778.5795295178</v>
      </c>
      <c r="AH10" s="278">
        <v>629342.67699084245</v>
      </c>
      <c r="AI10" s="278">
        <v>169017.53845795934</v>
      </c>
      <c r="AJ10" s="278">
        <v>161633.34436316817</v>
      </c>
      <c r="AK10" s="278">
        <v>288452.67478325852</v>
      </c>
      <c r="AL10" s="278">
        <v>193777.35094302153</v>
      </c>
      <c r="AM10" s="278">
        <v>7343.2478600032273</v>
      </c>
      <c r="AN10" s="279">
        <f t="shared" ref="AN10:AN31" si="17">SUM(C10:AM10)</f>
        <v>1954678000.0000002</v>
      </c>
      <c r="AO10" s="278">
        <v>6426953.1519497251</v>
      </c>
      <c r="AP10" s="278">
        <v>138165787.37717777</v>
      </c>
      <c r="AQ10" s="278">
        <v>25719259.470872469</v>
      </c>
      <c r="AR10" s="279">
        <f t="shared" ref="AR10:AR11" si="18">AN10+SUM(AO10:AQ10)</f>
        <v>2124990000.0000002</v>
      </c>
      <c r="AT10" s="118">
        <f t="shared" si="0"/>
        <v>1043235000</v>
      </c>
      <c r="AU10" s="118">
        <f t="shared" si="1"/>
        <v>211000</v>
      </c>
      <c r="AV10" s="118">
        <f t="shared" si="2"/>
        <v>248145000</v>
      </c>
      <c r="AW10" s="118">
        <f>ROUND(SUM(I10,M10:N10,AC10),-3)+1000</f>
        <v>268500000</v>
      </c>
      <c r="AX10" s="118">
        <f t="shared" si="3"/>
        <v>158759000</v>
      </c>
      <c r="AY10" s="118">
        <f t="shared" si="4"/>
        <v>279000</v>
      </c>
      <c r="AZ10" s="118">
        <f t="shared" si="5"/>
        <v>114225000</v>
      </c>
      <c r="BA10" s="118">
        <f t="shared" si="6"/>
        <v>4000</v>
      </c>
      <c r="BB10" s="118">
        <f t="shared" si="7"/>
        <v>13597000</v>
      </c>
      <c r="BC10" s="118">
        <f t="shared" si="8"/>
        <v>46963000</v>
      </c>
      <c r="BD10" s="118">
        <f t="shared" si="9"/>
        <v>7745000</v>
      </c>
      <c r="BE10" s="118">
        <f t="shared" si="10"/>
        <v>46023000</v>
      </c>
      <c r="BF10" s="118">
        <f t="shared" si="11"/>
        <v>6178000</v>
      </c>
      <c r="BG10" s="118">
        <f t="shared" si="12"/>
        <v>814000</v>
      </c>
      <c r="BH10" s="118">
        <f t="shared" si="13"/>
        <v>170312000</v>
      </c>
      <c r="BI10" s="118">
        <f t="shared" si="14"/>
        <v>2124990000</v>
      </c>
      <c r="BJ10" s="110">
        <f t="shared" si="15"/>
        <v>2124990000</v>
      </c>
      <c r="BK10" s="110">
        <f t="shared" si="16"/>
        <v>0</v>
      </c>
    </row>
    <row r="11" spans="1:63" ht="15" x14ac:dyDescent="0.25">
      <c r="A11" s="280"/>
      <c r="B11" s="281">
        <v>4</v>
      </c>
      <c r="C11" s="282">
        <v>579.53361637867999</v>
      </c>
      <c r="D11" s="283">
        <v>591000</v>
      </c>
      <c r="E11" s="283">
        <v>862446901.36074638</v>
      </c>
      <c r="F11" s="283">
        <v>168098.6392536042</v>
      </c>
      <c r="G11" s="283">
        <v>20314480.350858007</v>
      </c>
      <c r="H11" s="283">
        <v>2743122.1927501266</v>
      </c>
      <c r="I11" s="283">
        <v>11642100.642885538</v>
      </c>
      <c r="J11" s="283">
        <v>1376845.3826094074</v>
      </c>
      <c r="K11" s="283">
        <v>203249958.99144855</v>
      </c>
      <c r="L11" s="283">
        <v>7635999.2714214372</v>
      </c>
      <c r="M11" s="283">
        <v>217971790.8902593</v>
      </c>
      <c r="N11" s="283">
        <v>14774668.269428035</v>
      </c>
      <c r="O11" s="283">
        <v>127394675.23880063</v>
      </c>
      <c r="P11" s="283">
        <v>18329413.260539494</v>
      </c>
      <c r="Q11" s="283">
        <v>571930.54682678869</v>
      </c>
      <c r="R11" s="283">
        <v>64042222.425262503</v>
      </c>
      <c r="S11" s="283">
        <v>39083034.998678789</v>
      </c>
      <c r="T11" s="283">
        <v>409286.94248400262</v>
      </c>
      <c r="U11" s="283">
        <v>41664222.285870582</v>
      </c>
      <c r="V11" s="283">
        <v>4487537.4439067123</v>
      </c>
      <c r="W11" s="283">
        <v>9356115.5726861358</v>
      </c>
      <c r="X11" s="283">
        <v>1716087.2779671075</v>
      </c>
      <c r="Y11" s="283">
        <v>3710178.3860597946</v>
      </c>
      <c r="Z11" s="283">
        <v>34724006.358256958</v>
      </c>
      <c r="AA11" s="283">
        <v>9788168.3699657172</v>
      </c>
      <c r="AB11" s="283">
        <v>917275.74963654054</v>
      </c>
      <c r="AC11" s="283">
        <v>68249.182449579748</v>
      </c>
      <c r="AD11" s="283">
        <v>4647.5402403071939</v>
      </c>
      <c r="AE11" s="283">
        <v>156590.26501459649</v>
      </c>
      <c r="AF11" s="283">
        <v>1105851.1148421431</v>
      </c>
      <c r="AG11" s="283">
        <v>2942452.3359533125</v>
      </c>
      <c r="AH11" s="283">
        <v>561428.24204194522</v>
      </c>
      <c r="AI11" s="283">
        <v>162232.81799790321</v>
      </c>
      <c r="AJ11" s="283">
        <v>153211.44174191976</v>
      </c>
      <c r="AK11" s="283">
        <v>399926.03620519635</v>
      </c>
      <c r="AL11" s="283">
        <v>189207.23755835046</v>
      </c>
      <c r="AM11" s="283">
        <v>7503.4037361380497</v>
      </c>
      <c r="AN11" s="284">
        <f t="shared" si="17"/>
        <v>1704861000</v>
      </c>
      <c r="AO11" s="283">
        <v>7121276.983144003</v>
      </c>
      <c r="AP11" s="283">
        <v>139738620.1504648</v>
      </c>
      <c r="AQ11" s="283">
        <v>22784102.866391201</v>
      </c>
      <c r="AR11" s="284">
        <f t="shared" si="18"/>
        <v>1874505000</v>
      </c>
      <c r="AT11" s="118">
        <f t="shared" si="0"/>
        <v>862447000</v>
      </c>
      <c r="AU11" s="118">
        <f t="shared" si="1"/>
        <v>168000</v>
      </c>
      <c r="AV11" s="118">
        <f t="shared" si="2"/>
        <v>232118000</v>
      </c>
      <c r="AW11" s="118">
        <f>ROUND(SUM(I11,M11:N11,AC11),-3)</f>
        <v>244457000</v>
      </c>
      <c r="AX11" s="118">
        <f t="shared" si="3"/>
        <v>147101000</v>
      </c>
      <c r="AY11" s="118">
        <f t="shared" si="4"/>
        <v>572000</v>
      </c>
      <c r="AZ11" s="118">
        <f t="shared" si="5"/>
        <v>105868000</v>
      </c>
      <c r="BA11" s="118">
        <f t="shared" si="6"/>
        <v>409000</v>
      </c>
      <c r="BB11" s="118">
        <f t="shared" si="7"/>
        <v>9356000</v>
      </c>
      <c r="BC11" s="118">
        <f t="shared" si="8"/>
        <v>46152000</v>
      </c>
      <c r="BD11" s="118">
        <f t="shared" si="9"/>
        <v>5426000</v>
      </c>
      <c r="BE11" s="118">
        <f t="shared" si="10"/>
        <v>44512000</v>
      </c>
      <c r="BF11" s="118">
        <f t="shared" si="11"/>
        <v>5684000</v>
      </c>
      <c r="BG11" s="118">
        <f t="shared" si="12"/>
        <v>591000</v>
      </c>
      <c r="BH11" s="118">
        <f t="shared" si="13"/>
        <v>169644000</v>
      </c>
      <c r="BI11" s="118">
        <f t="shared" si="14"/>
        <v>1874505000</v>
      </c>
      <c r="BJ11" s="110">
        <f t="shared" si="15"/>
        <v>1874505000</v>
      </c>
      <c r="BK11" s="110">
        <f t="shared" si="16"/>
        <v>0</v>
      </c>
    </row>
    <row r="12" spans="1:63" ht="15" x14ac:dyDescent="0.25">
      <c r="A12" s="270"/>
      <c r="B12" s="271">
        <v>5</v>
      </c>
      <c r="C12" s="272">
        <v>622.048349868267</v>
      </c>
      <c r="D12" s="273">
        <v>456999.99999999994</v>
      </c>
      <c r="E12" s="273">
        <v>738164864.71140289</v>
      </c>
      <c r="F12" s="273">
        <v>166135.28859708586</v>
      </c>
      <c r="G12" s="273">
        <v>18399236.868517138</v>
      </c>
      <c r="H12" s="273">
        <v>2505059.0742500802</v>
      </c>
      <c r="I12" s="273">
        <v>10695362.70537024</v>
      </c>
      <c r="J12" s="273">
        <v>1271808.7860583689</v>
      </c>
      <c r="K12" s="273">
        <v>193461032.84421244</v>
      </c>
      <c r="L12" s="273">
        <v>7561143.5491122194</v>
      </c>
      <c r="M12" s="273">
        <v>214415249.23805377</v>
      </c>
      <c r="N12" s="273">
        <v>15144474.36184378</v>
      </c>
      <c r="O12" s="273">
        <v>129192313.45373181</v>
      </c>
      <c r="P12" s="273">
        <v>20239614.409964357</v>
      </c>
      <c r="Q12" s="273">
        <v>1438673.2049265574</v>
      </c>
      <c r="R12" s="273">
        <v>67421826.624067321</v>
      </c>
      <c r="S12" s="273">
        <v>41572654.89836061</v>
      </c>
      <c r="T12" s="273">
        <v>710369.75253376621</v>
      </c>
      <c r="U12" s="273">
        <v>42730200.857101865</v>
      </c>
      <c r="V12" s="273">
        <v>5298117.1780417142</v>
      </c>
      <c r="W12" s="273">
        <v>8000308.3726007082</v>
      </c>
      <c r="X12" s="273">
        <v>1505292.6282822043</v>
      </c>
      <c r="Y12" s="273">
        <v>3893937.0844963058</v>
      </c>
      <c r="Z12" s="273">
        <v>35042983.791532561</v>
      </c>
      <c r="AA12" s="273">
        <v>9961058.5181810148</v>
      </c>
      <c r="AB12" s="273">
        <v>886874.60653163132</v>
      </c>
      <c r="AC12" s="273">
        <v>65401.263368548251</v>
      </c>
      <c r="AD12" s="273">
        <v>5019.1897819815595</v>
      </c>
      <c r="AE12" s="273">
        <v>191479.95182874985</v>
      </c>
      <c r="AF12" s="273">
        <v>1189163.5081149014</v>
      </c>
      <c r="AG12" s="273">
        <v>3157568.7908353503</v>
      </c>
      <c r="AH12" s="273">
        <v>601854.7437275307</v>
      </c>
      <c r="AI12" s="273">
        <v>156824.90595247448</v>
      </c>
      <c r="AJ12" s="273">
        <v>148883.10405838417</v>
      </c>
      <c r="AK12" s="273">
        <v>419015.89746143809</v>
      </c>
      <c r="AL12" s="273">
        <v>185464.94211594944</v>
      </c>
      <c r="AM12" s="273">
        <v>7108.8466342174752</v>
      </c>
      <c r="AN12" s="274">
        <f t="shared" si="17"/>
        <v>1576263999.9999993</v>
      </c>
      <c r="AO12" s="273">
        <v>6766554.9098388739</v>
      </c>
      <c r="AP12" s="273">
        <v>139965081.48113033</v>
      </c>
      <c r="AQ12" s="273">
        <v>22853363.609030794</v>
      </c>
      <c r="AR12" s="274">
        <f t="shared" ref="AR12:AR31" si="19">AN12+SUM(AO12:AQ12)</f>
        <v>1745848999.9999993</v>
      </c>
      <c r="AT12" s="118">
        <f t="shared" si="0"/>
        <v>738165000</v>
      </c>
      <c r="AU12" s="118">
        <f t="shared" si="1"/>
        <v>166000</v>
      </c>
      <c r="AV12" s="118">
        <f t="shared" si="2"/>
        <v>220308000</v>
      </c>
      <c r="AW12" s="118">
        <f>ROUND(SUM(I12,M12:N12,AC12),-3)+1000</f>
        <v>240321000</v>
      </c>
      <c r="AX12" s="118">
        <f t="shared" si="3"/>
        <v>150704000</v>
      </c>
      <c r="AY12" s="118">
        <f t="shared" si="4"/>
        <v>1439000</v>
      </c>
      <c r="AZ12" s="118">
        <f t="shared" si="5"/>
        <v>111500000</v>
      </c>
      <c r="BA12" s="118">
        <f t="shared" si="6"/>
        <v>710000</v>
      </c>
      <c r="BB12" s="118">
        <f t="shared" si="7"/>
        <v>8000000</v>
      </c>
      <c r="BC12" s="118">
        <f t="shared" si="8"/>
        <v>48028000</v>
      </c>
      <c r="BD12" s="118">
        <f t="shared" si="9"/>
        <v>5399000</v>
      </c>
      <c r="BE12" s="118">
        <f t="shared" si="10"/>
        <v>45004000</v>
      </c>
      <c r="BF12" s="118">
        <f t="shared" si="11"/>
        <v>6063000</v>
      </c>
      <c r="BG12" s="118">
        <f t="shared" si="12"/>
        <v>457000</v>
      </c>
      <c r="BH12" s="118">
        <f t="shared" si="13"/>
        <v>169585000</v>
      </c>
      <c r="BI12" s="118">
        <f t="shared" si="14"/>
        <v>1745849000</v>
      </c>
      <c r="BJ12" s="110">
        <f t="shared" si="15"/>
        <v>1745849000</v>
      </c>
      <c r="BK12" s="110">
        <f t="shared" si="16"/>
        <v>0</v>
      </c>
    </row>
    <row r="13" spans="1:63" ht="15" x14ac:dyDescent="0.25">
      <c r="A13" s="270"/>
      <c r="B13" s="271">
        <v>6</v>
      </c>
      <c r="C13" s="272">
        <v>624.6351814996865</v>
      </c>
      <c r="D13" s="273">
        <v>356000</v>
      </c>
      <c r="E13" s="273">
        <v>682053315.02451575</v>
      </c>
      <c r="F13" s="273">
        <v>187684.97548416149</v>
      </c>
      <c r="G13" s="273">
        <v>18543581.324536499</v>
      </c>
      <c r="H13" s="273">
        <v>2506790.2549956501</v>
      </c>
      <c r="I13" s="273">
        <v>10796024.988003563</v>
      </c>
      <c r="J13" s="273">
        <v>1402660.0682080328</v>
      </c>
      <c r="K13" s="273">
        <v>192852832.15509906</v>
      </c>
      <c r="L13" s="273">
        <v>7599048.3276770301</v>
      </c>
      <c r="M13" s="273">
        <v>216204111.8447462</v>
      </c>
      <c r="N13" s="273">
        <v>15454877.128990842</v>
      </c>
      <c r="O13" s="273">
        <v>130350785.10896197</v>
      </c>
      <c r="P13" s="273">
        <v>20212727.804405347</v>
      </c>
      <c r="Q13" s="273">
        <v>2111153.9848913671</v>
      </c>
      <c r="R13" s="273">
        <v>67687732.584529936</v>
      </c>
      <c r="S13" s="273">
        <v>42167170.613296427</v>
      </c>
      <c r="T13" s="273">
        <v>746233.37184777588</v>
      </c>
      <c r="U13" s="273">
        <v>43431098.548557542</v>
      </c>
      <c r="V13" s="273">
        <v>5245264.9058290273</v>
      </c>
      <c r="W13" s="273">
        <v>6606046.7732571773</v>
      </c>
      <c r="X13" s="273">
        <v>1718795.5600731056</v>
      </c>
      <c r="Y13" s="273">
        <v>4740847.0527691552</v>
      </c>
      <c r="Z13" s="273">
        <v>36463703.89444185</v>
      </c>
      <c r="AA13" s="273">
        <v>10391064.167032197</v>
      </c>
      <c r="AB13" s="273">
        <v>810603.18940733327</v>
      </c>
      <c r="AC13" s="273">
        <v>67476.19831920079</v>
      </c>
      <c r="AD13" s="273">
        <v>5283.0782325113823</v>
      </c>
      <c r="AE13" s="273">
        <v>187498.4999987898</v>
      </c>
      <c r="AF13" s="273">
        <v>1249472.316824198</v>
      </c>
      <c r="AG13" s="273">
        <v>3284792.2748702895</v>
      </c>
      <c r="AH13" s="273">
        <v>631958.98758853949</v>
      </c>
      <c r="AI13" s="273">
        <v>162036.50156943538</v>
      </c>
      <c r="AJ13" s="273">
        <v>152339.86662318691</v>
      </c>
      <c r="AK13" s="273">
        <v>285290.81957763783</v>
      </c>
      <c r="AL13" s="273">
        <v>190552.48621197074</v>
      </c>
      <c r="AM13" s="273">
        <v>7520.6834455599146</v>
      </c>
      <c r="AN13" s="274">
        <f t="shared" si="17"/>
        <v>1526865000.0000005</v>
      </c>
      <c r="AO13" s="273">
        <v>6551137.8890099153</v>
      </c>
      <c r="AP13" s="273">
        <v>137534275.74024972</v>
      </c>
      <c r="AQ13" s="273">
        <v>25489586.370740354</v>
      </c>
      <c r="AR13" s="274">
        <f t="shared" si="19"/>
        <v>1696440000.0000005</v>
      </c>
      <c r="AT13" s="118">
        <f t="shared" si="0"/>
        <v>682053000</v>
      </c>
      <c r="AU13" s="118">
        <f t="shared" si="1"/>
        <v>188000</v>
      </c>
      <c r="AV13" s="118">
        <f t="shared" si="2"/>
        <v>219806000</v>
      </c>
      <c r="AW13" s="118">
        <f>ROUND(SUM(I13,M13:N13,AC13),-3)+1000</f>
        <v>242523000</v>
      </c>
      <c r="AX13" s="118">
        <f t="shared" si="3"/>
        <v>151966000</v>
      </c>
      <c r="AY13" s="118">
        <f t="shared" si="4"/>
        <v>2111000</v>
      </c>
      <c r="AZ13" s="118">
        <f t="shared" si="5"/>
        <v>112362000</v>
      </c>
      <c r="BA13" s="118">
        <f t="shared" si="6"/>
        <v>746000</v>
      </c>
      <c r="BB13" s="118">
        <f t="shared" si="7"/>
        <v>6606000</v>
      </c>
      <c r="BC13" s="118">
        <f t="shared" si="8"/>
        <v>48676000</v>
      </c>
      <c r="BD13" s="118">
        <f t="shared" si="9"/>
        <v>6460000</v>
      </c>
      <c r="BE13" s="118">
        <f t="shared" si="10"/>
        <v>46855000</v>
      </c>
      <c r="BF13" s="118">
        <f t="shared" si="11"/>
        <v>6157000</v>
      </c>
      <c r="BG13" s="118">
        <f t="shared" si="12"/>
        <v>356000</v>
      </c>
      <c r="BH13" s="118">
        <f t="shared" si="13"/>
        <v>169575000</v>
      </c>
      <c r="BI13" s="118">
        <f t="shared" si="14"/>
        <v>1696440000</v>
      </c>
      <c r="BJ13" s="110">
        <f t="shared" si="15"/>
        <v>1696440000</v>
      </c>
      <c r="BK13" s="110">
        <f t="shared" si="16"/>
        <v>0</v>
      </c>
    </row>
    <row r="14" spans="1:63" ht="15" x14ac:dyDescent="0.25">
      <c r="A14" s="270"/>
      <c r="B14" s="271">
        <v>7</v>
      </c>
      <c r="C14" s="272">
        <v>614.9513062629627</v>
      </c>
      <c r="D14" s="273">
        <v>314000</v>
      </c>
      <c r="E14" s="273">
        <v>693167536.73996711</v>
      </c>
      <c r="F14" s="273">
        <v>209463.26003292241</v>
      </c>
      <c r="G14" s="273">
        <v>19314857.799371909</v>
      </c>
      <c r="H14" s="273">
        <v>2671863.9728550506</v>
      </c>
      <c r="I14" s="273">
        <v>11700902.685097033</v>
      </c>
      <c r="J14" s="273">
        <v>1840905.4433153821</v>
      </c>
      <c r="K14" s="273">
        <v>207271420.36391383</v>
      </c>
      <c r="L14" s="273">
        <v>7681322.9471984385</v>
      </c>
      <c r="M14" s="273">
        <v>228167782.10346791</v>
      </c>
      <c r="N14" s="273">
        <v>15671383.228830688</v>
      </c>
      <c r="O14" s="273">
        <v>140407845.24972036</v>
      </c>
      <c r="P14" s="273">
        <v>20157409.949558623</v>
      </c>
      <c r="Q14" s="273">
        <v>3488708.4431873248</v>
      </c>
      <c r="R14" s="273">
        <v>69486569.701694041</v>
      </c>
      <c r="S14" s="273">
        <v>42061229.748599783</v>
      </c>
      <c r="T14" s="273">
        <v>1011847.9820665488</v>
      </c>
      <c r="U14" s="273">
        <v>46418903.315445773</v>
      </c>
      <c r="V14" s="273">
        <v>5789273.2375453925</v>
      </c>
      <c r="W14" s="273">
        <v>5071929.3549880516</v>
      </c>
      <c r="X14" s="273">
        <v>1589276.6834411356</v>
      </c>
      <c r="Y14" s="273">
        <v>5142594.1859352477</v>
      </c>
      <c r="Z14" s="273">
        <v>38699536.229578309</v>
      </c>
      <c r="AA14" s="273">
        <v>11962786.702331837</v>
      </c>
      <c r="AB14" s="273">
        <v>831658.19596404803</v>
      </c>
      <c r="AC14" s="273">
        <v>75416.624353191743</v>
      </c>
      <c r="AD14" s="273">
        <v>4555.3366829535707</v>
      </c>
      <c r="AE14" s="273">
        <v>193359.41515771381</v>
      </c>
      <c r="AF14" s="273">
        <v>1180573.7851588228</v>
      </c>
      <c r="AG14" s="273">
        <v>3110330.9420226021</v>
      </c>
      <c r="AH14" s="273">
        <v>596830.88875739533</v>
      </c>
      <c r="AI14" s="273">
        <v>162923.63364144485</v>
      </c>
      <c r="AJ14" s="273">
        <v>154206.70827092708</v>
      </c>
      <c r="AK14" s="273">
        <v>285659.8605970089</v>
      </c>
      <c r="AL14" s="273">
        <v>189046.98645892023</v>
      </c>
      <c r="AM14" s="273">
        <v>7473.3434862144386</v>
      </c>
      <c r="AN14" s="274">
        <f t="shared" si="17"/>
        <v>1586092000.0000005</v>
      </c>
      <c r="AO14" s="273">
        <v>6214616.4894412272</v>
      </c>
      <c r="AP14" s="273">
        <v>137833293.68104956</v>
      </c>
      <c r="AQ14" s="273">
        <v>25458089.82950921</v>
      </c>
      <c r="AR14" s="274">
        <f t="shared" si="19"/>
        <v>1755598000.0000005</v>
      </c>
      <c r="AT14" s="118">
        <f t="shared" si="0"/>
        <v>693168000</v>
      </c>
      <c r="AU14" s="118">
        <f t="shared" si="1"/>
        <v>209000</v>
      </c>
      <c r="AV14" s="118">
        <f t="shared" si="2"/>
        <v>235099000</v>
      </c>
      <c r="AW14" s="118">
        <f>ROUND(SUM(I14,M14:N14,AC14),-3)</f>
        <v>255615000</v>
      </c>
      <c r="AX14" s="118">
        <f t="shared" si="3"/>
        <v>162406000</v>
      </c>
      <c r="AY14" s="118">
        <f t="shared" si="4"/>
        <v>3489000</v>
      </c>
      <c r="AZ14" s="118">
        <f t="shared" si="5"/>
        <v>114220000</v>
      </c>
      <c r="BA14" s="118">
        <f t="shared" si="6"/>
        <v>1012000</v>
      </c>
      <c r="BB14" s="118">
        <f t="shared" si="7"/>
        <v>5072000</v>
      </c>
      <c r="BC14" s="118">
        <f t="shared" si="8"/>
        <v>52208000</v>
      </c>
      <c r="BD14" s="118">
        <f t="shared" si="9"/>
        <v>6732000</v>
      </c>
      <c r="BE14" s="118">
        <f t="shared" si="10"/>
        <v>50662000</v>
      </c>
      <c r="BF14" s="118">
        <f t="shared" si="11"/>
        <v>5886000</v>
      </c>
      <c r="BG14" s="118">
        <f t="shared" si="12"/>
        <v>314000</v>
      </c>
      <c r="BH14" s="118">
        <f t="shared" si="13"/>
        <v>169506000</v>
      </c>
      <c r="BI14" s="118">
        <f t="shared" ref="BI14:BI31" si="20">SUM(AT14:BH14)</f>
        <v>1755598000</v>
      </c>
      <c r="BJ14" s="110">
        <f t="shared" si="15"/>
        <v>1755598000</v>
      </c>
      <c r="BK14" s="110">
        <f t="shared" ref="BK14:BK31" si="21">+BJ14-BI14</f>
        <v>0</v>
      </c>
    </row>
    <row r="15" spans="1:63" ht="15" x14ac:dyDescent="0.25">
      <c r="A15" s="270"/>
      <c r="B15" s="271">
        <v>8</v>
      </c>
      <c r="C15" s="272">
        <v>576.51262536999468</v>
      </c>
      <c r="D15" s="273">
        <v>284000</v>
      </c>
      <c r="E15" s="273">
        <v>683447919.84570718</v>
      </c>
      <c r="F15" s="273">
        <v>200080.15429279712</v>
      </c>
      <c r="G15" s="273">
        <v>19664753.815310564</v>
      </c>
      <c r="H15" s="273">
        <v>2667350.042423076</v>
      </c>
      <c r="I15" s="273">
        <v>11962648.192050843</v>
      </c>
      <c r="J15" s="273">
        <v>1720792.1241402242</v>
      </c>
      <c r="K15" s="273">
        <v>210949735.83958277</v>
      </c>
      <c r="L15" s="273">
        <v>7965304.0606506625</v>
      </c>
      <c r="M15" s="273">
        <v>235167836.67188409</v>
      </c>
      <c r="N15" s="273">
        <v>16423627.094527159</v>
      </c>
      <c r="O15" s="273">
        <v>143473501.7461842</v>
      </c>
      <c r="P15" s="273">
        <v>21456246.386439338</v>
      </c>
      <c r="Q15" s="273">
        <v>3658365.5382314399</v>
      </c>
      <c r="R15" s="273">
        <v>70188070.433679059</v>
      </c>
      <c r="S15" s="273">
        <v>44103656.873253852</v>
      </c>
      <c r="T15" s="273">
        <v>943769.67287879332</v>
      </c>
      <c r="U15" s="273">
        <v>47980944.071278594</v>
      </c>
      <c r="V15" s="273">
        <v>5499848.5932698948</v>
      </c>
      <c r="W15" s="273">
        <v>5901701.6839531707</v>
      </c>
      <c r="X15" s="273">
        <v>1766136.5767234033</v>
      </c>
      <c r="Y15" s="273">
        <v>4772431.3405152457</v>
      </c>
      <c r="Z15" s="273">
        <v>39253955.147174172</v>
      </c>
      <c r="AA15" s="273">
        <v>11355885.651343856</v>
      </c>
      <c r="AB15" s="273">
        <v>919165.12966157193</v>
      </c>
      <c r="AC15" s="273">
        <v>79693.993394553749</v>
      </c>
      <c r="AD15" s="273">
        <v>5012.1620092947378</v>
      </c>
      <c r="AE15" s="273">
        <v>211539.47536051166</v>
      </c>
      <c r="AF15" s="273">
        <v>1206090.6144533036</v>
      </c>
      <c r="AG15" s="273">
        <v>3165980.5666992567</v>
      </c>
      <c r="AH15" s="273">
        <v>598209.92134142225</v>
      </c>
      <c r="AI15" s="273">
        <v>167096.23420928774</v>
      </c>
      <c r="AJ15" s="273">
        <v>157574.85764416208</v>
      </c>
      <c r="AK15" s="273">
        <v>287731.62445471575</v>
      </c>
      <c r="AL15" s="273">
        <v>195952.37423405709</v>
      </c>
      <c r="AM15" s="273">
        <v>7814.9784178279979</v>
      </c>
      <c r="AN15" s="274">
        <f t="shared" si="17"/>
        <v>1597810999.9999993</v>
      </c>
      <c r="AO15" s="273">
        <v>6218942.9009554144</v>
      </c>
      <c r="AP15" s="273">
        <v>137773520.76838163</v>
      </c>
      <c r="AQ15" s="273">
        <v>25481536.330662962</v>
      </c>
      <c r="AR15" s="274">
        <f t="shared" si="19"/>
        <v>1767284999.9999993</v>
      </c>
      <c r="AT15" s="118">
        <f t="shared" si="0"/>
        <v>683448000</v>
      </c>
      <c r="AU15" s="118">
        <f t="shared" si="1"/>
        <v>200000</v>
      </c>
      <c r="AV15" s="118">
        <f t="shared" si="2"/>
        <v>239499000</v>
      </c>
      <c r="AW15" s="118">
        <f>ROUND(SUM(I15,M15:N15,AC15),-3)-2000</f>
        <v>263632000</v>
      </c>
      <c r="AX15" s="118">
        <f t="shared" si="3"/>
        <v>166651000</v>
      </c>
      <c r="AY15" s="118">
        <f t="shared" si="4"/>
        <v>3658000</v>
      </c>
      <c r="AZ15" s="118">
        <f t="shared" si="5"/>
        <v>116959000</v>
      </c>
      <c r="BA15" s="118">
        <f t="shared" si="6"/>
        <v>944000</v>
      </c>
      <c r="BB15" s="118">
        <f t="shared" si="7"/>
        <v>5902000</v>
      </c>
      <c r="BC15" s="118">
        <f t="shared" si="8"/>
        <v>53481000</v>
      </c>
      <c r="BD15" s="118">
        <f t="shared" si="9"/>
        <v>6539000</v>
      </c>
      <c r="BE15" s="118">
        <f t="shared" si="10"/>
        <v>50610000</v>
      </c>
      <c r="BF15" s="118">
        <f t="shared" si="11"/>
        <v>6004000</v>
      </c>
      <c r="BG15" s="118">
        <f t="shared" si="12"/>
        <v>284000</v>
      </c>
      <c r="BH15" s="118">
        <f t="shared" si="13"/>
        <v>169474000</v>
      </c>
      <c r="BI15" s="118">
        <f t="shared" si="20"/>
        <v>1767285000</v>
      </c>
      <c r="BJ15" s="110">
        <f t="shared" si="15"/>
        <v>1767285000</v>
      </c>
      <c r="BK15" s="110">
        <f t="shared" si="21"/>
        <v>0</v>
      </c>
    </row>
    <row r="16" spans="1:63" ht="15" x14ac:dyDescent="0.25">
      <c r="A16" s="270"/>
      <c r="B16" s="271">
        <v>9</v>
      </c>
      <c r="C16" s="272">
        <v>585.99033455169513</v>
      </c>
      <c r="D16" s="273">
        <v>324000</v>
      </c>
      <c r="E16" s="273">
        <v>680007293.28925467</v>
      </c>
      <c r="F16" s="273">
        <v>174706.71074525616</v>
      </c>
      <c r="G16" s="273">
        <v>18977087.813821685</v>
      </c>
      <c r="H16" s="273">
        <v>2613412.5578822154</v>
      </c>
      <c r="I16" s="273">
        <v>11517034.953571472</v>
      </c>
      <c r="J16" s="273">
        <v>1449737.3940887488</v>
      </c>
      <c r="K16" s="273">
        <v>196128901.48566014</v>
      </c>
      <c r="L16" s="273">
        <v>7280108.3168658139</v>
      </c>
      <c r="M16" s="273">
        <v>221072172.67813388</v>
      </c>
      <c r="N16" s="273">
        <v>15318259.116812129</v>
      </c>
      <c r="O16" s="273">
        <v>133606947.50672905</v>
      </c>
      <c r="P16" s="273">
        <v>20366744.544994734</v>
      </c>
      <c r="Q16" s="273">
        <v>1733959.0724106503</v>
      </c>
      <c r="R16" s="273">
        <v>68819133.397793099</v>
      </c>
      <c r="S16" s="273">
        <v>40980224.397396058</v>
      </c>
      <c r="T16" s="273">
        <v>743170.61465786863</v>
      </c>
      <c r="U16" s="273">
        <v>43707277.10322009</v>
      </c>
      <c r="V16" s="273">
        <v>5836022.0524613466</v>
      </c>
      <c r="W16" s="273">
        <v>7739072.3465195419</v>
      </c>
      <c r="X16" s="273">
        <v>1933480.5974432116</v>
      </c>
      <c r="Y16" s="273">
        <v>4316418.7169818208</v>
      </c>
      <c r="Z16" s="273">
        <v>39890991.188788734</v>
      </c>
      <c r="AA16" s="273">
        <v>10493222.854488103</v>
      </c>
      <c r="AB16" s="273">
        <v>970542.69406215497</v>
      </c>
      <c r="AC16" s="273">
        <v>74866.79983208784</v>
      </c>
      <c r="AD16" s="273">
        <v>4617.8732259497574</v>
      </c>
      <c r="AE16" s="273">
        <v>186955.04188815752</v>
      </c>
      <c r="AF16" s="273">
        <v>1149708.9340117704</v>
      </c>
      <c r="AG16" s="273">
        <v>2975678.2656839183</v>
      </c>
      <c r="AH16" s="273">
        <v>570700.51454981416</v>
      </c>
      <c r="AI16" s="273">
        <v>165357.46212527007</v>
      </c>
      <c r="AJ16" s="273">
        <v>155381.69884559288</v>
      </c>
      <c r="AK16" s="273">
        <v>382343.88641159597</v>
      </c>
      <c r="AL16" s="273">
        <v>194335.82340300392</v>
      </c>
      <c r="AM16" s="273">
        <v>7546.3049057878961</v>
      </c>
      <c r="AN16" s="274">
        <f t="shared" si="17"/>
        <v>1541868000</v>
      </c>
      <c r="AO16" s="273">
        <v>5931666.2211994957</v>
      </c>
      <c r="AP16" s="273">
        <v>136166743.46544814</v>
      </c>
      <c r="AQ16" s="273">
        <v>27382590.313352384</v>
      </c>
      <c r="AR16" s="274">
        <f t="shared" si="19"/>
        <v>1711349000</v>
      </c>
      <c r="AT16" s="118">
        <f t="shared" si="0"/>
        <v>680007000</v>
      </c>
      <c r="AU16" s="118">
        <f t="shared" si="1"/>
        <v>175000</v>
      </c>
      <c r="AV16" s="118">
        <f t="shared" si="2"/>
        <v>223357000</v>
      </c>
      <c r="AW16" s="118">
        <f>ROUND(SUM(I16,M16:N16,AC16),-3)+1000</f>
        <v>247983000</v>
      </c>
      <c r="AX16" s="118">
        <f t="shared" si="3"/>
        <v>155423000</v>
      </c>
      <c r="AY16" s="118">
        <f t="shared" si="4"/>
        <v>1734000</v>
      </c>
      <c r="AZ16" s="118">
        <f t="shared" si="5"/>
        <v>112413000</v>
      </c>
      <c r="BA16" s="118">
        <f t="shared" si="6"/>
        <v>743000</v>
      </c>
      <c r="BB16" s="118">
        <f t="shared" si="7"/>
        <v>7739000</v>
      </c>
      <c r="BC16" s="118">
        <f t="shared" si="8"/>
        <v>49543000</v>
      </c>
      <c r="BD16" s="118">
        <f t="shared" si="9"/>
        <v>6250000</v>
      </c>
      <c r="BE16" s="118">
        <f t="shared" si="10"/>
        <v>50384000</v>
      </c>
      <c r="BF16" s="118">
        <f t="shared" si="11"/>
        <v>5793000</v>
      </c>
      <c r="BG16" s="118">
        <f t="shared" si="12"/>
        <v>324000</v>
      </c>
      <c r="BH16" s="118">
        <f t="shared" si="13"/>
        <v>169481000</v>
      </c>
      <c r="BI16" s="118">
        <f t="shared" si="20"/>
        <v>1711349000</v>
      </c>
      <c r="BJ16" s="110">
        <f t="shared" si="15"/>
        <v>1711349000</v>
      </c>
      <c r="BK16" s="110">
        <f t="shared" si="21"/>
        <v>0</v>
      </c>
    </row>
    <row r="17" spans="1:63" ht="15" x14ac:dyDescent="0.25">
      <c r="A17" s="148"/>
      <c r="B17" s="149">
        <v>10</v>
      </c>
      <c r="C17" s="150">
        <v>611.09663573188129</v>
      </c>
      <c r="D17" s="151">
        <v>483000</v>
      </c>
      <c r="E17" s="151">
        <v>833549011.40555596</v>
      </c>
      <c r="F17" s="151">
        <v>177988.59444400904</v>
      </c>
      <c r="G17" s="151">
        <v>20740557.535579998</v>
      </c>
      <c r="H17" s="151">
        <v>2780005.3493241728</v>
      </c>
      <c r="I17" s="151">
        <v>12810767.436272651</v>
      </c>
      <c r="J17" s="151">
        <v>1446951.9793610014</v>
      </c>
      <c r="K17" s="151">
        <v>207251646.0337466</v>
      </c>
      <c r="L17" s="151">
        <v>7809886.1109238081</v>
      </c>
      <c r="M17" s="151">
        <v>225288302.45485517</v>
      </c>
      <c r="N17" s="151">
        <v>15927808.955146482</v>
      </c>
      <c r="O17" s="151">
        <v>135653686.01449648</v>
      </c>
      <c r="P17" s="151">
        <v>20744076.736629337</v>
      </c>
      <c r="Q17" s="151">
        <v>589888.61380378413</v>
      </c>
      <c r="R17" s="151">
        <v>69957635.654310897</v>
      </c>
      <c r="S17" s="151">
        <v>43082816.609723352</v>
      </c>
      <c r="T17" s="151">
        <v>253303.33534863798</v>
      </c>
      <c r="U17" s="151">
        <v>44155721.83846347</v>
      </c>
      <c r="V17" s="151">
        <v>5643325.0040898621</v>
      </c>
      <c r="W17" s="151">
        <v>9439098.9961065333</v>
      </c>
      <c r="X17" s="151">
        <v>2295880.5815393217</v>
      </c>
      <c r="Y17" s="151">
        <v>4958055.6192219555</v>
      </c>
      <c r="Z17" s="151">
        <v>39186673.457970791</v>
      </c>
      <c r="AA17" s="151">
        <v>10547030.964265209</v>
      </c>
      <c r="AB17" s="151">
        <v>1143096.5165066167</v>
      </c>
      <c r="AC17" s="151">
        <v>83451.781914531632</v>
      </c>
      <c r="AD17" s="151">
        <v>4337.3570909812524</v>
      </c>
      <c r="AE17" s="151">
        <v>238589.48164585038</v>
      </c>
      <c r="AF17" s="151">
        <v>1148928.5531117676</v>
      </c>
      <c r="AG17" s="151">
        <v>2993736.7353645158</v>
      </c>
      <c r="AH17" s="151">
        <v>563769.01914560713</v>
      </c>
      <c r="AI17" s="151">
        <v>167321.50619693784</v>
      </c>
      <c r="AJ17" s="151">
        <v>156912.412506122</v>
      </c>
      <c r="AK17" s="151">
        <v>397479.45858439821</v>
      </c>
      <c r="AL17" s="151">
        <v>199861.36417746468</v>
      </c>
      <c r="AM17" s="151">
        <v>7785.4359400771291</v>
      </c>
      <c r="AN17" s="152">
        <f t="shared" si="17"/>
        <v>1721879000</v>
      </c>
      <c r="AO17" s="151">
        <v>5512172.4172346946</v>
      </c>
      <c r="AP17" s="151">
        <v>135141311.6924153</v>
      </c>
      <c r="AQ17" s="151">
        <v>28747515.890349999</v>
      </c>
      <c r="AR17" s="152">
        <f t="shared" si="19"/>
        <v>1891280000</v>
      </c>
      <c r="AS17" s="153"/>
      <c r="AT17" s="154">
        <f t="shared" si="0"/>
        <v>833549000</v>
      </c>
      <c r="AU17" s="154">
        <f t="shared" si="1"/>
        <v>178000</v>
      </c>
      <c r="AV17" s="154">
        <f t="shared" si="2"/>
        <v>236945000</v>
      </c>
      <c r="AW17" s="154">
        <f>ROUND(SUM(I17,M17:N17,AC17),-3)+1000</f>
        <v>254111000</v>
      </c>
      <c r="AX17" s="154">
        <f t="shared" si="3"/>
        <v>157845000</v>
      </c>
      <c r="AY17" s="154">
        <f t="shared" si="4"/>
        <v>590000</v>
      </c>
      <c r="AZ17" s="154">
        <f t="shared" si="5"/>
        <v>115820000</v>
      </c>
      <c r="BA17" s="154">
        <f t="shared" si="6"/>
        <v>253000</v>
      </c>
      <c r="BB17" s="154">
        <f t="shared" si="7"/>
        <v>9439000</v>
      </c>
      <c r="BC17" s="154">
        <f t="shared" si="8"/>
        <v>49799000</v>
      </c>
      <c r="BD17" s="154">
        <f t="shared" si="9"/>
        <v>7254000</v>
      </c>
      <c r="BE17" s="154">
        <f t="shared" si="10"/>
        <v>49734000</v>
      </c>
      <c r="BF17" s="154">
        <f t="shared" si="11"/>
        <v>5879000</v>
      </c>
      <c r="BG17" s="154">
        <f t="shared" si="12"/>
        <v>483000</v>
      </c>
      <c r="BH17" s="154">
        <f t="shared" si="13"/>
        <v>169401000</v>
      </c>
      <c r="BI17" s="154">
        <f t="shared" si="20"/>
        <v>1891280000</v>
      </c>
      <c r="BJ17" s="154">
        <f t="shared" si="15"/>
        <v>1891280000</v>
      </c>
      <c r="BK17" s="155">
        <f t="shared" si="21"/>
        <v>0</v>
      </c>
    </row>
    <row r="18" spans="1:63" ht="15" x14ac:dyDescent="0.25">
      <c r="A18" s="148"/>
      <c r="B18" s="149">
        <v>11</v>
      </c>
      <c r="C18" s="150">
        <v>663.61007069809352</v>
      </c>
      <c r="D18" s="151">
        <v>697000</v>
      </c>
      <c r="E18" s="151">
        <v>1026428323.3520823</v>
      </c>
      <c r="F18" s="151">
        <v>196676.64791779069</v>
      </c>
      <c r="G18" s="151">
        <v>24278019.037358925</v>
      </c>
      <c r="H18" s="151">
        <v>3024771.5802035495</v>
      </c>
      <c r="I18" s="151">
        <v>13689702.838297395</v>
      </c>
      <c r="J18" s="151">
        <v>1595925.7411059139</v>
      </c>
      <c r="K18" s="151">
        <v>223934761.39233571</v>
      </c>
      <c r="L18" s="151">
        <v>8331132.0642225165</v>
      </c>
      <c r="M18" s="151">
        <v>232014721.984786</v>
      </c>
      <c r="N18" s="151">
        <v>15539051.133605905</v>
      </c>
      <c r="O18" s="151">
        <v>134240743.74911386</v>
      </c>
      <c r="P18" s="151">
        <v>19069229.752981275</v>
      </c>
      <c r="Q18" s="151">
        <v>318216.95321685012</v>
      </c>
      <c r="R18" s="151">
        <v>69671506.82580471</v>
      </c>
      <c r="S18" s="151">
        <v>41064073.973359868</v>
      </c>
      <c r="T18" s="151">
        <v>56474.590136463106</v>
      </c>
      <c r="U18" s="151">
        <v>42846982.183897488</v>
      </c>
      <c r="V18" s="151">
        <v>5007905.5040918151</v>
      </c>
      <c r="W18" s="151">
        <v>11944641.518921588</v>
      </c>
      <c r="X18" s="151">
        <v>2332369.1445410214</v>
      </c>
      <c r="Y18" s="151">
        <v>4345852.2607564013</v>
      </c>
      <c r="Z18" s="151">
        <v>40096440.858863398</v>
      </c>
      <c r="AA18" s="151">
        <v>10240755.310982188</v>
      </c>
      <c r="AB18" s="151">
        <v>1392125.7191147197</v>
      </c>
      <c r="AC18" s="151">
        <v>113606.55625545152</v>
      </c>
      <c r="AD18" s="151">
        <v>4877.7082279170718</v>
      </c>
      <c r="AE18" s="151">
        <v>222587.08083835678</v>
      </c>
      <c r="AF18" s="151">
        <v>1215695.6392653221</v>
      </c>
      <c r="AG18" s="151">
        <v>3148308.4644733053</v>
      </c>
      <c r="AH18" s="151">
        <v>589339.59309184039</v>
      </c>
      <c r="AI18" s="151">
        <v>160372.06060259102</v>
      </c>
      <c r="AJ18" s="151">
        <v>150979.57428890877</v>
      </c>
      <c r="AK18" s="151">
        <v>283795.62866238924</v>
      </c>
      <c r="AL18" s="151">
        <v>193106.36932612036</v>
      </c>
      <c r="AM18" s="151">
        <v>7263.5971994845177</v>
      </c>
      <c r="AN18" s="152">
        <f t="shared" si="17"/>
        <v>1938447999.9999995</v>
      </c>
      <c r="AO18" s="151">
        <v>5311361.1675871536</v>
      </c>
      <c r="AP18" s="151">
        <v>136059837.38684073</v>
      </c>
      <c r="AQ18" s="151">
        <v>27965801.445572119</v>
      </c>
      <c r="AR18" s="152">
        <f t="shared" si="19"/>
        <v>2107784999.9999995</v>
      </c>
      <c r="AS18" s="153"/>
      <c r="AT18" s="154">
        <f t="shared" si="0"/>
        <v>1026428000</v>
      </c>
      <c r="AU18" s="154">
        <f t="shared" si="1"/>
        <v>197000</v>
      </c>
      <c r="AV18" s="154">
        <f t="shared" si="2"/>
        <v>257936000</v>
      </c>
      <c r="AW18" s="154">
        <f>ROUND(SUM(I18,M18:N18,AC18),-3)+1000</f>
        <v>261358000</v>
      </c>
      <c r="AX18" s="154">
        <f t="shared" si="3"/>
        <v>154906000</v>
      </c>
      <c r="AY18" s="154">
        <f t="shared" si="4"/>
        <v>318000</v>
      </c>
      <c r="AZ18" s="154">
        <f t="shared" si="5"/>
        <v>113760000</v>
      </c>
      <c r="BA18" s="154">
        <f t="shared" si="6"/>
        <v>56000</v>
      </c>
      <c r="BB18" s="154">
        <f t="shared" si="7"/>
        <v>11945000</v>
      </c>
      <c r="BC18" s="154">
        <f t="shared" si="8"/>
        <v>47855000</v>
      </c>
      <c r="BD18" s="154">
        <f t="shared" si="9"/>
        <v>6678000</v>
      </c>
      <c r="BE18" s="154">
        <f t="shared" si="10"/>
        <v>50337000</v>
      </c>
      <c r="BF18" s="154">
        <f t="shared" si="11"/>
        <v>5977000</v>
      </c>
      <c r="BG18" s="154">
        <f t="shared" si="12"/>
        <v>697000</v>
      </c>
      <c r="BH18" s="154">
        <f t="shared" si="13"/>
        <v>169337000</v>
      </c>
      <c r="BI18" s="154">
        <f t="shared" si="20"/>
        <v>2107785000</v>
      </c>
      <c r="BJ18" s="154">
        <f t="shared" si="15"/>
        <v>2107785000</v>
      </c>
      <c r="BK18" s="155">
        <f t="shared" si="21"/>
        <v>0</v>
      </c>
    </row>
    <row r="19" spans="1:63" ht="15" x14ac:dyDescent="0.25">
      <c r="A19" s="156"/>
      <c r="B19" s="157">
        <v>12</v>
      </c>
      <c r="C19" s="158">
        <v>584.48838199830789</v>
      </c>
      <c r="D19" s="159">
        <v>1016000.0000000001</v>
      </c>
      <c r="E19" s="159">
        <v>1300719475.3101647</v>
      </c>
      <c r="F19" s="159">
        <v>257524.68983530992</v>
      </c>
      <c r="G19" s="159">
        <v>29042422.307348602</v>
      </c>
      <c r="H19" s="159">
        <v>3414373.7772393515</v>
      </c>
      <c r="I19" s="159">
        <v>15319471.556712458</v>
      </c>
      <c r="J19" s="159">
        <v>1795977.2568166303</v>
      </c>
      <c r="K19" s="159">
        <v>245989247.04999876</v>
      </c>
      <c r="L19" s="159">
        <v>8757492.1681687441</v>
      </c>
      <c r="M19" s="159">
        <v>249621353.70701125</v>
      </c>
      <c r="N19" s="159">
        <v>15895169.071623182</v>
      </c>
      <c r="O19" s="159">
        <v>141764104.7740238</v>
      </c>
      <c r="P19" s="159">
        <v>17882998.554837536</v>
      </c>
      <c r="Q19" s="159">
        <v>330747.61641364993</v>
      </c>
      <c r="R19" s="159">
        <v>75264694.131166056</v>
      </c>
      <c r="S19" s="159">
        <v>41315355.95109465</v>
      </c>
      <c r="T19" s="159">
        <v>4496.9220502037051</v>
      </c>
      <c r="U19" s="159">
        <v>44240448.672137745</v>
      </c>
      <c r="V19" s="159">
        <v>4608120.3247533329</v>
      </c>
      <c r="W19" s="159">
        <v>14884764.036484094</v>
      </c>
      <c r="X19" s="159">
        <v>1962371.2050354709</v>
      </c>
      <c r="Y19" s="159">
        <v>3950612.52615951</v>
      </c>
      <c r="Z19" s="159">
        <v>41888588.851019725</v>
      </c>
      <c r="AA19" s="159">
        <v>10004251.403363051</v>
      </c>
      <c r="AB19" s="159">
        <v>1344229.0327101026</v>
      </c>
      <c r="AC19" s="159">
        <v>113399.83950492917</v>
      </c>
      <c r="AD19" s="159">
        <v>4696.5121972611059</v>
      </c>
      <c r="AE19" s="159">
        <v>241291.1614845389</v>
      </c>
      <c r="AF19" s="159">
        <v>1171997.6501386699</v>
      </c>
      <c r="AG19" s="159">
        <v>2960866.8304014397</v>
      </c>
      <c r="AH19" s="159">
        <v>562371.44431914669</v>
      </c>
      <c r="AI19" s="159">
        <v>167210.0336237702</v>
      </c>
      <c r="AJ19" s="159">
        <v>157622.21525982156</v>
      </c>
      <c r="AK19" s="159">
        <v>444563.0408619137</v>
      </c>
      <c r="AL19" s="159">
        <v>202875.51277755358</v>
      </c>
      <c r="AM19" s="159">
        <v>7230.374881158612</v>
      </c>
      <c r="AN19" s="160">
        <f t="shared" si="17"/>
        <v>2277309000.0000005</v>
      </c>
      <c r="AO19" s="159">
        <v>5199195.1691155983</v>
      </c>
      <c r="AP19" s="159">
        <v>137490076.88832647</v>
      </c>
      <c r="AQ19" s="159">
        <v>26598727.942557901</v>
      </c>
      <c r="AR19" s="160">
        <f t="shared" si="19"/>
        <v>2446597000.0000005</v>
      </c>
      <c r="AS19" s="153"/>
      <c r="AT19" s="154">
        <f t="shared" si="0"/>
        <v>1300719000</v>
      </c>
      <c r="AU19" s="154">
        <f t="shared" si="1"/>
        <v>258000</v>
      </c>
      <c r="AV19" s="154">
        <f t="shared" si="2"/>
        <v>285133000</v>
      </c>
      <c r="AW19" s="154">
        <f>ROUND(SUM(I19,M19:N19,AC19),-3)+1000</f>
        <v>280950000</v>
      </c>
      <c r="AX19" s="154">
        <f t="shared" si="3"/>
        <v>161443000</v>
      </c>
      <c r="AY19" s="154">
        <f t="shared" si="4"/>
        <v>331000</v>
      </c>
      <c r="AZ19" s="154">
        <f t="shared" si="5"/>
        <v>119994000</v>
      </c>
      <c r="BA19" s="154">
        <f t="shared" si="6"/>
        <v>4000</v>
      </c>
      <c r="BB19" s="154">
        <f t="shared" si="7"/>
        <v>14885000</v>
      </c>
      <c r="BC19" s="154">
        <f t="shared" si="8"/>
        <v>48849000</v>
      </c>
      <c r="BD19" s="154">
        <f t="shared" si="9"/>
        <v>5913000</v>
      </c>
      <c r="BE19" s="154">
        <f t="shared" si="10"/>
        <v>51893000</v>
      </c>
      <c r="BF19" s="154">
        <f t="shared" si="11"/>
        <v>5921000</v>
      </c>
      <c r="BG19" s="154">
        <f t="shared" si="12"/>
        <v>1016000</v>
      </c>
      <c r="BH19" s="154">
        <f t="shared" si="13"/>
        <v>169288000</v>
      </c>
      <c r="BI19" s="154">
        <f t="shared" si="20"/>
        <v>2446597000</v>
      </c>
      <c r="BJ19" s="154">
        <f t="shared" si="15"/>
        <v>2446597000</v>
      </c>
      <c r="BK19" s="155">
        <f t="shared" si="21"/>
        <v>0</v>
      </c>
    </row>
    <row r="20" spans="1:63" ht="15" x14ac:dyDescent="0.25">
      <c r="A20" s="161">
        <v>2019</v>
      </c>
      <c r="B20" s="161">
        <v>1</v>
      </c>
      <c r="C20" s="162">
        <v>586.20925204601849</v>
      </c>
      <c r="D20" s="163">
        <v>883000</v>
      </c>
      <c r="E20" s="163">
        <v>1259041236.2574518</v>
      </c>
      <c r="F20" s="163">
        <v>246763.74254819399</v>
      </c>
      <c r="G20" s="163">
        <v>28705035.019130263</v>
      </c>
      <c r="H20" s="163">
        <v>3505706.2417982067</v>
      </c>
      <c r="I20" s="163">
        <v>16323351.933456073</v>
      </c>
      <c r="J20" s="163">
        <v>1847412.4709986101</v>
      </c>
      <c r="K20" s="163">
        <v>255254595.06954047</v>
      </c>
      <c r="L20" s="163">
        <v>9956276.2694686335</v>
      </c>
      <c r="M20" s="163">
        <v>255659484.60162878</v>
      </c>
      <c r="N20" s="163">
        <v>17852629.299122993</v>
      </c>
      <c r="O20" s="163">
        <v>142973965.70689952</v>
      </c>
      <c r="P20" s="163">
        <v>19902555.220342811</v>
      </c>
      <c r="Q20" s="163">
        <v>315788.5348240076</v>
      </c>
      <c r="R20" s="163">
        <v>76302398.733366907</v>
      </c>
      <c r="S20" s="163">
        <v>46403958.384831436</v>
      </c>
      <c r="T20" s="163">
        <v>4087.3146850610569</v>
      </c>
      <c r="U20" s="163">
        <v>43421327.507081605</v>
      </c>
      <c r="V20" s="163">
        <v>5407683.2957852241</v>
      </c>
      <c r="W20" s="163">
        <v>16004158.587572709</v>
      </c>
      <c r="X20" s="163">
        <v>1804762.7837271909</v>
      </c>
      <c r="Y20" s="163">
        <v>4467143.1212358745</v>
      </c>
      <c r="Z20" s="163">
        <v>38583171.952107154</v>
      </c>
      <c r="AA20" s="163">
        <v>11051754.409213005</v>
      </c>
      <c r="AB20" s="163">
        <v>1302621.634382043</v>
      </c>
      <c r="AC20" s="163">
        <v>114674.13224155147</v>
      </c>
      <c r="AD20" s="163">
        <v>4727.0004089303447</v>
      </c>
      <c r="AE20" s="163">
        <v>234894.14798039943</v>
      </c>
      <c r="AF20" s="163">
        <v>1138013.7634041277</v>
      </c>
      <c r="AG20" s="163">
        <v>2979911.9269417701</v>
      </c>
      <c r="AH20" s="163">
        <v>558029.52789298084</v>
      </c>
      <c r="AI20" s="163">
        <v>166937.66489330141</v>
      </c>
      <c r="AJ20" s="163">
        <v>157708.29992196511</v>
      </c>
      <c r="AK20" s="163">
        <v>370541.65749614971</v>
      </c>
      <c r="AL20" s="163">
        <v>202178.2416272336</v>
      </c>
      <c r="AM20" s="163">
        <v>7817.2481467786638</v>
      </c>
      <c r="AN20" s="164">
        <f t="shared" si="17"/>
        <v>2263156887.911406</v>
      </c>
      <c r="AO20" s="163">
        <v>6185278.1736883279</v>
      </c>
      <c r="AP20" s="163">
        <v>136994976.98184752</v>
      </c>
      <c r="AQ20" s="163">
        <v>26095744.844464149</v>
      </c>
      <c r="AR20" s="164">
        <f t="shared" si="19"/>
        <v>2432432887.911406</v>
      </c>
      <c r="AS20" s="153"/>
      <c r="AT20" s="154">
        <f t="shared" si="0"/>
        <v>1259041000</v>
      </c>
      <c r="AU20" s="154">
        <f t="shared" si="1"/>
        <v>247000</v>
      </c>
      <c r="AV20" s="154">
        <f t="shared" si="2"/>
        <v>295219000</v>
      </c>
      <c r="AW20" s="154">
        <f>ROUND(SUM(I20,M20:N20,AC20),-3)</f>
        <v>289950000</v>
      </c>
      <c r="AX20" s="154">
        <f t="shared" si="3"/>
        <v>164724000</v>
      </c>
      <c r="AY20" s="154">
        <f t="shared" si="4"/>
        <v>316000</v>
      </c>
      <c r="AZ20" s="154">
        <f t="shared" si="5"/>
        <v>126212000</v>
      </c>
      <c r="BA20" s="154">
        <f t="shared" si="6"/>
        <v>4000</v>
      </c>
      <c r="BB20" s="154">
        <f t="shared" si="7"/>
        <v>16004000</v>
      </c>
      <c r="BC20" s="154">
        <f t="shared" ref="BC20:BC31" si="22">ROUND(SUM(U20:V20),-3)</f>
        <v>48829000</v>
      </c>
      <c r="BD20" s="154">
        <f t="shared" si="9"/>
        <v>6272000</v>
      </c>
      <c r="BE20" s="154">
        <f t="shared" si="10"/>
        <v>49635000</v>
      </c>
      <c r="BF20" s="154">
        <f t="shared" si="11"/>
        <v>5821000</v>
      </c>
      <c r="BG20" s="154">
        <f t="shared" si="12"/>
        <v>883000</v>
      </c>
      <c r="BH20" s="154">
        <f t="shared" si="13"/>
        <v>169276000</v>
      </c>
      <c r="BI20" s="154">
        <f t="shared" si="20"/>
        <v>2432433000</v>
      </c>
      <c r="BJ20" s="155">
        <f t="shared" ref="BJ20:BJ31" si="23">ROUND(SUM(AR20:AR20),-3)</f>
        <v>2432433000</v>
      </c>
      <c r="BK20" s="155">
        <f t="shared" si="21"/>
        <v>0</v>
      </c>
    </row>
    <row r="21" spans="1:63" ht="15" x14ac:dyDescent="0.25">
      <c r="A21" s="148"/>
      <c r="B21" s="149">
        <v>2</v>
      </c>
      <c r="C21" s="150">
        <v>559.59805325510763</v>
      </c>
      <c r="D21" s="151">
        <v>816000</v>
      </c>
      <c r="E21" s="151">
        <v>1049780380.1846642</v>
      </c>
      <c r="F21" s="151">
        <v>183619.81533566411</v>
      </c>
      <c r="G21" s="151">
        <v>24700404.243787814</v>
      </c>
      <c r="H21" s="151">
        <v>3111333.8515849761</v>
      </c>
      <c r="I21" s="151">
        <v>13736020.264433455</v>
      </c>
      <c r="J21" s="151">
        <v>1575893.0816527314</v>
      </c>
      <c r="K21" s="151">
        <v>221861138.30639061</v>
      </c>
      <c r="L21" s="151">
        <v>8032246.7009127485</v>
      </c>
      <c r="M21" s="151">
        <v>235212825.50073975</v>
      </c>
      <c r="N21" s="151">
        <v>15016148.378482979</v>
      </c>
      <c r="O21" s="151">
        <v>131205991.10081756</v>
      </c>
      <c r="P21" s="151">
        <v>17448915.283833403</v>
      </c>
      <c r="Q21" s="151">
        <v>302219.51689467079</v>
      </c>
      <c r="R21" s="151">
        <v>70010441.626419425</v>
      </c>
      <c r="S21" s="151">
        <v>38603849.947068594</v>
      </c>
      <c r="T21" s="151">
        <v>3003.8684267077092</v>
      </c>
      <c r="U21" s="151">
        <v>43014066.969258614</v>
      </c>
      <c r="V21" s="151">
        <v>4479351.5175016141</v>
      </c>
      <c r="W21" s="151">
        <v>13601617.77761017</v>
      </c>
      <c r="X21" s="151">
        <v>1647694.6689671334</v>
      </c>
      <c r="Y21" s="151">
        <v>5129202.7701413799</v>
      </c>
      <c r="Z21" s="151">
        <v>35403362.859379128</v>
      </c>
      <c r="AA21" s="151">
        <v>9399285.4020592701</v>
      </c>
      <c r="AB21" s="151">
        <v>1129816.1654120598</v>
      </c>
      <c r="AC21" s="151">
        <v>101169.13480717082</v>
      </c>
      <c r="AD21" s="151">
        <v>4572.9206303686751</v>
      </c>
      <c r="AE21" s="151">
        <v>242286.45899091655</v>
      </c>
      <c r="AF21" s="151">
        <v>1089979.4478816763</v>
      </c>
      <c r="AG21" s="151">
        <v>2815988.9923370848</v>
      </c>
      <c r="AH21" s="151">
        <v>534128.30276544089</v>
      </c>
      <c r="AI21" s="151">
        <v>155618.18772471035</v>
      </c>
      <c r="AJ21" s="151">
        <v>146324.75159049293</v>
      </c>
      <c r="AK21" s="151">
        <v>257498.97912202825</v>
      </c>
      <c r="AL21" s="151">
        <v>187840.40458331723</v>
      </c>
      <c r="AM21" s="151">
        <v>7457.0548596157905</v>
      </c>
      <c r="AN21" s="152">
        <f t="shared" si="17"/>
        <v>1950948254.03512</v>
      </c>
      <c r="AO21" s="151">
        <v>6212318.7363128038</v>
      </c>
      <c r="AP21" s="151">
        <v>136686964.64823565</v>
      </c>
      <c r="AQ21" s="151">
        <v>26505716.615451552</v>
      </c>
      <c r="AR21" s="152">
        <f t="shared" si="19"/>
        <v>2120353254.03512</v>
      </c>
      <c r="AS21" s="153"/>
      <c r="AT21" s="154">
        <f t="shared" si="0"/>
        <v>1049780000</v>
      </c>
      <c r="AU21" s="154">
        <f t="shared" si="1"/>
        <v>184000</v>
      </c>
      <c r="AV21" s="154">
        <f t="shared" si="2"/>
        <v>255724000</v>
      </c>
      <c r="AW21" s="154">
        <f>ROUND(SUM(I21,M21:N21,AC21),-3)-1000</f>
        <v>264065000</v>
      </c>
      <c r="AX21" s="154">
        <f t="shared" si="3"/>
        <v>150231000</v>
      </c>
      <c r="AY21" s="154">
        <f t="shared" si="4"/>
        <v>302000</v>
      </c>
      <c r="AZ21" s="154">
        <f t="shared" si="5"/>
        <v>111726000</v>
      </c>
      <c r="BA21" s="154">
        <f t="shared" si="6"/>
        <v>3000</v>
      </c>
      <c r="BB21" s="154">
        <f t="shared" si="7"/>
        <v>13602000</v>
      </c>
      <c r="BC21" s="154">
        <f t="shared" si="22"/>
        <v>47493000</v>
      </c>
      <c r="BD21" s="154">
        <f t="shared" si="9"/>
        <v>6777000</v>
      </c>
      <c r="BE21" s="154">
        <f t="shared" si="10"/>
        <v>44803000</v>
      </c>
      <c r="BF21" s="154">
        <f t="shared" si="11"/>
        <v>5442000</v>
      </c>
      <c r="BG21" s="154">
        <f t="shared" si="12"/>
        <v>816000</v>
      </c>
      <c r="BH21" s="154">
        <f t="shared" si="13"/>
        <v>169405000</v>
      </c>
      <c r="BI21" s="154">
        <f t="shared" si="20"/>
        <v>2120353000</v>
      </c>
      <c r="BJ21" s="155">
        <f t="shared" si="23"/>
        <v>2120353000</v>
      </c>
      <c r="BK21" s="155">
        <f t="shared" si="21"/>
        <v>0</v>
      </c>
    </row>
    <row r="22" spans="1:63" ht="15" x14ac:dyDescent="0.25">
      <c r="A22" s="148"/>
      <c r="B22" s="149">
        <v>3</v>
      </c>
      <c r="C22" s="150">
        <v>642.49075686488777</v>
      </c>
      <c r="D22" s="151">
        <v>814000</v>
      </c>
      <c r="E22" s="151">
        <v>1045223066.9354016</v>
      </c>
      <c r="F22" s="151">
        <v>189933.06459850891</v>
      </c>
      <c r="G22" s="151">
        <v>24947707.275992557</v>
      </c>
      <c r="H22" s="151">
        <v>3250078.6684244559</v>
      </c>
      <c r="I22" s="151">
        <v>14060191.284505326</v>
      </c>
      <c r="J22" s="151">
        <v>1676134.1539381316</v>
      </c>
      <c r="K22" s="151">
        <v>238543083.52022535</v>
      </c>
      <c r="L22" s="151">
        <v>9107396.0675751567</v>
      </c>
      <c r="M22" s="151">
        <v>241862081.28314069</v>
      </c>
      <c r="N22" s="151">
        <v>16748343.683228238</v>
      </c>
      <c r="O22" s="151">
        <v>141628370.81156856</v>
      </c>
      <c r="P22" s="151">
        <v>19737726.086208843</v>
      </c>
      <c r="Q22" s="151">
        <v>334979.19091726007</v>
      </c>
      <c r="R22" s="151">
        <v>75165680.923378497</v>
      </c>
      <c r="S22" s="151">
        <v>42820403.024472617</v>
      </c>
      <c r="T22" s="151">
        <v>6108.3200058093744</v>
      </c>
      <c r="U22" s="151">
        <v>43770449.957756869</v>
      </c>
      <c r="V22" s="151">
        <v>5314140.310234651</v>
      </c>
      <c r="W22" s="151">
        <v>12832102.257441688</v>
      </c>
      <c r="X22" s="151">
        <v>1819647.7832092459</v>
      </c>
      <c r="Y22" s="151">
        <v>5535494.5249816692</v>
      </c>
      <c r="Z22" s="151">
        <v>40146672.291920766</v>
      </c>
      <c r="AA22" s="151">
        <v>10654496.303298807</v>
      </c>
      <c r="AB22" s="151">
        <v>1112705.2620050043</v>
      </c>
      <c r="AC22" s="151">
        <v>99113.122525051265</v>
      </c>
      <c r="AD22" s="151">
        <v>5243.9827138638329</v>
      </c>
      <c r="AE22" s="151">
        <v>269738.63733971107</v>
      </c>
      <c r="AF22" s="151">
        <v>1249567.7767315523</v>
      </c>
      <c r="AG22" s="151">
        <v>3211220.8519178242</v>
      </c>
      <c r="AH22" s="151">
        <v>609810.92352978932</v>
      </c>
      <c r="AI22" s="151">
        <v>176247.45831250603</v>
      </c>
      <c r="AJ22" s="151">
        <v>165322.07793304036</v>
      </c>
      <c r="AK22" s="151">
        <v>291956.95248033752</v>
      </c>
      <c r="AL22" s="151">
        <v>215058.42129174439</v>
      </c>
      <c r="AM22" s="151">
        <v>8309.4053040168928</v>
      </c>
      <c r="AN22" s="152">
        <f t="shared" si="17"/>
        <v>2003603225.0852664</v>
      </c>
      <c r="AO22" s="151">
        <v>6310850.6320956508</v>
      </c>
      <c r="AP22" s="151">
        <v>136038506.71547663</v>
      </c>
      <c r="AQ22" s="151">
        <v>27066642.652427722</v>
      </c>
      <c r="AR22" s="152">
        <f t="shared" si="19"/>
        <v>2173019225.0852666</v>
      </c>
      <c r="AS22" s="153"/>
      <c r="AT22" s="154">
        <f t="shared" si="0"/>
        <v>1045223000</v>
      </c>
      <c r="AU22" s="154">
        <f t="shared" si="1"/>
        <v>190000</v>
      </c>
      <c r="AV22" s="154">
        <f t="shared" si="2"/>
        <v>273711000</v>
      </c>
      <c r="AW22" s="154">
        <f>ROUND(SUM(I22,M22:N22,AC22),-3)</f>
        <v>272770000</v>
      </c>
      <c r="AX22" s="154">
        <f t="shared" si="3"/>
        <v>163042000</v>
      </c>
      <c r="AY22" s="154">
        <f t="shared" si="4"/>
        <v>335000</v>
      </c>
      <c r="AZ22" s="154">
        <f t="shared" si="5"/>
        <v>121236000</v>
      </c>
      <c r="BA22" s="154">
        <f t="shared" si="6"/>
        <v>6000</v>
      </c>
      <c r="BB22" s="154">
        <f t="shared" si="7"/>
        <v>12832000</v>
      </c>
      <c r="BC22" s="154">
        <f t="shared" si="22"/>
        <v>49085000</v>
      </c>
      <c r="BD22" s="154">
        <f t="shared" si="9"/>
        <v>7355000</v>
      </c>
      <c r="BE22" s="154">
        <f t="shared" si="10"/>
        <v>50801000</v>
      </c>
      <c r="BF22" s="154">
        <f t="shared" si="11"/>
        <v>6203000</v>
      </c>
      <c r="BG22" s="154">
        <f t="shared" si="12"/>
        <v>814000</v>
      </c>
      <c r="BH22" s="154">
        <f t="shared" si="13"/>
        <v>169416000</v>
      </c>
      <c r="BI22" s="154">
        <f t="shared" si="20"/>
        <v>2173019000</v>
      </c>
      <c r="BJ22" s="155">
        <f t="shared" si="23"/>
        <v>2173019000</v>
      </c>
      <c r="BK22" s="155">
        <f t="shared" si="21"/>
        <v>0</v>
      </c>
    </row>
    <row r="23" spans="1:63" ht="15" x14ac:dyDescent="0.25">
      <c r="A23" s="148"/>
      <c r="B23" s="149">
        <v>4</v>
      </c>
      <c r="C23" s="150">
        <v>584.50662131920512</v>
      </c>
      <c r="D23" s="151">
        <v>591000</v>
      </c>
      <c r="E23" s="151">
        <v>862137372.25637758</v>
      </c>
      <c r="F23" s="151">
        <v>167627.74362241678</v>
      </c>
      <c r="G23" s="151">
        <v>20985636.818296526</v>
      </c>
      <c r="H23" s="151">
        <v>2889841.0873069866</v>
      </c>
      <c r="I23" s="151">
        <v>12264791.145393336</v>
      </c>
      <c r="J23" s="151">
        <v>1450487.4657240659</v>
      </c>
      <c r="K23" s="151">
        <v>214932014.70948562</v>
      </c>
      <c r="L23" s="151">
        <v>7906744.9096906492</v>
      </c>
      <c r="M23" s="151">
        <v>231205877.32271636</v>
      </c>
      <c r="N23" s="151">
        <v>15328287.416198239</v>
      </c>
      <c r="O23" s="151">
        <v>132939566.29159528</v>
      </c>
      <c r="P23" s="151">
        <v>18414649.121007461</v>
      </c>
      <c r="Q23" s="151">
        <v>612600.15457699529</v>
      </c>
      <c r="R23" s="151">
        <v>69715379.64139986</v>
      </c>
      <c r="S23" s="151">
        <v>40808804.614266887</v>
      </c>
      <c r="T23" s="151">
        <v>431178.10282549885</v>
      </c>
      <c r="U23" s="151">
        <v>43740553.00776615</v>
      </c>
      <c r="V23" s="151">
        <v>4614664.3490537321</v>
      </c>
      <c r="W23" s="151">
        <v>9856537.6602616459</v>
      </c>
      <c r="X23" s="151">
        <v>1660934.8022318333</v>
      </c>
      <c r="Y23" s="151">
        <v>3836478.1109782839</v>
      </c>
      <c r="Z23" s="151">
        <v>36399731.006949775</v>
      </c>
      <c r="AA23" s="151">
        <v>10121371.478804754</v>
      </c>
      <c r="AB23" s="151">
        <v>888328.86080831522</v>
      </c>
      <c r="AC23" s="151">
        <v>68834.831861307379</v>
      </c>
      <c r="AD23" s="151">
        <v>4687.4209994610083</v>
      </c>
      <c r="AE23" s="151">
        <v>241953.37540780343</v>
      </c>
      <c r="AF23" s="151">
        <v>1118097.1061357602</v>
      </c>
      <c r="AG23" s="151">
        <v>2858146.2051827214</v>
      </c>
      <c r="AH23" s="151">
        <v>542981.09091881465</v>
      </c>
      <c r="AI23" s="151">
        <v>167771.5275954509</v>
      </c>
      <c r="AJ23" s="151">
        <v>157772.34262917057</v>
      </c>
      <c r="AK23" s="151">
        <v>392386.60206449725</v>
      </c>
      <c r="AL23" s="151">
        <v>201227.33996131469</v>
      </c>
      <c r="AM23" s="151">
        <v>8063.5967712288784</v>
      </c>
      <c r="AN23" s="152">
        <f t="shared" si="17"/>
        <v>1749662964.0234871</v>
      </c>
      <c r="AO23" s="151">
        <v>6696984.4019434713</v>
      </c>
      <c r="AP23" s="151">
        <v>139769038.96054128</v>
      </c>
      <c r="AQ23" s="151">
        <v>22949976.637515277</v>
      </c>
      <c r="AR23" s="152">
        <f t="shared" si="19"/>
        <v>1919078964.0234871</v>
      </c>
      <c r="AS23" s="153"/>
      <c r="AT23" s="154">
        <f t="shared" si="0"/>
        <v>862137000</v>
      </c>
      <c r="AU23" s="154">
        <f t="shared" si="1"/>
        <v>168000</v>
      </c>
      <c r="AV23" s="154">
        <f t="shared" si="2"/>
        <v>244713000</v>
      </c>
      <c r="AW23" s="154">
        <f>ROUND(SUM(I23,M23:N23,AC23),-3)-1000</f>
        <v>258867000</v>
      </c>
      <c r="AX23" s="154">
        <f t="shared" si="3"/>
        <v>152805000</v>
      </c>
      <c r="AY23" s="154">
        <f t="shared" si="4"/>
        <v>613000</v>
      </c>
      <c r="AZ23" s="154">
        <f t="shared" si="5"/>
        <v>113414000</v>
      </c>
      <c r="BA23" s="154">
        <f t="shared" si="6"/>
        <v>431000</v>
      </c>
      <c r="BB23" s="154">
        <f t="shared" si="7"/>
        <v>9857000</v>
      </c>
      <c r="BC23" s="154">
        <f t="shared" si="22"/>
        <v>48355000</v>
      </c>
      <c r="BD23" s="154">
        <f t="shared" si="9"/>
        <v>5497000</v>
      </c>
      <c r="BE23" s="154">
        <f t="shared" si="10"/>
        <v>46521000</v>
      </c>
      <c r="BF23" s="154">
        <f t="shared" si="11"/>
        <v>5694000</v>
      </c>
      <c r="BG23" s="154">
        <f t="shared" si="12"/>
        <v>591000</v>
      </c>
      <c r="BH23" s="154">
        <f t="shared" si="13"/>
        <v>169416000</v>
      </c>
      <c r="BI23" s="154">
        <f t="shared" si="20"/>
        <v>1919079000</v>
      </c>
      <c r="BJ23" s="155">
        <f t="shared" si="23"/>
        <v>1919079000</v>
      </c>
      <c r="BK23" s="155">
        <f t="shared" si="21"/>
        <v>0</v>
      </c>
    </row>
    <row r="24" spans="1:63" ht="15" x14ac:dyDescent="0.25">
      <c r="A24" s="148"/>
      <c r="B24" s="149">
        <v>5</v>
      </c>
      <c r="C24" s="150">
        <v>627.06287994971376</v>
      </c>
      <c r="D24" s="151">
        <v>456999.99999999994</v>
      </c>
      <c r="E24" s="151">
        <v>739575709.5270946</v>
      </c>
      <c r="F24" s="151">
        <v>166290.47290537803</v>
      </c>
      <c r="G24" s="151">
        <v>19217292.028125755</v>
      </c>
      <c r="H24" s="151">
        <v>2668226.6882210234</v>
      </c>
      <c r="I24" s="151">
        <v>11392007.679186476</v>
      </c>
      <c r="J24" s="151">
        <v>1354648.3514728288</v>
      </c>
      <c r="K24" s="151">
        <v>206627338.24833333</v>
      </c>
      <c r="L24" s="151">
        <v>7688884.2862699721</v>
      </c>
      <c r="M24" s="151">
        <v>229948357.6987887</v>
      </c>
      <c r="N24" s="151">
        <v>15427780.870050987</v>
      </c>
      <c r="O24" s="151">
        <v>136324962.22105235</v>
      </c>
      <c r="P24" s="151">
        <v>20001268.577133797</v>
      </c>
      <c r="Q24" s="151">
        <v>1558015.9822006156</v>
      </c>
      <c r="R24" s="151">
        <v>71386666.029686689</v>
      </c>
      <c r="S24" s="151">
        <v>42613445.781177551</v>
      </c>
      <c r="T24" s="151">
        <v>757939.6647886571</v>
      </c>
      <c r="U24" s="151">
        <v>43774574.485568874</v>
      </c>
      <c r="V24" s="151">
        <v>5349235.9219454378</v>
      </c>
      <c r="W24" s="151">
        <v>8521410.3464452978</v>
      </c>
      <c r="X24" s="151">
        <v>1770810.7095038504</v>
      </c>
      <c r="Y24" s="151">
        <v>3953347.8080434673</v>
      </c>
      <c r="Z24" s="151">
        <v>37325516.810598589</v>
      </c>
      <c r="AA24" s="151">
        <v>10113036.755378779</v>
      </c>
      <c r="AB24" s="151">
        <v>858444.51088300045</v>
      </c>
      <c r="AC24" s="151">
        <v>65928.483805023425</v>
      </c>
      <c r="AD24" s="151">
        <v>5059.6510711266346</v>
      </c>
      <c r="AE24" s="151">
        <v>290024.99384648068</v>
      </c>
      <c r="AF24" s="151">
        <v>1201712.5167295237</v>
      </c>
      <c r="AG24" s="151">
        <v>3065518.7233306146</v>
      </c>
      <c r="AH24" s="151">
        <v>581779.32833712245</v>
      </c>
      <c r="AI24" s="151">
        <v>163972.31448791592</v>
      </c>
      <c r="AJ24" s="151">
        <v>155010.47020544749</v>
      </c>
      <c r="AK24" s="151">
        <v>410904.72911715793</v>
      </c>
      <c r="AL24" s="151">
        <v>199428.40402246485</v>
      </c>
      <c r="AM24" s="151">
        <v>7724.0588874341629</v>
      </c>
      <c r="AN24" s="152">
        <f t="shared" si="17"/>
        <v>1624979902.1915762</v>
      </c>
      <c r="AO24" s="151">
        <v>6358562.3188879211</v>
      </c>
      <c r="AP24" s="151">
        <v>139889185.68958065</v>
      </c>
      <c r="AQ24" s="151">
        <v>23002251.991531447</v>
      </c>
      <c r="AR24" s="152">
        <f t="shared" si="19"/>
        <v>1794229902.1915762</v>
      </c>
      <c r="AS24" s="153"/>
      <c r="AT24" s="154">
        <f t="shared" si="0"/>
        <v>739576000</v>
      </c>
      <c r="AU24" s="154">
        <f t="shared" si="1"/>
        <v>166000</v>
      </c>
      <c r="AV24" s="154">
        <f t="shared" si="2"/>
        <v>234392000</v>
      </c>
      <c r="AW24" s="154">
        <f>ROUND(SUM(I24,M24:N24,AC24),-3)</f>
        <v>256834000</v>
      </c>
      <c r="AX24" s="154">
        <f t="shared" si="3"/>
        <v>157681000</v>
      </c>
      <c r="AY24" s="154">
        <f t="shared" si="4"/>
        <v>1558000</v>
      </c>
      <c r="AZ24" s="154">
        <f t="shared" si="5"/>
        <v>116668000</v>
      </c>
      <c r="BA24" s="154">
        <f t="shared" si="6"/>
        <v>758000</v>
      </c>
      <c r="BB24" s="154">
        <f t="shared" si="7"/>
        <v>8521000</v>
      </c>
      <c r="BC24" s="154">
        <f t="shared" si="22"/>
        <v>49124000</v>
      </c>
      <c r="BD24" s="154">
        <f t="shared" si="9"/>
        <v>5724000</v>
      </c>
      <c r="BE24" s="154">
        <f t="shared" si="10"/>
        <v>47439000</v>
      </c>
      <c r="BF24" s="154">
        <f t="shared" si="11"/>
        <v>6082000</v>
      </c>
      <c r="BG24" s="154">
        <f t="shared" si="12"/>
        <v>457000</v>
      </c>
      <c r="BH24" s="154">
        <f t="shared" si="13"/>
        <v>169250000</v>
      </c>
      <c r="BI24" s="154">
        <f t="shared" si="20"/>
        <v>1794230000</v>
      </c>
      <c r="BJ24" s="155">
        <f t="shared" si="23"/>
        <v>1794230000</v>
      </c>
      <c r="BK24" s="155">
        <f t="shared" si="21"/>
        <v>0</v>
      </c>
    </row>
    <row r="25" spans="1:63" ht="15" x14ac:dyDescent="0.25">
      <c r="A25" s="148"/>
      <c r="B25" s="149">
        <v>6</v>
      </c>
      <c r="C25" s="150">
        <v>631.00314311884699</v>
      </c>
      <c r="D25" s="151">
        <v>356000</v>
      </c>
      <c r="E25" s="151">
        <v>680198807.63277209</v>
      </c>
      <c r="F25" s="151">
        <v>187192.36722788456</v>
      </c>
      <c r="G25" s="151">
        <v>19204427.297242038</v>
      </c>
      <c r="H25" s="151">
        <v>2647513.0989250559</v>
      </c>
      <c r="I25" s="151">
        <v>11402077.822466744</v>
      </c>
      <c r="J25" s="151">
        <v>1481400.7260955796</v>
      </c>
      <c r="K25" s="151">
        <v>204102615.32409561</v>
      </c>
      <c r="L25" s="151">
        <v>7621108.5532127619</v>
      </c>
      <c r="M25" s="151">
        <v>229907694.59587267</v>
      </c>
      <c r="N25" s="151">
        <v>15527254.432718256</v>
      </c>
      <c r="O25" s="151">
        <v>136418546.03034401</v>
      </c>
      <c r="P25" s="151">
        <v>19711658.49132622</v>
      </c>
      <c r="Q25" s="151">
        <v>2266966.1354704355</v>
      </c>
      <c r="R25" s="151">
        <v>71032468.227077127</v>
      </c>
      <c r="S25" s="151">
        <v>42623029.489698328</v>
      </c>
      <c r="T25" s="151">
        <v>789478.32166508853</v>
      </c>
      <c r="U25" s="151">
        <v>43677471.051627159</v>
      </c>
      <c r="V25" s="151">
        <v>5223145.0277523557</v>
      </c>
      <c r="W25" s="151">
        <v>6976888.2057267791</v>
      </c>
      <c r="X25" s="151">
        <v>1981977.1562996339</v>
      </c>
      <c r="Y25" s="151">
        <v>4747079.4877930712</v>
      </c>
      <c r="Z25" s="151">
        <v>38510654.612396717</v>
      </c>
      <c r="AA25" s="151">
        <v>10404724.517499005</v>
      </c>
      <c r="AB25" s="151">
        <v>786278.583720322</v>
      </c>
      <c r="AC25" s="151">
        <v>68164.09719814625</v>
      </c>
      <c r="AD25" s="151">
        <v>5336.9375737910113</v>
      </c>
      <c r="AE25" s="151">
        <v>277944.54258165194</v>
      </c>
      <c r="AF25" s="151">
        <v>1265329.9279644284</v>
      </c>
      <c r="AG25" s="151">
        <v>3195782.3472499568</v>
      </c>
      <c r="AH25" s="151">
        <v>612172.22797880718</v>
      </c>
      <c r="AI25" s="151">
        <v>167990.11095842926</v>
      </c>
      <c r="AJ25" s="151">
        <v>157269.51870937305</v>
      </c>
      <c r="AK25" s="151">
        <v>280360.3325897787</v>
      </c>
      <c r="AL25" s="151">
        <v>203167.9379727779</v>
      </c>
      <c r="AM25" s="151">
        <v>8102.5012779167337</v>
      </c>
      <c r="AN25" s="152">
        <f t="shared" si="17"/>
        <v>1564028708.6742234</v>
      </c>
      <c r="AO25" s="151">
        <v>6154807.1898984807</v>
      </c>
      <c r="AP25" s="151">
        <v>137430072.55284023</v>
      </c>
      <c r="AQ25" s="151">
        <v>25650120.257261287</v>
      </c>
      <c r="AR25" s="152">
        <f t="shared" si="19"/>
        <v>1733263708.6742234</v>
      </c>
      <c r="AS25" s="153"/>
      <c r="AT25" s="154">
        <f t="shared" si="0"/>
        <v>680199000</v>
      </c>
      <c r="AU25" s="154">
        <f t="shared" si="1"/>
        <v>187000</v>
      </c>
      <c r="AV25" s="154">
        <f t="shared" si="2"/>
        <v>231714000</v>
      </c>
      <c r="AW25" s="154">
        <f>ROUND(SUM(I25,M25:N25,AC25),-3)+1000</f>
        <v>256906000</v>
      </c>
      <c r="AX25" s="154">
        <f t="shared" si="3"/>
        <v>157612000</v>
      </c>
      <c r="AY25" s="154">
        <f t="shared" si="4"/>
        <v>2267000</v>
      </c>
      <c r="AZ25" s="154">
        <f t="shared" si="5"/>
        <v>116303000</v>
      </c>
      <c r="BA25" s="154">
        <f t="shared" si="6"/>
        <v>789000</v>
      </c>
      <c r="BB25" s="154">
        <f t="shared" si="7"/>
        <v>6977000</v>
      </c>
      <c r="BC25" s="154">
        <f t="shared" si="22"/>
        <v>48901000</v>
      </c>
      <c r="BD25" s="154">
        <f t="shared" si="9"/>
        <v>6729000</v>
      </c>
      <c r="BE25" s="154">
        <f t="shared" si="10"/>
        <v>48915000</v>
      </c>
      <c r="BF25" s="154">
        <f t="shared" si="11"/>
        <v>6174000</v>
      </c>
      <c r="BG25" s="154">
        <f t="shared" si="12"/>
        <v>356000</v>
      </c>
      <c r="BH25" s="154">
        <f t="shared" si="13"/>
        <v>169235000</v>
      </c>
      <c r="BI25" s="154">
        <f t="shared" si="20"/>
        <v>1733264000</v>
      </c>
      <c r="BJ25" s="155">
        <f t="shared" si="23"/>
        <v>1733264000</v>
      </c>
      <c r="BK25" s="155">
        <f t="shared" si="21"/>
        <v>0</v>
      </c>
    </row>
    <row r="26" spans="1:63" ht="15" x14ac:dyDescent="0.25">
      <c r="A26" s="148"/>
      <c r="B26" s="149">
        <v>7</v>
      </c>
      <c r="C26" s="150">
        <v>621.52149809761636</v>
      </c>
      <c r="D26" s="151">
        <v>314000</v>
      </c>
      <c r="E26" s="151">
        <v>681004083.76540935</v>
      </c>
      <c r="F26" s="151">
        <v>205916.23459070179</v>
      </c>
      <c r="G26" s="151">
        <v>19901136.231980272</v>
      </c>
      <c r="H26" s="151">
        <v>2807456.7478636038</v>
      </c>
      <c r="I26" s="151">
        <v>12294704.570708001</v>
      </c>
      <c r="J26" s="151">
        <v>1934328.4169859905</v>
      </c>
      <c r="K26" s="151">
        <v>218276546.40386418</v>
      </c>
      <c r="L26" s="151">
        <v>7701788.9161161417</v>
      </c>
      <c r="M26" s="151">
        <v>241391853.65736449</v>
      </c>
      <c r="N26" s="151">
        <v>15741870.019706873</v>
      </c>
      <c r="O26" s="151">
        <v>146233730.48146573</v>
      </c>
      <c r="P26" s="151">
        <v>19644994.932520237</v>
      </c>
      <c r="Q26" s="151">
        <v>3727077.366322591</v>
      </c>
      <c r="R26" s="151">
        <v>72517103.925287157</v>
      </c>
      <c r="S26" s="151">
        <v>42510414.897899367</v>
      </c>
      <c r="T26" s="151">
        <v>1065024.068491457</v>
      </c>
      <c r="U26" s="151">
        <v>43829178.117268249</v>
      </c>
      <c r="V26" s="151">
        <v>5763903.2969954852</v>
      </c>
      <c r="W26" s="151">
        <v>5329321.5661474038</v>
      </c>
      <c r="X26" s="151">
        <v>2372984.20409647</v>
      </c>
      <c r="Y26" s="151">
        <v>5148500.9118959364</v>
      </c>
      <c r="Z26" s="151">
        <v>40663475.098556519</v>
      </c>
      <c r="AA26" s="151">
        <v>11976527.024865957</v>
      </c>
      <c r="AB26" s="151">
        <v>807092.58288285998</v>
      </c>
      <c r="AC26" s="151">
        <v>76222.381954608398</v>
      </c>
      <c r="AD26" s="151">
        <v>4604.006285853221</v>
      </c>
      <c r="AE26" s="151">
        <v>282525.77815417474</v>
      </c>
      <c r="AF26" s="151">
        <v>1196136.1695839725</v>
      </c>
      <c r="AG26" s="151">
        <v>3027514.4834414735</v>
      </c>
      <c r="AH26" s="151">
        <v>578424.08240143175</v>
      </c>
      <c r="AI26" s="151">
        <v>168048.08072795221</v>
      </c>
      <c r="AJ26" s="151">
        <v>158384.56778605096</v>
      </c>
      <c r="AK26" s="151">
        <v>280858.9937975285</v>
      </c>
      <c r="AL26" s="151">
        <v>200534.41823313301</v>
      </c>
      <c r="AM26" s="151">
        <v>8010.4212089826251</v>
      </c>
      <c r="AN26" s="152">
        <f t="shared" si="17"/>
        <v>1609144898.3443589</v>
      </c>
      <c r="AO26" s="151">
        <v>5834333.1610558378</v>
      </c>
      <c r="AP26" s="151">
        <v>137627159.20278874</v>
      </c>
      <c r="AQ26" s="151">
        <v>25599507.636155397</v>
      </c>
      <c r="AR26" s="152">
        <f t="shared" si="19"/>
        <v>1778205898.3443589</v>
      </c>
      <c r="AS26" s="153"/>
      <c r="AT26" s="154">
        <f t="shared" si="0"/>
        <v>681004000</v>
      </c>
      <c r="AU26" s="154">
        <f t="shared" si="1"/>
        <v>206000</v>
      </c>
      <c r="AV26" s="154">
        <f t="shared" si="2"/>
        <v>246687000</v>
      </c>
      <c r="AW26" s="154">
        <f>ROUND(SUM(I26,M26:N26,AC26),-3)</f>
        <v>269505000</v>
      </c>
      <c r="AX26" s="154">
        <f t="shared" si="3"/>
        <v>167813000</v>
      </c>
      <c r="AY26" s="154">
        <f t="shared" si="4"/>
        <v>3727000</v>
      </c>
      <c r="AZ26" s="154">
        <f t="shared" si="5"/>
        <v>117835000</v>
      </c>
      <c r="BA26" s="154">
        <f t="shared" si="6"/>
        <v>1065000</v>
      </c>
      <c r="BB26" s="154">
        <f t="shared" si="7"/>
        <v>5329000</v>
      </c>
      <c r="BC26" s="154">
        <f t="shared" si="22"/>
        <v>49593000</v>
      </c>
      <c r="BD26" s="154">
        <f t="shared" si="9"/>
        <v>7521000</v>
      </c>
      <c r="BE26" s="154">
        <f t="shared" si="10"/>
        <v>52640000</v>
      </c>
      <c r="BF26" s="154">
        <f t="shared" si="11"/>
        <v>5906000</v>
      </c>
      <c r="BG26" s="154">
        <f t="shared" si="12"/>
        <v>314000</v>
      </c>
      <c r="BH26" s="154">
        <f t="shared" si="13"/>
        <v>169061000</v>
      </c>
      <c r="BI26" s="154">
        <f t="shared" si="20"/>
        <v>1778206000</v>
      </c>
      <c r="BJ26" s="155">
        <f t="shared" si="23"/>
        <v>1778206000</v>
      </c>
      <c r="BK26" s="155">
        <f t="shared" si="21"/>
        <v>0</v>
      </c>
    </row>
    <row r="27" spans="1:63" ht="15" x14ac:dyDescent="0.25">
      <c r="A27" s="148"/>
      <c r="B27" s="149">
        <v>8</v>
      </c>
      <c r="C27" s="150">
        <v>582.94385071645661</v>
      </c>
      <c r="D27" s="151">
        <v>285000</v>
      </c>
      <c r="E27" s="151">
        <v>664490350.1077944</v>
      </c>
      <c r="F27" s="151">
        <v>194649.89220560328</v>
      </c>
      <c r="G27" s="151">
        <v>20361107.312169656</v>
      </c>
      <c r="H27" s="151">
        <v>2816470.8747260785</v>
      </c>
      <c r="I27" s="151">
        <v>12631431.826210128</v>
      </c>
      <c r="J27" s="151">
        <v>1816994.7033634356</v>
      </c>
      <c r="K27" s="151">
        <v>223291226.87816128</v>
      </c>
      <c r="L27" s="151">
        <v>7993460.9261956597</v>
      </c>
      <c r="M27" s="151">
        <v>250018885.64868569</v>
      </c>
      <c r="N27" s="151">
        <v>16512448.069989914</v>
      </c>
      <c r="O27" s="151">
        <v>150194871.27149588</v>
      </c>
      <c r="P27" s="151">
        <v>20956483.383548144</v>
      </c>
      <c r="Q27" s="151">
        <v>3927510.4606946642</v>
      </c>
      <c r="R27" s="151">
        <v>73593535.56955114</v>
      </c>
      <c r="S27" s="151">
        <v>44609993.698592983</v>
      </c>
      <c r="T27" s="151">
        <v>998243.96133083617</v>
      </c>
      <c r="U27" s="151">
        <v>43650124.127756417</v>
      </c>
      <c r="V27" s="151">
        <v>5481324.670425918</v>
      </c>
      <c r="W27" s="151">
        <v>6231642.1316327183</v>
      </c>
      <c r="X27" s="151">
        <v>2431808.3411613242</v>
      </c>
      <c r="Y27" s="151">
        <v>4782779.7672504969</v>
      </c>
      <c r="Z27" s="151">
        <v>41448486.187207386</v>
      </c>
      <c r="AA27" s="151">
        <v>11380509.483996864</v>
      </c>
      <c r="AB27" s="151">
        <v>892430.69733251608</v>
      </c>
      <c r="AC27" s="151">
        <v>80583.011271570562</v>
      </c>
      <c r="AD27" s="151">
        <v>5068.0746501220956</v>
      </c>
      <c r="AE27" s="151">
        <v>307597.82191765343</v>
      </c>
      <c r="AF27" s="151">
        <v>1222559.2094286198</v>
      </c>
      <c r="AG27" s="151">
        <v>3083119.4382170294</v>
      </c>
      <c r="AH27" s="151">
        <v>580030.94226841186</v>
      </c>
      <c r="AI27" s="151">
        <v>173197.91248008242</v>
      </c>
      <c r="AJ27" s="151">
        <v>162638.38084734385</v>
      </c>
      <c r="AK27" s="151">
        <v>283027.86106335942</v>
      </c>
      <c r="AL27" s="151">
        <v>208879.6903699949</v>
      </c>
      <c r="AM27" s="151">
        <v>8417.7246192827224</v>
      </c>
      <c r="AN27" s="152">
        <f t="shared" si="17"/>
        <v>1617107473.0024636</v>
      </c>
      <c r="AO27" s="151">
        <v>5835356.7996385805</v>
      </c>
      <c r="AP27" s="151">
        <v>137495891.89430264</v>
      </c>
      <c r="AQ27" s="151">
        <v>25609751.306058802</v>
      </c>
      <c r="AR27" s="152">
        <f t="shared" si="19"/>
        <v>1786048473.0024636</v>
      </c>
      <c r="AS27" s="153"/>
      <c r="AT27" s="154">
        <f t="shared" si="0"/>
        <v>664490000</v>
      </c>
      <c r="AU27" s="154">
        <f t="shared" si="1"/>
        <v>195000</v>
      </c>
      <c r="AV27" s="154">
        <f t="shared" si="2"/>
        <v>252538000</v>
      </c>
      <c r="AW27" s="154">
        <f>ROUND(SUM(I27,M27:N27,AC27),-3)</f>
        <v>279243000</v>
      </c>
      <c r="AX27" s="154">
        <f t="shared" si="3"/>
        <v>172968000</v>
      </c>
      <c r="AY27" s="154">
        <f t="shared" si="4"/>
        <v>3928000</v>
      </c>
      <c r="AZ27" s="154">
        <f t="shared" si="5"/>
        <v>121020000</v>
      </c>
      <c r="BA27" s="154">
        <f t="shared" si="6"/>
        <v>998000</v>
      </c>
      <c r="BB27" s="154">
        <f t="shared" si="7"/>
        <v>6232000</v>
      </c>
      <c r="BC27" s="154">
        <f t="shared" si="22"/>
        <v>49131000</v>
      </c>
      <c r="BD27" s="154">
        <f t="shared" si="9"/>
        <v>7215000</v>
      </c>
      <c r="BE27" s="154">
        <f t="shared" si="10"/>
        <v>52829000</v>
      </c>
      <c r="BF27" s="154">
        <f t="shared" si="11"/>
        <v>6035000</v>
      </c>
      <c r="BG27" s="154">
        <f t="shared" si="12"/>
        <v>285000</v>
      </c>
      <c r="BH27" s="154">
        <f t="shared" si="13"/>
        <v>168941000</v>
      </c>
      <c r="BI27" s="154">
        <f t="shared" si="20"/>
        <v>1786048000</v>
      </c>
      <c r="BJ27" s="155">
        <f t="shared" si="23"/>
        <v>1786048000</v>
      </c>
      <c r="BK27" s="155">
        <f t="shared" si="21"/>
        <v>0</v>
      </c>
    </row>
    <row r="28" spans="1:63" ht="15" x14ac:dyDescent="0.25">
      <c r="A28" s="148"/>
      <c r="B28" s="149">
        <v>9</v>
      </c>
      <c r="C28" s="150">
        <v>594.03258184915842</v>
      </c>
      <c r="D28" s="151">
        <v>324000</v>
      </c>
      <c r="E28" s="151">
        <v>667416415.16483438</v>
      </c>
      <c r="F28" s="151">
        <v>171584.83516550349</v>
      </c>
      <c r="G28" s="151">
        <v>19578960.297939353</v>
      </c>
      <c r="H28" s="151">
        <v>2749668.9196697739</v>
      </c>
      <c r="I28" s="151">
        <v>12117502.444485135</v>
      </c>
      <c r="J28" s="151">
        <v>1525322.835916572</v>
      </c>
      <c r="K28" s="151">
        <v>206807964.47579294</v>
      </c>
      <c r="L28" s="151">
        <v>7210841.7171372902</v>
      </c>
      <c r="M28" s="151">
        <v>234194453.73187718</v>
      </c>
      <c r="N28" s="151">
        <v>15199423.736295778</v>
      </c>
      <c r="O28" s="151">
        <v>139331999.47313884</v>
      </c>
      <c r="P28" s="151">
        <v>19622932.036404129</v>
      </c>
      <c r="Q28" s="151">
        <v>1854881.9492820329</v>
      </c>
      <c r="R28" s="151">
        <v>71890670.180968791</v>
      </c>
      <c r="S28" s="151">
        <v>40918003.445478633</v>
      </c>
      <c r="T28" s="151">
        <v>783260.7833912879</v>
      </c>
      <c r="U28" s="151">
        <v>43611294.610518418</v>
      </c>
      <c r="V28" s="151">
        <v>5739692.8718779208</v>
      </c>
      <c r="W28" s="151">
        <v>8142566.9414953804</v>
      </c>
      <c r="X28" s="151">
        <v>2064481.6960083887</v>
      </c>
      <c r="Y28" s="151">
        <v>4268754.689061488</v>
      </c>
      <c r="Z28" s="151">
        <v>41970801.095223293</v>
      </c>
      <c r="AA28" s="151">
        <v>10377351.503744747</v>
      </c>
      <c r="AB28" s="151">
        <v>944707.83130095224</v>
      </c>
      <c r="AC28" s="151">
        <v>75894.286606387555</v>
      </c>
      <c r="AD28" s="151">
        <v>4681.249831811072</v>
      </c>
      <c r="AE28" s="151">
        <v>269782.53293330153</v>
      </c>
      <c r="AF28" s="151">
        <v>1168368.3403688883</v>
      </c>
      <c r="AG28" s="151">
        <v>2905159.5458595259</v>
      </c>
      <c r="AH28" s="151">
        <v>554763.3027924503</v>
      </c>
      <c r="AI28" s="151">
        <v>170783.91636761272</v>
      </c>
      <c r="AJ28" s="151">
        <v>159802.35068130051</v>
      </c>
      <c r="AK28" s="151">
        <v>377048.87772483332</v>
      </c>
      <c r="AL28" s="151">
        <v>206417.12714470428</v>
      </c>
      <c r="AM28" s="151">
        <v>8099.3181557593698</v>
      </c>
      <c r="AN28" s="152">
        <f t="shared" si="17"/>
        <v>1564718932.1480565</v>
      </c>
      <c r="AO28" s="151">
        <v>5563410.6800744403</v>
      </c>
      <c r="AP28" s="151">
        <v>135834029.79640701</v>
      </c>
      <c r="AQ28" s="151">
        <v>27508559.523518525</v>
      </c>
      <c r="AR28" s="152">
        <f t="shared" si="19"/>
        <v>1733624932.1480565</v>
      </c>
      <c r="AS28" s="153"/>
      <c r="AT28" s="154">
        <f t="shared" si="0"/>
        <v>667416000</v>
      </c>
      <c r="AU28" s="154">
        <f t="shared" si="1"/>
        <v>172000</v>
      </c>
      <c r="AV28" s="154">
        <f t="shared" si="2"/>
        <v>234542000</v>
      </c>
      <c r="AW28" s="154">
        <f>ROUND(SUM(I28,M28:N28,AC28),-3)+1000</f>
        <v>261588000</v>
      </c>
      <c r="AX28" s="154">
        <f t="shared" si="3"/>
        <v>160480000</v>
      </c>
      <c r="AY28" s="154">
        <f t="shared" si="4"/>
        <v>1855000</v>
      </c>
      <c r="AZ28" s="154">
        <f t="shared" si="5"/>
        <v>115558000</v>
      </c>
      <c r="BA28" s="154">
        <f t="shared" si="6"/>
        <v>783000</v>
      </c>
      <c r="BB28" s="154">
        <f t="shared" si="7"/>
        <v>8143000</v>
      </c>
      <c r="BC28" s="154">
        <f t="shared" si="22"/>
        <v>49351000</v>
      </c>
      <c r="BD28" s="154">
        <f t="shared" si="9"/>
        <v>6333000</v>
      </c>
      <c r="BE28" s="154">
        <f t="shared" si="10"/>
        <v>52348000</v>
      </c>
      <c r="BF28" s="154">
        <f t="shared" si="11"/>
        <v>5826000</v>
      </c>
      <c r="BG28" s="154">
        <f t="shared" si="12"/>
        <v>324000</v>
      </c>
      <c r="BH28" s="154">
        <f t="shared" si="13"/>
        <v>168906000</v>
      </c>
      <c r="BI28" s="154">
        <f t="shared" si="20"/>
        <v>1733625000</v>
      </c>
      <c r="BJ28" s="155">
        <f t="shared" si="23"/>
        <v>1733625000</v>
      </c>
      <c r="BK28" s="155">
        <f t="shared" si="21"/>
        <v>0</v>
      </c>
    </row>
    <row r="29" spans="1:63" ht="15" x14ac:dyDescent="0.25">
      <c r="A29" s="270"/>
      <c r="B29" s="271">
        <v>10</v>
      </c>
      <c r="C29" s="272">
        <v>619.08986708266116</v>
      </c>
      <c r="D29" s="273">
        <v>483000</v>
      </c>
      <c r="E29" s="273">
        <v>832664172.24970365</v>
      </c>
      <c r="F29" s="273">
        <v>177827.75029620522</v>
      </c>
      <c r="G29" s="273">
        <v>21333124.320301138</v>
      </c>
      <c r="H29" s="273">
        <v>2916030.3634150201</v>
      </c>
      <c r="I29" s="273">
        <v>13437595.302433839</v>
      </c>
      <c r="J29" s="273">
        <v>1517751.0026179918</v>
      </c>
      <c r="K29" s="273">
        <v>217869661.07874247</v>
      </c>
      <c r="L29" s="273">
        <v>7698838.1666116389</v>
      </c>
      <c r="M29" s="273">
        <v>237933243.33706909</v>
      </c>
      <c r="N29" s="273">
        <v>15724620.928660696</v>
      </c>
      <c r="O29" s="273">
        <v>140987331.52806023</v>
      </c>
      <c r="P29" s="273">
        <v>19889972.207320355</v>
      </c>
      <c r="Q29" s="273">
        <v>629102.52025467355</v>
      </c>
      <c r="R29" s="273">
        <v>72860152.706518561</v>
      </c>
      <c r="S29" s="273">
        <v>42798745.574283056</v>
      </c>
      <c r="T29" s="273">
        <v>266153.84280213708</v>
      </c>
      <c r="U29" s="273">
        <v>44182510.745152384</v>
      </c>
      <c r="V29" s="273">
        <v>5521945.9276812328</v>
      </c>
      <c r="W29" s="273">
        <v>9900951.9109803941</v>
      </c>
      <c r="X29" s="273">
        <v>1007485.0227355945</v>
      </c>
      <c r="Y29" s="273">
        <v>4878366.0283188587</v>
      </c>
      <c r="Z29" s="273">
        <v>41104068.261038251</v>
      </c>
      <c r="AA29" s="273">
        <v>10377511.167124148</v>
      </c>
      <c r="AB29" s="273">
        <v>1111961.5281919804</v>
      </c>
      <c r="AC29" s="273">
        <v>84543.343151288849</v>
      </c>
      <c r="AD29" s="273">
        <v>4394.0903417503987</v>
      </c>
      <c r="AE29" s="273">
        <v>341312.35013153893</v>
      </c>
      <c r="AF29" s="273">
        <v>1166833.4921681222</v>
      </c>
      <c r="AG29" s="273">
        <v>2920933.1071482119</v>
      </c>
      <c r="AH29" s="273">
        <v>547677.19430899154</v>
      </c>
      <c r="AI29" s="273">
        <v>172285.57421809147</v>
      </c>
      <c r="AJ29" s="273">
        <v>160884.63768002976</v>
      </c>
      <c r="AK29" s="273">
        <v>391725.80469103315</v>
      </c>
      <c r="AL29" s="273">
        <v>211638.99526208491</v>
      </c>
      <c r="AM29" s="273">
        <v>8330.4991639154614</v>
      </c>
      <c r="AN29" s="274">
        <f t="shared" si="17"/>
        <v>1753283301.6484461</v>
      </c>
      <c r="AO29" s="273">
        <v>5164760.7278750157</v>
      </c>
      <c r="AP29" s="273">
        <v>134675520.24743596</v>
      </c>
      <c r="AQ29" s="273">
        <v>28850719.02468903</v>
      </c>
      <c r="AR29" s="274">
        <f t="shared" si="19"/>
        <v>1921974301.6484461</v>
      </c>
      <c r="AT29" s="118">
        <f t="shared" si="0"/>
        <v>832664000</v>
      </c>
      <c r="AU29" s="118">
        <f t="shared" si="1"/>
        <v>178000</v>
      </c>
      <c r="AV29" s="118">
        <f t="shared" si="2"/>
        <v>248014000</v>
      </c>
      <c r="AW29" s="118">
        <f>ROUND(SUM(I29,M29:N29,AC29),-3)-1000</f>
        <v>267179000</v>
      </c>
      <c r="AX29" s="118">
        <f t="shared" si="3"/>
        <v>162395000</v>
      </c>
      <c r="AY29" s="118">
        <f t="shared" si="4"/>
        <v>629000</v>
      </c>
      <c r="AZ29" s="118">
        <f t="shared" si="5"/>
        <v>118575000</v>
      </c>
      <c r="BA29" s="118">
        <f t="shared" si="6"/>
        <v>266000</v>
      </c>
      <c r="BB29" s="118">
        <f t="shared" si="7"/>
        <v>9901000</v>
      </c>
      <c r="BC29" s="118">
        <f t="shared" si="22"/>
        <v>49704000</v>
      </c>
      <c r="BD29" s="118">
        <f t="shared" si="9"/>
        <v>5886000</v>
      </c>
      <c r="BE29" s="118">
        <f t="shared" si="10"/>
        <v>51482000</v>
      </c>
      <c r="BF29" s="118">
        <f t="shared" si="11"/>
        <v>5927000</v>
      </c>
      <c r="BG29" s="118">
        <f t="shared" si="12"/>
        <v>483000</v>
      </c>
      <c r="BH29" s="118">
        <f t="shared" si="13"/>
        <v>168691000</v>
      </c>
      <c r="BI29" s="118">
        <f t="shared" si="20"/>
        <v>1921974000</v>
      </c>
      <c r="BJ29" s="110">
        <f t="shared" si="23"/>
        <v>1921974000</v>
      </c>
      <c r="BK29" s="110">
        <f t="shared" si="21"/>
        <v>0</v>
      </c>
    </row>
    <row r="30" spans="1:63" ht="15" x14ac:dyDescent="0.25">
      <c r="A30" s="270"/>
      <c r="B30" s="271">
        <v>11</v>
      </c>
      <c r="C30" s="272">
        <v>674.90801665501056</v>
      </c>
      <c r="D30" s="273">
        <v>697000</v>
      </c>
      <c r="E30" s="273">
        <v>1027841469.227156</v>
      </c>
      <c r="F30" s="273">
        <v>196530.77284396978</v>
      </c>
      <c r="G30" s="273">
        <v>24965156.987875853</v>
      </c>
      <c r="H30" s="273">
        <v>3171947.6437446158</v>
      </c>
      <c r="I30" s="273">
        <v>14355801.590340018</v>
      </c>
      <c r="J30" s="273">
        <v>1673578.569444119</v>
      </c>
      <c r="K30" s="273">
        <v>235615360.16347685</v>
      </c>
      <c r="L30" s="273">
        <v>7993354.2288164124</v>
      </c>
      <c r="M30" s="273">
        <v>244973178.50728169</v>
      </c>
      <c r="N30" s="273">
        <v>14935993.12659316</v>
      </c>
      <c r="O30" s="273">
        <v>139479667.90589425</v>
      </c>
      <c r="P30" s="273">
        <v>17804889.287617445</v>
      </c>
      <c r="Q30" s="273">
        <v>339282.71990059427</v>
      </c>
      <c r="R30" s="273">
        <v>72561853.571821511</v>
      </c>
      <c r="S30" s="273">
        <v>39715210.509718567</v>
      </c>
      <c r="T30" s="273">
        <v>59324.206303521481</v>
      </c>
      <c r="U30" s="273">
        <v>43907731.361079514</v>
      </c>
      <c r="V30" s="273">
        <v>4771200.067005408</v>
      </c>
      <c r="W30" s="273">
        <v>12525830.964984078</v>
      </c>
      <c r="X30" s="273">
        <v>1154553.2399871629</v>
      </c>
      <c r="Y30" s="273">
        <v>4163440.4932040074</v>
      </c>
      <c r="Z30" s="273">
        <v>42047410.104355179</v>
      </c>
      <c r="AA30" s="273">
        <v>9810912.2870449927</v>
      </c>
      <c r="AB30" s="273">
        <v>1359480.9714204406</v>
      </c>
      <c r="AC30" s="273">
        <v>115540.70522274391</v>
      </c>
      <c r="AD30" s="273">
        <v>4960.7510965924139</v>
      </c>
      <c r="AE30" s="273">
        <v>318663.18913590285</v>
      </c>
      <c r="AF30" s="273">
        <v>1239448.6487430667</v>
      </c>
      <c r="AG30" s="273">
        <v>3083706.9349009404</v>
      </c>
      <c r="AH30" s="273">
        <v>574747.22782259621</v>
      </c>
      <c r="AI30" s="273">
        <v>165086.99978343921</v>
      </c>
      <c r="AJ30" s="273">
        <v>154761.34297199163</v>
      </c>
      <c r="AK30" s="273">
        <v>280776.66364106257</v>
      </c>
      <c r="AL30" s="273">
        <v>204432.74418626743</v>
      </c>
      <c r="AM30" s="273">
        <v>7770.1044737203711</v>
      </c>
      <c r="AN30" s="274">
        <f t="shared" si="17"/>
        <v>1972270728.7279048</v>
      </c>
      <c r="AO30" s="273">
        <v>4974431.3448230922</v>
      </c>
      <c r="AP30" s="273">
        <v>135531633.88870126</v>
      </c>
      <c r="AQ30" s="273">
        <v>28053934.766475663</v>
      </c>
      <c r="AR30" s="274">
        <f t="shared" si="19"/>
        <v>2140830728.7279048</v>
      </c>
      <c r="AT30" s="118">
        <f t="shared" si="0"/>
        <v>1027841000</v>
      </c>
      <c r="AU30" s="118">
        <f t="shared" si="1"/>
        <v>197000</v>
      </c>
      <c r="AV30" s="118">
        <f t="shared" si="2"/>
        <v>269933000</v>
      </c>
      <c r="AW30" s="118">
        <f>ROUND(SUM(I30,M30:N30,AC30),-3)+1000</f>
        <v>274382000</v>
      </c>
      <c r="AX30" s="118">
        <f t="shared" si="3"/>
        <v>158958000</v>
      </c>
      <c r="AY30" s="118">
        <f t="shared" si="4"/>
        <v>339000</v>
      </c>
      <c r="AZ30" s="118">
        <f t="shared" si="5"/>
        <v>115449000</v>
      </c>
      <c r="BA30" s="118">
        <f t="shared" si="6"/>
        <v>59000</v>
      </c>
      <c r="BB30" s="118">
        <f t="shared" si="7"/>
        <v>12526000</v>
      </c>
      <c r="BC30" s="118">
        <f t="shared" si="22"/>
        <v>48679000</v>
      </c>
      <c r="BD30" s="118">
        <f t="shared" si="9"/>
        <v>5318000</v>
      </c>
      <c r="BE30" s="118">
        <f t="shared" si="10"/>
        <v>51858000</v>
      </c>
      <c r="BF30" s="118">
        <f t="shared" si="11"/>
        <v>6035000</v>
      </c>
      <c r="BG30" s="118">
        <f t="shared" si="12"/>
        <v>697000</v>
      </c>
      <c r="BH30" s="118">
        <f t="shared" si="13"/>
        <v>168560000</v>
      </c>
      <c r="BI30" s="118">
        <f t="shared" si="20"/>
        <v>2140831000</v>
      </c>
      <c r="BJ30" s="110">
        <f t="shared" si="23"/>
        <v>2140831000</v>
      </c>
      <c r="BK30" s="110">
        <f t="shared" si="21"/>
        <v>0</v>
      </c>
    </row>
    <row r="31" spans="1:63" ht="15" x14ac:dyDescent="0.25">
      <c r="A31" s="285"/>
      <c r="B31" s="286">
        <v>12</v>
      </c>
      <c r="C31" s="287">
        <v>594.31195950151414</v>
      </c>
      <c r="D31" s="288">
        <v>1016000.0000000001</v>
      </c>
      <c r="E31" s="288">
        <v>1298827817.583359</v>
      </c>
      <c r="F31" s="288">
        <v>256182.4166410364</v>
      </c>
      <c r="G31" s="288">
        <v>30153455.463824779</v>
      </c>
      <c r="H31" s="288">
        <v>3615161.3596631857</v>
      </c>
      <c r="I31" s="288">
        <v>16220357.007036531</v>
      </c>
      <c r="J31" s="288">
        <v>1901592.5043001575</v>
      </c>
      <c r="K31" s="288">
        <v>261681932.40170115</v>
      </c>
      <c r="L31" s="288">
        <v>8461506.0706360266</v>
      </c>
      <c r="M31" s="288">
        <v>266114012.1366148</v>
      </c>
      <c r="N31" s="288">
        <v>15387426.311266264</v>
      </c>
      <c r="O31" s="288">
        <v>148787788.97811931</v>
      </c>
      <c r="P31" s="288">
        <v>16808534.438622076</v>
      </c>
      <c r="Q31" s="288">
        <v>356056.03280467819</v>
      </c>
      <c r="R31" s="288">
        <v>79198961.069766939</v>
      </c>
      <c r="S31" s="288">
        <v>40250408.89059709</v>
      </c>
      <c r="T31" s="288">
        <v>4761.370574506419</v>
      </c>
      <c r="U31" s="288">
        <v>43890097.660949714</v>
      </c>
      <c r="V31" s="288">
        <v>4422124.0489256391</v>
      </c>
      <c r="W31" s="288">
        <v>15760085.832169663</v>
      </c>
      <c r="X31" s="288">
        <v>1903442.6252223542</v>
      </c>
      <c r="Y31" s="288">
        <v>3812215.546772805</v>
      </c>
      <c r="Z31" s="288">
        <v>44351912.738582663</v>
      </c>
      <c r="AA31" s="288">
        <v>9653784.6931801084</v>
      </c>
      <c r="AB31" s="288">
        <v>1312426.2715197268</v>
      </c>
      <c r="AC31" s="288">
        <v>115305.76637454322</v>
      </c>
      <c r="AD31" s="288">
        <v>4775.4471307610866</v>
      </c>
      <c r="AE31" s="288">
        <v>337697.95107432676</v>
      </c>
      <c r="AF31" s="288">
        <v>1194640.9252480441</v>
      </c>
      <c r="AG31" s="288">
        <v>2899490.3205525707</v>
      </c>
      <c r="AH31" s="288">
        <v>548329.35253673582</v>
      </c>
      <c r="AI31" s="288">
        <v>173791.96652102313</v>
      </c>
      <c r="AJ31" s="288">
        <v>163134.16257775307</v>
      </c>
      <c r="AK31" s="288">
        <v>439739.65360378893</v>
      </c>
      <c r="AL31" s="288">
        <v>216853.62587224023</v>
      </c>
      <c r="AM31" s="288">
        <v>7809.4260834487613</v>
      </c>
      <c r="AN31" s="289">
        <f t="shared" si="17"/>
        <v>2320250206.3623834</v>
      </c>
      <c r="AO31" s="288">
        <v>4867466.1134560816</v>
      </c>
      <c r="AP31" s="288">
        <v>136902472.04778129</v>
      </c>
      <c r="AQ31" s="288">
        <v>26672061.838762648</v>
      </c>
      <c r="AR31" s="289">
        <f t="shared" si="19"/>
        <v>2488692206.3623834</v>
      </c>
      <c r="AT31" s="118">
        <f t="shared" si="0"/>
        <v>1298828000</v>
      </c>
      <c r="AU31" s="118">
        <f t="shared" si="1"/>
        <v>256000</v>
      </c>
      <c r="AV31" s="118">
        <f t="shared" si="2"/>
        <v>301609000</v>
      </c>
      <c r="AW31" s="118">
        <f>ROUND(SUM(I31,M31:N31,AC31),-3)-1000</f>
        <v>297836000</v>
      </c>
      <c r="AX31" s="118">
        <f t="shared" si="3"/>
        <v>167498000</v>
      </c>
      <c r="AY31" s="118">
        <f t="shared" si="4"/>
        <v>356000</v>
      </c>
      <c r="AZ31" s="118">
        <f t="shared" si="5"/>
        <v>123065000</v>
      </c>
      <c r="BA31" s="118">
        <f t="shared" si="6"/>
        <v>5000</v>
      </c>
      <c r="BB31" s="118">
        <f t="shared" si="7"/>
        <v>15760000</v>
      </c>
      <c r="BC31" s="118">
        <f t="shared" si="22"/>
        <v>48312000</v>
      </c>
      <c r="BD31" s="118">
        <f t="shared" si="9"/>
        <v>5716000</v>
      </c>
      <c r="BE31" s="118">
        <f t="shared" si="10"/>
        <v>54006000</v>
      </c>
      <c r="BF31" s="118">
        <f t="shared" si="11"/>
        <v>5987000</v>
      </c>
      <c r="BG31" s="118">
        <f t="shared" si="12"/>
        <v>1016000</v>
      </c>
      <c r="BH31" s="118">
        <f t="shared" si="13"/>
        <v>168442000</v>
      </c>
      <c r="BI31" s="118">
        <f t="shared" si="20"/>
        <v>2488692000</v>
      </c>
      <c r="BJ31" s="110">
        <f t="shared" si="23"/>
        <v>2488692000</v>
      </c>
      <c r="BK31" s="110">
        <f t="shared" si="21"/>
        <v>0</v>
      </c>
    </row>
    <row r="33" spans="1:63" x14ac:dyDescent="0.2">
      <c r="A33" s="153" t="s">
        <v>279</v>
      </c>
      <c r="B33" s="153"/>
      <c r="C33" s="155">
        <f>SUM(C17:C28)</f>
        <v>7288.5637256452937</v>
      </c>
      <c r="D33" s="155">
        <f t="shared" ref="D33:BK33" si="24">SUM(D17:D28)</f>
        <v>7036000</v>
      </c>
      <c r="E33" s="155">
        <f t="shared" si="24"/>
        <v>10809564231.899603</v>
      </c>
      <c r="F33" s="155">
        <f t="shared" si="24"/>
        <v>2345768.1003969647</v>
      </c>
      <c r="G33" s="155">
        <f t="shared" si="24"/>
        <v>271662705.40495175</v>
      </c>
      <c r="H33" s="155">
        <f t="shared" si="24"/>
        <v>35665446.88528724</v>
      </c>
      <c r="I33" s="155">
        <f t="shared" si="24"/>
        <v>158042020.80212718</v>
      </c>
      <c r="J33" s="155">
        <f t="shared" si="24"/>
        <v>19501477.183431491</v>
      </c>
      <c r="K33" s="155">
        <f t="shared" si="24"/>
        <v>2666872177.4119706</v>
      </c>
      <c r="L33" s="155">
        <f t="shared" si="24"/>
        <v>98117258.689894095</v>
      </c>
      <c r="M33" s="155">
        <f t="shared" si="24"/>
        <v>2856325892.1874666</v>
      </c>
      <c r="N33" s="155">
        <f t="shared" si="24"/>
        <v>190716215.06616986</v>
      </c>
      <c r="O33" s="155">
        <f t="shared" si="24"/>
        <v>1668910537.9260118</v>
      </c>
      <c r="P33" s="155">
        <f t="shared" si="24"/>
        <v>233137488.17677319</v>
      </c>
      <c r="Q33" s="155">
        <f t="shared" si="24"/>
        <v>16138892.474617558</v>
      </c>
      <c r="R33" s="155">
        <f t="shared" si="24"/>
        <v>866508181.46841717</v>
      </c>
      <c r="S33" s="155">
        <f t="shared" si="24"/>
        <v>507374149.81766433</v>
      </c>
      <c r="T33" s="155">
        <f t="shared" si="24"/>
        <v>5152599.2531457078</v>
      </c>
      <c r="U33" s="155">
        <f t="shared" si="24"/>
        <v>523732192.52910101</v>
      </c>
      <c r="V33" s="155">
        <f t="shared" si="24"/>
        <v>62632492.094507352</v>
      </c>
      <c r="W33" s="155">
        <f t="shared" si="24"/>
        <v>123764750.02584597</v>
      </c>
      <c r="X33" s="155">
        <f t="shared" si="24"/>
        <v>24145723.076320887</v>
      </c>
      <c r="Y33" s="155">
        <f t="shared" si="24"/>
        <v>55123301.597519539</v>
      </c>
      <c r="Z33" s="155">
        <f t="shared" si="24"/>
        <v>471623575.08219332</v>
      </c>
      <c r="AA33" s="155">
        <f t="shared" si="24"/>
        <v>126271094.55747165</v>
      </c>
      <c r="AB33" s="155">
        <f t="shared" si="24"/>
        <v>12601877.397058513</v>
      </c>
      <c r="AC33" s="155">
        <f t="shared" si="24"/>
        <v>1061041.6599457294</v>
      </c>
      <c r="AD33" s="155">
        <f t="shared" si="24"/>
        <v>57892.821681487316</v>
      </c>
      <c r="AE33" s="155">
        <f t="shared" si="24"/>
        <v>3119216.0131208384</v>
      </c>
      <c r="AF33" s="155">
        <f t="shared" si="24"/>
        <v>14186386.100744307</v>
      </c>
      <c r="AG33" s="155">
        <f t="shared" si="24"/>
        <v>36245274.544717252</v>
      </c>
      <c r="AH33" s="155">
        <f t="shared" si="24"/>
        <v>6867599.7854418429</v>
      </c>
      <c r="AI33" s="155">
        <f t="shared" si="24"/>
        <v>2005470.7739712605</v>
      </c>
      <c r="AJ33" s="155">
        <f t="shared" si="24"/>
        <v>1885746.962359037</v>
      </c>
      <c r="AK33" s="155">
        <f t="shared" si="24"/>
        <v>4070423.1135643716</v>
      </c>
      <c r="AL33" s="155">
        <f t="shared" si="24"/>
        <v>2420575.2314878232</v>
      </c>
      <c r="AM33" s="155">
        <f t="shared" si="24"/>
        <v>94280.737251736107</v>
      </c>
      <c r="AN33" s="155">
        <f t="shared" si="24"/>
        <v>21884987245.415958</v>
      </c>
      <c r="AO33" s="155">
        <f t="shared" si="24"/>
        <v>71174630.847532973</v>
      </c>
      <c r="AP33" s="155">
        <f t="shared" si="24"/>
        <v>1646457052.4096029</v>
      </c>
      <c r="AQ33" s="155">
        <f t="shared" si="24"/>
        <v>313300316.74286413</v>
      </c>
      <c r="AR33" s="155">
        <f t="shared" si="24"/>
        <v>23915919245.415958</v>
      </c>
      <c r="AS33" s="153"/>
      <c r="AT33" s="155">
        <f t="shared" si="24"/>
        <v>10809562000</v>
      </c>
      <c r="AU33" s="155">
        <f t="shared" si="24"/>
        <v>2348000</v>
      </c>
      <c r="AV33" s="155">
        <f t="shared" si="24"/>
        <v>3049254000</v>
      </c>
      <c r="AW33" s="155">
        <f t="shared" si="24"/>
        <v>3206147000</v>
      </c>
      <c r="AX33" s="155">
        <f t="shared" si="24"/>
        <v>1921550000</v>
      </c>
      <c r="AY33" s="155">
        <f t="shared" si="24"/>
        <v>16140000</v>
      </c>
      <c r="AZ33" s="155">
        <f t="shared" si="24"/>
        <v>1409546000</v>
      </c>
      <c r="BA33" s="155">
        <f t="shared" si="24"/>
        <v>5150000</v>
      </c>
      <c r="BB33" s="155">
        <f t="shared" si="24"/>
        <v>123766000</v>
      </c>
      <c r="BC33" s="155">
        <f t="shared" si="24"/>
        <v>586365000</v>
      </c>
      <c r="BD33" s="155">
        <f t="shared" si="24"/>
        <v>79268000</v>
      </c>
      <c r="BE33" s="155">
        <f t="shared" si="24"/>
        <v>597895000</v>
      </c>
      <c r="BF33" s="155">
        <f t="shared" si="24"/>
        <v>70960000</v>
      </c>
      <c r="BG33" s="155">
        <f t="shared" si="24"/>
        <v>7036000</v>
      </c>
      <c r="BH33" s="155">
        <f t="shared" si="24"/>
        <v>2030932000</v>
      </c>
      <c r="BI33" s="155">
        <f t="shared" si="24"/>
        <v>23915919000</v>
      </c>
      <c r="BJ33" s="155">
        <f t="shared" si="24"/>
        <v>23915919000</v>
      </c>
      <c r="BK33" s="155">
        <f t="shared" si="24"/>
        <v>0</v>
      </c>
    </row>
    <row r="35" spans="1:63" x14ac:dyDescent="0.2">
      <c r="U35" s="110"/>
    </row>
    <row r="36" spans="1:63" x14ac:dyDescent="0.2">
      <c r="U36" s="110"/>
    </row>
    <row r="37" spans="1:63" x14ac:dyDescent="0.2">
      <c r="U37" s="110"/>
    </row>
    <row r="38" spans="1:63" x14ac:dyDescent="0.2">
      <c r="U38" s="110"/>
    </row>
    <row r="39" spans="1:63" x14ac:dyDescent="0.2">
      <c r="U39" s="110"/>
    </row>
    <row r="40" spans="1:63" x14ac:dyDescent="0.2">
      <c r="U40" s="110"/>
    </row>
    <row r="41" spans="1:63" x14ac:dyDescent="0.2">
      <c r="U41" s="110"/>
    </row>
    <row r="42" spans="1:63" x14ac:dyDescent="0.2">
      <c r="U42" s="110"/>
    </row>
    <row r="43" spans="1:63" x14ac:dyDescent="0.2">
      <c r="U43" s="110"/>
    </row>
    <row r="44" spans="1:63" x14ac:dyDescent="0.2">
      <c r="U44" s="110"/>
    </row>
    <row r="45" spans="1:63" x14ac:dyDescent="0.2">
      <c r="U45" s="110"/>
    </row>
    <row r="46" spans="1:63" x14ac:dyDescent="0.2">
      <c r="U46" s="110"/>
    </row>
    <row r="47" spans="1:63" x14ac:dyDescent="0.2">
      <c r="U47" s="110"/>
    </row>
    <row r="48" spans="1:63" x14ac:dyDescent="0.2">
      <c r="U48" s="110"/>
    </row>
    <row r="49" spans="21:21" x14ac:dyDescent="0.2">
      <c r="U49" s="110"/>
    </row>
  </sheetData>
  <mergeCells count="15">
    <mergeCell ref="A1:T1"/>
    <mergeCell ref="A2:T2"/>
    <mergeCell ref="A3:T3"/>
    <mergeCell ref="A4:T4"/>
    <mergeCell ref="A5:T5"/>
    <mergeCell ref="U1:AR1"/>
    <mergeCell ref="U2:AR2"/>
    <mergeCell ref="U3:AR3"/>
    <mergeCell ref="U4:AR4"/>
    <mergeCell ref="U5:AR5"/>
    <mergeCell ref="AT1:BK1"/>
    <mergeCell ref="AT2:BK2"/>
    <mergeCell ref="AT3:BK3"/>
    <mergeCell ref="AT4:BK4"/>
    <mergeCell ref="AT5:BK5"/>
  </mergeCells>
  <printOptions horizontalCentered="1"/>
  <pageMargins left="0.7" right="0.7" top="0.75" bottom="0.75" header="0.3" footer="0.3"/>
  <pageSetup scale="45" orientation="landscape" r:id="rId1"/>
  <headerFooter>
    <oddHeader>&amp;R2018 Low Income Filing
Advice 2018-xx
Page &amp;P of &amp;N</oddHeader>
    <oddFooter>&amp;L&amp;F
&amp;A&amp;R&amp;D</oddFooter>
  </headerFooter>
  <colBreaks count="2" manualBreakCount="2">
    <brk id="20" max="1048575" man="1"/>
    <brk id="45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16" sqref="E16:E27"/>
    </sheetView>
  </sheetViews>
  <sheetFormatPr defaultRowHeight="12.75" x14ac:dyDescent="0.2"/>
  <cols>
    <col min="1" max="1" width="5" bestFit="1" customWidth="1"/>
    <col min="2" max="2" width="5.85546875" bestFit="1" customWidth="1"/>
    <col min="3" max="3" width="9.140625" bestFit="1" customWidth="1"/>
    <col min="5" max="6" width="11.42578125" bestFit="1" customWidth="1"/>
    <col min="7" max="7" width="10.42578125" bestFit="1" customWidth="1"/>
    <col min="8" max="8" width="9" bestFit="1" customWidth="1"/>
    <col min="9" max="9" width="6.85546875" bestFit="1" customWidth="1"/>
    <col min="10" max="10" width="12.85546875" bestFit="1" customWidth="1"/>
    <col min="11" max="11" width="10.42578125" bestFit="1" customWidth="1"/>
    <col min="12" max="12" width="11.42578125" bestFit="1" customWidth="1"/>
    <col min="13" max="13" width="13.28515625" bestFit="1" customWidth="1"/>
    <col min="14" max="14" width="19.7109375" bestFit="1" customWidth="1"/>
    <col min="15" max="15" width="11.42578125" bestFit="1" customWidth="1"/>
    <col min="17" max="17" width="11.42578125" bestFit="1" customWidth="1"/>
  </cols>
  <sheetData>
    <row r="1" spans="1:15" ht="31.5" x14ac:dyDescent="0.5">
      <c r="A1" s="357" t="s">
        <v>268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ht="21" x14ac:dyDescent="0.35">
      <c r="A2" s="358" t="s">
        <v>270</v>
      </c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</row>
    <row r="3" spans="1:15" ht="13.5" thickBot="1" x14ac:dyDescent="0.25">
      <c r="A3" s="359" t="s">
        <v>271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</row>
    <row r="4" spans="1:15" x14ac:dyDescent="0.2">
      <c r="A4" s="6"/>
      <c r="B4" s="6"/>
      <c r="C4" s="6"/>
      <c r="D4" s="6"/>
      <c r="E4" s="354" t="s">
        <v>272</v>
      </c>
      <c r="F4" s="355"/>
      <c r="G4" s="355"/>
      <c r="H4" s="355"/>
      <c r="I4" s="355"/>
      <c r="J4" s="355"/>
      <c r="K4" s="355"/>
      <c r="L4" s="355"/>
      <c r="M4" s="355"/>
      <c r="N4" s="355"/>
      <c r="O4" s="356"/>
    </row>
    <row r="5" spans="1:15" x14ac:dyDescent="0.2">
      <c r="A5" s="137" t="s">
        <v>129</v>
      </c>
      <c r="B5" s="137" t="s">
        <v>19</v>
      </c>
      <c r="C5" s="137" t="s">
        <v>265</v>
      </c>
      <c r="D5" s="6"/>
      <c r="E5" s="134" t="s">
        <v>1</v>
      </c>
      <c r="F5" s="5" t="s">
        <v>262</v>
      </c>
      <c r="G5" s="5" t="s">
        <v>263</v>
      </c>
      <c r="H5" s="5" t="s">
        <v>266</v>
      </c>
      <c r="I5" s="5" t="s">
        <v>267</v>
      </c>
      <c r="J5" s="5" t="s">
        <v>273</v>
      </c>
      <c r="K5" s="5" t="s">
        <v>274</v>
      </c>
      <c r="L5" s="5" t="s">
        <v>275</v>
      </c>
      <c r="M5" s="5" t="s">
        <v>276</v>
      </c>
      <c r="N5" s="5" t="s">
        <v>277</v>
      </c>
      <c r="O5" s="138" t="s">
        <v>278</v>
      </c>
    </row>
    <row r="6" spans="1:15" ht="13.5" thickBot="1" x14ac:dyDescent="0.25">
      <c r="A6" s="6"/>
      <c r="B6" s="6"/>
      <c r="C6" s="6"/>
      <c r="D6" s="6"/>
      <c r="E6" s="44"/>
      <c r="F6" s="4"/>
      <c r="G6" s="4"/>
      <c r="H6" s="4"/>
      <c r="I6" s="4"/>
      <c r="J6" s="4"/>
      <c r="K6" s="4"/>
      <c r="L6" s="4"/>
      <c r="M6" s="4"/>
      <c r="N6" s="4"/>
      <c r="O6" s="45"/>
    </row>
    <row r="7" spans="1:15" x14ac:dyDescent="0.2">
      <c r="A7" s="137">
        <v>2018</v>
      </c>
      <c r="B7" s="137">
        <v>1</v>
      </c>
      <c r="C7" s="139">
        <f t="shared" ref="C7:C30" si="0">DATE(A7,B7,1)</f>
        <v>43101</v>
      </c>
      <c r="D7" s="6"/>
      <c r="E7" s="140">
        <v>1230542</v>
      </c>
      <c r="F7" s="141">
        <v>823998</v>
      </c>
      <c r="G7" s="141">
        <v>105594</v>
      </c>
      <c r="H7" s="141">
        <v>6749</v>
      </c>
      <c r="I7" s="141">
        <v>883</v>
      </c>
      <c r="J7" s="141">
        <f t="shared" ref="J7:J30" si="1">SUM(E7:I7)</f>
        <v>2167766</v>
      </c>
      <c r="K7" s="141">
        <f t="shared" ref="K7:K30" si="2">L7-J7</f>
        <v>165674</v>
      </c>
      <c r="L7" s="141">
        <f>ROUND(J7/0.929, 0)</f>
        <v>2333440</v>
      </c>
      <c r="M7" s="141">
        <v>2180</v>
      </c>
      <c r="N7" s="141">
        <f>ROUND(M7/0.929-M7, 0)</f>
        <v>167</v>
      </c>
      <c r="O7" s="142">
        <f t="shared" ref="O7:O30" si="3">SUM(L7:N7)</f>
        <v>2335787</v>
      </c>
    </row>
    <row r="8" spans="1:15" x14ac:dyDescent="0.2">
      <c r="A8" s="137">
        <f t="shared" ref="A8:A30" si="4">IF(B8=1,A7+1,A7)</f>
        <v>2018</v>
      </c>
      <c r="B8" s="137">
        <f t="shared" ref="B8:B30" si="5">IF(B7=12,1,B7+1)</f>
        <v>2</v>
      </c>
      <c r="C8" s="139">
        <f t="shared" si="0"/>
        <v>43132</v>
      </c>
      <c r="D8" s="6"/>
      <c r="E8" s="143">
        <v>1028940</v>
      </c>
      <c r="F8" s="144">
        <v>735827</v>
      </c>
      <c r="G8" s="144">
        <v>90879</v>
      </c>
      <c r="H8" s="144">
        <v>6216</v>
      </c>
      <c r="I8" s="144">
        <v>817</v>
      </c>
      <c r="J8" s="144">
        <f t="shared" si="1"/>
        <v>1862679</v>
      </c>
      <c r="K8" s="144">
        <f t="shared" si="2"/>
        <v>142358</v>
      </c>
      <c r="L8" s="144">
        <f t="shared" ref="L8:L30" si="6">ROUND(J8/0.929, 0)</f>
        <v>2005037</v>
      </c>
      <c r="M8" s="144">
        <v>2294</v>
      </c>
      <c r="N8" s="144">
        <f t="shared" ref="N8:N30" si="7">ROUND(M8/0.929-M8, 0)</f>
        <v>175</v>
      </c>
      <c r="O8" s="145">
        <f t="shared" si="3"/>
        <v>2007506</v>
      </c>
    </row>
    <row r="9" spans="1:15" x14ac:dyDescent="0.2">
      <c r="A9" s="137">
        <f t="shared" si="4"/>
        <v>2018</v>
      </c>
      <c r="B9" s="137">
        <f t="shared" si="5"/>
        <v>3</v>
      </c>
      <c r="C9" s="139">
        <f t="shared" si="0"/>
        <v>43160</v>
      </c>
      <c r="D9" s="6"/>
      <c r="E9" s="143">
        <v>1043446</v>
      </c>
      <c r="F9" s="144">
        <v>798237</v>
      </c>
      <c r="G9" s="144">
        <v>105281</v>
      </c>
      <c r="H9" s="144">
        <v>6900</v>
      </c>
      <c r="I9" s="144">
        <v>814</v>
      </c>
      <c r="J9" s="144">
        <f t="shared" si="1"/>
        <v>1954678</v>
      </c>
      <c r="K9" s="144">
        <f t="shared" si="2"/>
        <v>149389</v>
      </c>
      <c r="L9" s="144">
        <f t="shared" si="6"/>
        <v>2104067</v>
      </c>
      <c r="M9" s="144">
        <v>2205</v>
      </c>
      <c r="N9" s="144">
        <f t="shared" si="7"/>
        <v>169</v>
      </c>
      <c r="O9" s="145">
        <f t="shared" si="3"/>
        <v>2106441</v>
      </c>
    </row>
    <row r="10" spans="1:15" x14ac:dyDescent="0.2">
      <c r="A10" s="137">
        <f t="shared" si="4"/>
        <v>2018</v>
      </c>
      <c r="B10" s="137">
        <f t="shared" si="5"/>
        <v>4</v>
      </c>
      <c r="C10" s="139">
        <f t="shared" si="0"/>
        <v>43191</v>
      </c>
      <c r="D10" s="6"/>
      <c r="E10" s="143">
        <v>862615</v>
      </c>
      <c r="F10" s="144">
        <v>737689</v>
      </c>
      <c r="G10" s="144">
        <v>97809</v>
      </c>
      <c r="H10" s="144">
        <v>6157</v>
      </c>
      <c r="I10" s="144">
        <v>591</v>
      </c>
      <c r="J10" s="144">
        <f t="shared" si="1"/>
        <v>1704861</v>
      </c>
      <c r="K10" s="144">
        <f t="shared" si="2"/>
        <v>130296</v>
      </c>
      <c r="L10" s="144">
        <f t="shared" si="6"/>
        <v>1835157</v>
      </c>
      <c r="M10" s="144">
        <v>2046</v>
      </c>
      <c r="N10" s="144">
        <f t="shared" si="7"/>
        <v>156</v>
      </c>
      <c r="O10" s="145">
        <f t="shared" si="3"/>
        <v>1837359</v>
      </c>
    </row>
    <row r="11" spans="1:15" x14ac:dyDescent="0.2">
      <c r="A11" s="137">
        <f t="shared" si="4"/>
        <v>2018</v>
      </c>
      <c r="B11" s="137">
        <f t="shared" si="5"/>
        <v>5</v>
      </c>
      <c r="C11" s="139">
        <f t="shared" si="0"/>
        <v>43221</v>
      </c>
      <c r="D11" s="6"/>
      <c r="E11" s="143">
        <v>738331</v>
      </c>
      <c r="F11" s="144">
        <v>727288</v>
      </c>
      <c r="G11" s="144">
        <v>103671</v>
      </c>
      <c r="H11" s="144">
        <v>6517</v>
      </c>
      <c r="I11" s="144">
        <v>457</v>
      </c>
      <c r="J11" s="144">
        <f t="shared" si="1"/>
        <v>1576264</v>
      </c>
      <c r="K11" s="144">
        <f t="shared" si="2"/>
        <v>120468</v>
      </c>
      <c r="L11" s="144">
        <f t="shared" si="6"/>
        <v>1696732</v>
      </c>
      <c r="M11" s="144">
        <v>2037</v>
      </c>
      <c r="N11" s="144">
        <f t="shared" si="7"/>
        <v>156</v>
      </c>
      <c r="O11" s="145">
        <f t="shared" si="3"/>
        <v>1698925</v>
      </c>
    </row>
    <row r="12" spans="1:15" x14ac:dyDescent="0.2">
      <c r="A12" s="137">
        <f t="shared" si="4"/>
        <v>2018</v>
      </c>
      <c r="B12" s="137">
        <f t="shared" si="5"/>
        <v>6</v>
      </c>
      <c r="C12" s="139">
        <f t="shared" si="0"/>
        <v>43252</v>
      </c>
      <c r="D12" s="6"/>
      <c r="E12" s="143">
        <v>682241</v>
      </c>
      <c r="F12" s="144">
        <v>731934</v>
      </c>
      <c r="G12" s="144">
        <v>105811</v>
      </c>
      <c r="H12" s="144">
        <v>6523</v>
      </c>
      <c r="I12" s="144">
        <v>356</v>
      </c>
      <c r="J12" s="144">
        <f t="shared" si="1"/>
        <v>1526865</v>
      </c>
      <c r="K12" s="144">
        <f t="shared" si="2"/>
        <v>116693</v>
      </c>
      <c r="L12" s="144">
        <f t="shared" si="6"/>
        <v>1643558</v>
      </c>
      <c r="M12" s="144">
        <v>1680</v>
      </c>
      <c r="N12" s="144">
        <f t="shared" si="7"/>
        <v>128</v>
      </c>
      <c r="O12" s="145">
        <f t="shared" si="3"/>
        <v>1645366</v>
      </c>
    </row>
    <row r="13" spans="1:15" x14ac:dyDescent="0.2">
      <c r="A13" s="137">
        <f t="shared" si="4"/>
        <v>2018</v>
      </c>
      <c r="B13" s="137">
        <f t="shared" si="5"/>
        <v>7</v>
      </c>
      <c r="C13" s="139">
        <f t="shared" si="0"/>
        <v>43282</v>
      </c>
      <c r="D13" s="6"/>
      <c r="E13" s="143">
        <v>693377</v>
      </c>
      <c r="F13" s="144">
        <v>777656</v>
      </c>
      <c r="G13" s="144">
        <v>108466</v>
      </c>
      <c r="H13" s="144">
        <v>6279</v>
      </c>
      <c r="I13" s="144">
        <v>314</v>
      </c>
      <c r="J13" s="144">
        <f t="shared" si="1"/>
        <v>1586092</v>
      </c>
      <c r="K13" s="144">
        <f t="shared" si="2"/>
        <v>121219</v>
      </c>
      <c r="L13" s="144">
        <f t="shared" si="6"/>
        <v>1707311</v>
      </c>
      <c r="M13" s="144">
        <v>2694</v>
      </c>
      <c r="N13" s="144">
        <f t="shared" si="7"/>
        <v>206</v>
      </c>
      <c r="O13" s="145">
        <f t="shared" si="3"/>
        <v>1710211</v>
      </c>
    </row>
    <row r="14" spans="1:15" x14ac:dyDescent="0.2">
      <c r="A14" s="137">
        <f t="shared" si="4"/>
        <v>2018</v>
      </c>
      <c r="B14" s="137">
        <f t="shared" si="5"/>
        <v>8</v>
      </c>
      <c r="C14" s="139">
        <f t="shared" si="0"/>
        <v>43313</v>
      </c>
      <c r="D14" s="6"/>
      <c r="E14" s="143">
        <v>683648</v>
      </c>
      <c r="F14" s="144">
        <v>795828</v>
      </c>
      <c r="G14" s="144">
        <v>111577</v>
      </c>
      <c r="H14" s="144">
        <v>6474</v>
      </c>
      <c r="I14" s="144">
        <v>284</v>
      </c>
      <c r="J14" s="144">
        <f t="shared" si="1"/>
        <v>1597811</v>
      </c>
      <c r="K14" s="144">
        <f t="shared" si="2"/>
        <v>122115</v>
      </c>
      <c r="L14" s="144">
        <f t="shared" si="6"/>
        <v>1719926</v>
      </c>
      <c r="M14" s="144">
        <v>1538</v>
      </c>
      <c r="N14" s="144">
        <f t="shared" si="7"/>
        <v>118</v>
      </c>
      <c r="O14" s="145">
        <f t="shared" si="3"/>
        <v>1721582</v>
      </c>
    </row>
    <row r="15" spans="1:15" x14ac:dyDescent="0.2">
      <c r="A15" s="137">
        <f t="shared" si="4"/>
        <v>2018</v>
      </c>
      <c r="B15" s="137">
        <f t="shared" si="5"/>
        <v>9</v>
      </c>
      <c r="C15" s="139">
        <f t="shared" si="0"/>
        <v>43344</v>
      </c>
      <c r="D15" s="6"/>
      <c r="E15" s="143">
        <v>680182</v>
      </c>
      <c r="F15" s="144">
        <v>750455</v>
      </c>
      <c r="G15" s="144">
        <v>104591</v>
      </c>
      <c r="H15" s="144">
        <v>6316</v>
      </c>
      <c r="I15" s="144">
        <v>324</v>
      </c>
      <c r="J15" s="144">
        <f t="shared" si="1"/>
        <v>1541868</v>
      </c>
      <c r="K15" s="144">
        <f t="shared" si="2"/>
        <v>117839</v>
      </c>
      <c r="L15" s="144">
        <f t="shared" si="6"/>
        <v>1659707</v>
      </c>
      <c r="M15" s="144">
        <v>1338</v>
      </c>
      <c r="N15" s="144">
        <f t="shared" si="7"/>
        <v>102</v>
      </c>
      <c r="O15" s="145">
        <f t="shared" si="3"/>
        <v>1661147</v>
      </c>
    </row>
    <row r="16" spans="1:15" x14ac:dyDescent="0.2">
      <c r="A16" s="290">
        <f t="shared" si="4"/>
        <v>2018</v>
      </c>
      <c r="B16" s="290">
        <f t="shared" si="5"/>
        <v>10</v>
      </c>
      <c r="C16" s="291">
        <f t="shared" si="0"/>
        <v>43374</v>
      </c>
      <c r="D16" s="153"/>
      <c r="E16" s="292">
        <v>833727</v>
      </c>
      <c r="F16" s="293">
        <v>772382</v>
      </c>
      <c r="G16" s="293">
        <v>108713</v>
      </c>
      <c r="H16" s="293">
        <v>6574</v>
      </c>
      <c r="I16" s="293">
        <v>483</v>
      </c>
      <c r="J16" s="293">
        <f t="shared" si="1"/>
        <v>1721879</v>
      </c>
      <c r="K16" s="293">
        <f t="shared" si="2"/>
        <v>131597</v>
      </c>
      <c r="L16" s="293">
        <f t="shared" si="6"/>
        <v>1853476</v>
      </c>
      <c r="M16" s="293">
        <v>1718</v>
      </c>
      <c r="N16" s="293">
        <f t="shared" si="7"/>
        <v>131</v>
      </c>
      <c r="O16" s="294">
        <f t="shared" si="3"/>
        <v>1855325</v>
      </c>
    </row>
    <row r="17" spans="1:17" x14ac:dyDescent="0.2">
      <c r="A17" s="290">
        <f t="shared" si="4"/>
        <v>2018</v>
      </c>
      <c r="B17" s="290">
        <f t="shared" si="5"/>
        <v>11</v>
      </c>
      <c r="C17" s="291">
        <f t="shared" si="0"/>
        <v>43405</v>
      </c>
      <c r="D17" s="153"/>
      <c r="E17" s="292">
        <v>1026625</v>
      </c>
      <c r="F17" s="293">
        <v>800557</v>
      </c>
      <c r="G17" s="293">
        <v>103598</v>
      </c>
      <c r="H17" s="293">
        <v>6971</v>
      </c>
      <c r="I17" s="293">
        <v>697</v>
      </c>
      <c r="J17" s="293">
        <f t="shared" si="1"/>
        <v>1938448</v>
      </c>
      <c r="K17" s="293">
        <f t="shared" si="2"/>
        <v>148148</v>
      </c>
      <c r="L17" s="293">
        <f t="shared" si="6"/>
        <v>2086596</v>
      </c>
      <c r="M17" s="293">
        <v>1710</v>
      </c>
      <c r="N17" s="293">
        <f t="shared" si="7"/>
        <v>131</v>
      </c>
      <c r="O17" s="294">
        <f t="shared" si="3"/>
        <v>2088437</v>
      </c>
    </row>
    <row r="18" spans="1:17" x14ac:dyDescent="0.2">
      <c r="A18" s="290">
        <f t="shared" si="4"/>
        <v>2018</v>
      </c>
      <c r="B18" s="290">
        <f t="shared" si="5"/>
        <v>12</v>
      </c>
      <c r="C18" s="291">
        <f t="shared" si="0"/>
        <v>43435</v>
      </c>
      <c r="D18" s="153"/>
      <c r="E18" s="292">
        <v>1300977</v>
      </c>
      <c r="F18" s="293">
        <v>866058</v>
      </c>
      <c r="G18" s="293">
        <v>102414</v>
      </c>
      <c r="H18" s="293">
        <v>6844</v>
      </c>
      <c r="I18" s="293">
        <v>1016</v>
      </c>
      <c r="J18" s="293">
        <f t="shared" si="1"/>
        <v>2277309</v>
      </c>
      <c r="K18" s="293">
        <f t="shared" si="2"/>
        <v>174046</v>
      </c>
      <c r="L18" s="293">
        <f t="shared" si="6"/>
        <v>2451355</v>
      </c>
      <c r="M18" s="293">
        <v>1596</v>
      </c>
      <c r="N18" s="293">
        <f t="shared" si="7"/>
        <v>122</v>
      </c>
      <c r="O18" s="294">
        <f t="shared" si="3"/>
        <v>2453073</v>
      </c>
    </row>
    <row r="19" spans="1:17" x14ac:dyDescent="0.2">
      <c r="A19" s="290">
        <f t="shared" si="4"/>
        <v>2019</v>
      </c>
      <c r="B19" s="290">
        <f t="shared" si="5"/>
        <v>1</v>
      </c>
      <c r="C19" s="291">
        <f t="shared" si="0"/>
        <v>43466</v>
      </c>
      <c r="D19" s="153"/>
      <c r="E19" s="292">
        <v>1259288</v>
      </c>
      <c r="F19" s="293">
        <v>840538</v>
      </c>
      <c r="G19" s="293">
        <v>115042</v>
      </c>
      <c r="H19" s="293">
        <v>6704</v>
      </c>
      <c r="I19" s="293">
        <v>883</v>
      </c>
      <c r="J19" s="293">
        <f t="shared" si="1"/>
        <v>2222455</v>
      </c>
      <c r="K19" s="293">
        <f t="shared" si="2"/>
        <v>169854</v>
      </c>
      <c r="L19" s="293">
        <f t="shared" si="6"/>
        <v>2392309</v>
      </c>
      <c r="M19" s="293">
        <v>2180</v>
      </c>
      <c r="N19" s="293">
        <f t="shared" si="7"/>
        <v>167</v>
      </c>
      <c r="O19" s="294">
        <f t="shared" si="3"/>
        <v>2394656</v>
      </c>
    </row>
    <row r="20" spans="1:17" x14ac:dyDescent="0.2">
      <c r="A20" s="290">
        <f t="shared" si="4"/>
        <v>2019</v>
      </c>
      <c r="B20" s="290">
        <f t="shared" si="5"/>
        <v>2</v>
      </c>
      <c r="C20" s="291">
        <f t="shared" si="0"/>
        <v>43497</v>
      </c>
      <c r="D20" s="153"/>
      <c r="E20" s="292">
        <v>1049964</v>
      </c>
      <c r="F20" s="293">
        <v>757240</v>
      </c>
      <c r="G20" s="293">
        <v>98109</v>
      </c>
      <c r="H20" s="293">
        <v>6176</v>
      </c>
      <c r="I20" s="293">
        <v>816</v>
      </c>
      <c r="J20" s="293">
        <f t="shared" si="1"/>
        <v>1912305</v>
      </c>
      <c r="K20" s="293">
        <f t="shared" si="2"/>
        <v>146150</v>
      </c>
      <c r="L20" s="293">
        <f t="shared" si="6"/>
        <v>2058455</v>
      </c>
      <c r="M20" s="293">
        <v>2294</v>
      </c>
      <c r="N20" s="293">
        <f t="shared" si="7"/>
        <v>175</v>
      </c>
      <c r="O20" s="294">
        <f t="shared" si="3"/>
        <v>2060924</v>
      </c>
    </row>
    <row r="21" spans="1:17" x14ac:dyDescent="0.2">
      <c r="A21" s="290">
        <f t="shared" si="4"/>
        <v>2019</v>
      </c>
      <c r="B21" s="290">
        <f t="shared" si="5"/>
        <v>3</v>
      </c>
      <c r="C21" s="291">
        <f t="shared" si="0"/>
        <v>43525</v>
      </c>
      <c r="D21" s="153"/>
      <c r="E21" s="292">
        <v>1045413</v>
      </c>
      <c r="F21" s="293">
        <v>804397</v>
      </c>
      <c r="G21" s="293">
        <v>109918</v>
      </c>
      <c r="H21" s="293">
        <v>6850</v>
      </c>
      <c r="I21" s="293">
        <v>814</v>
      </c>
      <c r="J21" s="293">
        <f t="shared" si="1"/>
        <v>1967392</v>
      </c>
      <c r="K21" s="293">
        <f t="shared" si="2"/>
        <v>150360</v>
      </c>
      <c r="L21" s="293">
        <f t="shared" si="6"/>
        <v>2117752</v>
      </c>
      <c r="M21" s="293">
        <v>2205</v>
      </c>
      <c r="N21" s="293">
        <f t="shared" si="7"/>
        <v>169</v>
      </c>
      <c r="O21" s="294">
        <f t="shared" si="3"/>
        <v>2120126</v>
      </c>
    </row>
    <row r="22" spans="1:17" x14ac:dyDescent="0.2">
      <c r="A22" s="290">
        <f t="shared" si="4"/>
        <v>2019</v>
      </c>
      <c r="B22" s="290">
        <f t="shared" si="5"/>
        <v>4</v>
      </c>
      <c r="C22" s="291">
        <f t="shared" si="0"/>
        <v>43556</v>
      </c>
      <c r="D22" s="153"/>
      <c r="E22" s="292">
        <v>862305</v>
      </c>
      <c r="F22" s="293">
        <v>743373</v>
      </c>
      <c r="G22" s="293">
        <v>101031</v>
      </c>
      <c r="H22" s="293">
        <v>6116</v>
      </c>
      <c r="I22" s="293">
        <v>591</v>
      </c>
      <c r="J22" s="293">
        <f t="shared" si="1"/>
        <v>1713416</v>
      </c>
      <c r="K22" s="293">
        <f t="shared" si="2"/>
        <v>130950</v>
      </c>
      <c r="L22" s="293">
        <f t="shared" si="6"/>
        <v>1844366</v>
      </c>
      <c r="M22" s="293">
        <v>2046</v>
      </c>
      <c r="N22" s="293">
        <f t="shared" si="7"/>
        <v>156</v>
      </c>
      <c r="O22" s="294">
        <f t="shared" si="3"/>
        <v>1846568</v>
      </c>
    </row>
    <row r="23" spans="1:17" x14ac:dyDescent="0.2">
      <c r="A23" s="290">
        <f t="shared" si="4"/>
        <v>2019</v>
      </c>
      <c r="B23" s="290">
        <f t="shared" si="5"/>
        <v>5</v>
      </c>
      <c r="C23" s="291">
        <f t="shared" si="0"/>
        <v>43586</v>
      </c>
      <c r="D23" s="153"/>
      <c r="E23" s="292">
        <v>739742</v>
      </c>
      <c r="F23" s="293">
        <v>737413</v>
      </c>
      <c r="G23" s="293">
        <v>105147</v>
      </c>
      <c r="H23" s="293">
        <v>6480</v>
      </c>
      <c r="I23" s="293">
        <v>457</v>
      </c>
      <c r="J23" s="293">
        <f t="shared" si="1"/>
        <v>1589239</v>
      </c>
      <c r="K23" s="293">
        <f t="shared" si="2"/>
        <v>121460</v>
      </c>
      <c r="L23" s="293">
        <f t="shared" si="6"/>
        <v>1710699</v>
      </c>
      <c r="M23" s="293">
        <v>2037</v>
      </c>
      <c r="N23" s="293">
        <f t="shared" si="7"/>
        <v>156</v>
      </c>
      <c r="O23" s="294">
        <f t="shared" si="3"/>
        <v>1712892</v>
      </c>
    </row>
    <row r="24" spans="1:17" x14ac:dyDescent="0.2">
      <c r="A24" s="290">
        <f t="shared" si="4"/>
        <v>2019</v>
      </c>
      <c r="B24" s="290">
        <f t="shared" si="5"/>
        <v>6</v>
      </c>
      <c r="C24" s="291">
        <f t="shared" si="0"/>
        <v>43617</v>
      </c>
      <c r="D24" s="153"/>
      <c r="E24" s="292">
        <v>680386</v>
      </c>
      <c r="F24" s="293">
        <v>732235</v>
      </c>
      <c r="G24" s="293">
        <v>105858</v>
      </c>
      <c r="H24" s="293">
        <v>6492</v>
      </c>
      <c r="I24" s="293">
        <v>356</v>
      </c>
      <c r="J24" s="293">
        <f t="shared" si="1"/>
        <v>1525327</v>
      </c>
      <c r="K24" s="293">
        <f t="shared" si="2"/>
        <v>116575</v>
      </c>
      <c r="L24" s="293">
        <f t="shared" si="6"/>
        <v>1641902</v>
      </c>
      <c r="M24" s="293">
        <v>1680</v>
      </c>
      <c r="N24" s="293">
        <f t="shared" si="7"/>
        <v>128</v>
      </c>
      <c r="O24" s="294">
        <f t="shared" si="3"/>
        <v>1643710</v>
      </c>
    </row>
    <row r="25" spans="1:17" x14ac:dyDescent="0.2">
      <c r="A25" s="290">
        <f t="shared" si="4"/>
        <v>2019</v>
      </c>
      <c r="B25" s="290">
        <f t="shared" si="5"/>
        <v>7</v>
      </c>
      <c r="C25" s="291">
        <f t="shared" si="0"/>
        <v>43647</v>
      </c>
      <c r="D25" s="153"/>
      <c r="E25" s="292">
        <v>681210</v>
      </c>
      <c r="F25" s="293">
        <v>774319</v>
      </c>
      <c r="G25" s="293">
        <v>108488</v>
      </c>
      <c r="H25" s="293">
        <v>6254</v>
      </c>
      <c r="I25" s="293">
        <v>314</v>
      </c>
      <c r="J25" s="293">
        <f t="shared" si="1"/>
        <v>1570585</v>
      </c>
      <c r="K25" s="293">
        <f t="shared" si="2"/>
        <v>120034</v>
      </c>
      <c r="L25" s="293">
        <f t="shared" si="6"/>
        <v>1690619</v>
      </c>
      <c r="M25" s="293">
        <v>2694</v>
      </c>
      <c r="N25" s="293">
        <f t="shared" si="7"/>
        <v>206</v>
      </c>
      <c r="O25" s="294">
        <f t="shared" si="3"/>
        <v>1693519</v>
      </c>
    </row>
    <row r="26" spans="1:17" x14ac:dyDescent="0.2">
      <c r="A26" s="290">
        <f t="shared" si="4"/>
        <v>2019</v>
      </c>
      <c r="B26" s="290">
        <f t="shared" si="5"/>
        <v>8</v>
      </c>
      <c r="C26" s="291">
        <f t="shared" si="0"/>
        <v>43678</v>
      </c>
      <c r="D26" s="153"/>
      <c r="E26" s="292">
        <v>664685</v>
      </c>
      <c r="F26" s="293">
        <v>793984</v>
      </c>
      <c r="G26" s="293">
        <v>111717</v>
      </c>
      <c r="H26" s="293">
        <v>6455</v>
      </c>
      <c r="I26" s="293">
        <v>285</v>
      </c>
      <c r="J26" s="293">
        <f t="shared" si="1"/>
        <v>1577126</v>
      </c>
      <c r="K26" s="293">
        <f t="shared" si="2"/>
        <v>120534</v>
      </c>
      <c r="L26" s="293">
        <f t="shared" si="6"/>
        <v>1697660</v>
      </c>
      <c r="M26" s="293">
        <v>1538</v>
      </c>
      <c r="N26" s="293">
        <f t="shared" si="7"/>
        <v>118</v>
      </c>
      <c r="O26" s="294">
        <f t="shared" si="3"/>
        <v>1699316</v>
      </c>
    </row>
    <row r="27" spans="1:17" x14ac:dyDescent="0.2">
      <c r="A27" s="290">
        <f t="shared" si="4"/>
        <v>2019</v>
      </c>
      <c r="B27" s="290">
        <f t="shared" si="5"/>
        <v>9</v>
      </c>
      <c r="C27" s="291">
        <f t="shared" si="0"/>
        <v>43709</v>
      </c>
      <c r="D27" s="153"/>
      <c r="E27" s="292">
        <v>667588</v>
      </c>
      <c r="F27" s="293">
        <v>748461</v>
      </c>
      <c r="G27" s="293">
        <v>103337</v>
      </c>
      <c r="H27" s="293">
        <v>6301</v>
      </c>
      <c r="I27" s="293">
        <v>324</v>
      </c>
      <c r="J27" s="293">
        <f t="shared" si="1"/>
        <v>1526011</v>
      </c>
      <c r="K27" s="293">
        <f t="shared" si="2"/>
        <v>116627</v>
      </c>
      <c r="L27" s="293">
        <f t="shared" si="6"/>
        <v>1642638</v>
      </c>
      <c r="M27" s="293">
        <v>1338</v>
      </c>
      <c r="N27" s="293">
        <f t="shared" si="7"/>
        <v>102</v>
      </c>
      <c r="O27" s="294">
        <f t="shared" si="3"/>
        <v>1644078</v>
      </c>
      <c r="Q27" s="146">
        <f>SUM(E16:E27)</f>
        <v>10811910</v>
      </c>
    </row>
    <row r="28" spans="1:17" x14ac:dyDescent="0.2">
      <c r="A28" s="137">
        <f t="shared" si="4"/>
        <v>2019</v>
      </c>
      <c r="B28" s="137">
        <f t="shared" si="5"/>
        <v>10</v>
      </c>
      <c r="C28" s="139">
        <f t="shared" si="0"/>
        <v>43739</v>
      </c>
      <c r="D28" s="6"/>
      <c r="E28" s="143">
        <v>832842</v>
      </c>
      <c r="F28" s="144">
        <v>769816</v>
      </c>
      <c r="G28" s="144">
        <v>106890</v>
      </c>
      <c r="H28" s="144">
        <v>6570</v>
      </c>
      <c r="I28" s="144">
        <v>483</v>
      </c>
      <c r="J28" s="144">
        <f t="shared" si="1"/>
        <v>1716601</v>
      </c>
      <c r="K28" s="144">
        <f t="shared" si="2"/>
        <v>131193</v>
      </c>
      <c r="L28" s="144">
        <f t="shared" si="6"/>
        <v>1847794</v>
      </c>
      <c r="M28" s="144">
        <v>1718</v>
      </c>
      <c r="N28" s="144">
        <f t="shared" si="7"/>
        <v>131</v>
      </c>
      <c r="O28" s="145">
        <f t="shared" si="3"/>
        <v>1849643</v>
      </c>
    </row>
    <row r="29" spans="1:17" x14ac:dyDescent="0.2">
      <c r="A29" s="137">
        <f t="shared" si="4"/>
        <v>2019</v>
      </c>
      <c r="B29" s="137">
        <f t="shared" si="5"/>
        <v>11</v>
      </c>
      <c r="C29" s="139">
        <f t="shared" si="0"/>
        <v>43770</v>
      </c>
      <c r="D29" s="6"/>
      <c r="E29" s="143">
        <v>1028038</v>
      </c>
      <c r="F29" s="144">
        <v>800225</v>
      </c>
      <c r="G29" s="144">
        <v>99195</v>
      </c>
      <c r="H29" s="144">
        <v>6978</v>
      </c>
      <c r="I29" s="144">
        <v>697</v>
      </c>
      <c r="J29" s="144">
        <f t="shared" si="1"/>
        <v>1935133</v>
      </c>
      <c r="K29" s="144">
        <f t="shared" si="2"/>
        <v>147895</v>
      </c>
      <c r="L29" s="144">
        <f t="shared" si="6"/>
        <v>2083028</v>
      </c>
      <c r="M29" s="144">
        <v>1710</v>
      </c>
      <c r="N29" s="144">
        <f t="shared" si="7"/>
        <v>131</v>
      </c>
      <c r="O29" s="145">
        <f t="shared" si="3"/>
        <v>2084869</v>
      </c>
    </row>
    <row r="30" spans="1:17" x14ac:dyDescent="0.2">
      <c r="A30" s="137">
        <f t="shared" si="4"/>
        <v>2019</v>
      </c>
      <c r="B30" s="137">
        <f t="shared" si="5"/>
        <v>12</v>
      </c>
      <c r="C30" s="139">
        <f t="shared" si="0"/>
        <v>43800</v>
      </c>
      <c r="D30" s="6"/>
      <c r="E30" s="143">
        <v>1299084</v>
      </c>
      <c r="F30" s="144">
        <v>876079</v>
      </c>
      <c r="G30" s="144">
        <v>98796</v>
      </c>
      <c r="H30" s="144">
        <v>6853</v>
      </c>
      <c r="I30" s="144">
        <v>1016</v>
      </c>
      <c r="J30" s="144">
        <f t="shared" si="1"/>
        <v>2281828</v>
      </c>
      <c r="K30" s="144">
        <f t="shared" si="2"/>
        <v>174392</v>
      </c>
      <c r="L30" s="144">
        <f t="shared" si="6"/>
        <v>2456220</v>
      </c>
      <c r="M30" s="144">
        <v>1596</v>
      </c>
      <c r="N30" s="144">
        <f t="shared" si="7"/>
        <v>122</v>
      </c>
      <c r="O30" s="145">
        <f t="shared" si="3"/>
        <v>2457938</v>
      </c>
    </row>
  </sheetData>
  <mergeCells count="4">
    <mergeCell ref="E4:O4"/>
    <mergeCell ref="A1:O1"/>
    <mergeCell ref="A2:O2"/>
    <mergeCell ref="A3:O3"/>
  </mergeCells>
  <printOptions horizontalCentered="1"/>
  <pageMargins left="0.7" right="0.7" top="0.75" bottom="0.75" header="0.3" footer="0.3"/>
  <pageSetup scale="70" orientation="landscape" r:id="rId1"/>
  <headerFooter>
    <oddHeader>&amp;R2018 Low Income Filing
Advice 2018-xx
Page &amp;P of &amp;N</oddHeader>
    <oddFooter>&amp;L&amp;F
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20" sqref="B20"/>
    </sheetView>
  </sheetViews>
  <sheetFormatPr defaultRowHeight="12.75" x14ac:dyDescent="0.2"/>
  <cols>
    <col min="1" max="1" width="5" bestFit="1" customWidth="1"/>
    <col min="2" max="2" width="6.7109375" bestFit="1" customWidth="1"/>
    <col min="3" max="3" width="9.140625" bestFit="1" customWidth="1"/>
    <col min="5" max="5" width="10.42578125" bestFit="1" customWidth="1"/>
    <col min="6" max="6" width="10.7109375" bestFit="1" customWidth="1"/>
    <col min="7" max="7" width="8.28515625" bestFit="1" customWidth="1"/>
    <col min="8" max="8" width="9" bestFit="1" customWidth="1"/>
    <col min="9" max="9" width="6.42578125" bestFit="1" customWidth="1"/>
    <col min="10" max="10" width="10.42578125" bestFit="1" customWidth="1"/>
    <col min="11" max="11" width="8.7109375" bestFit="1" customWidth="1"/>
  </cols>
  <sheetData>
    <row r="1" spans="1:11" ht="31.5" x14ac:dyDescent="0.5">
      <c r="A1" s="363" t="s">
        <v>268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21" x14ac:dyDescent="0.35">
      <c r="A2" s="364" t="s">
        <v>264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</row>
    <row r="3" spans="1:11" ht="13.5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">
      <c r="A4" s="6"/>
      <c r="B4" s="6"/>
      <c r="C4" s="6"/>
      <c r="D4" s="6"/>
      <c r="E4" s="360" t="s">
        <v>264</v>
      </c>
      <c r="F4" s="361"/>
      <c r="G4" s="361"/>
      <c r="H4" s="361"/>
      <c r="I4" s="361"/>
      <c r="J4" s="361"/>
      <c r="K4" s="362"/>
    </row>
    <row r="5" spans="1:11" x14ac:dyDescent="0.2">
      <c r="A5" s="137" t="s">
        <v>129</v>
      </c>
      <c r="B5" s="137" t="s">
        <v>19</v>
      </c>
      <c r="C5" s="137" t="s">
        <v>265</v>
      </c>
      <c r="D5" s="6"/>
      <c r="E5" s="134" t="s">
        <v>1</v>
      </c>
      <c r="F5" s="5" t="s">
        <v>262</v>
      </c>
      <c r="G5" s="5" t="s">
        <v>263</v>
      </c>
      <c r="H5" s="5" t="s">
        <v>266</v>
      </c>
      <c r="I5" s="5" t="s">
        <v>267</v>
      </c>
      <c r="J5" s="5" t="s">
        <v>63</v>
      </c>
      <c r="K5" s="138" t="s">
        <v>261</v>
      </c>
    </row>
    <row r="6" spans="1:11" x14ac:dyDescent="0.2">
      <c r="A6" s="6"/>
      <c r="B6" s="6"/>
      <c r="C6" s="6"/>
      <c r="D6" s="6"/>
      <c r="E6" s="44"/>
      <c r="F6" s="4"/>
      <c r="G6" s="4"/>
      <c r="H6" s="4"/>
      <c r="I6" s="4"/>
      <c r="J6" s="4"/>
      <c r="K6" s="45"/>
    </row>
    <row r="7" spans="1:11" ht="13.5" thickBot="1" x14ac:dyDescent="0.25">
      <c r="A7" s="6"/>
      <c r="B7" s="6"/>
      <c r="C7" s="6"/>
      <c r="D7" s="6"/>
      <c r="E7" s="44"/>
      <c r="F7" s="4"/>
      <c r="G7" s="4"/>
      <c r="H7" s="4"/>
      <c r="I7" s="4"/>
      <c r="J7" s="4"/>
      <c r="K7" s="45"/>
    </row>
    <row r="8" spans="1:11" x14ac:dyDescent="0.2">
      <c r="A8" s="137">
        <v>2018</v>
      </c>
      <c r="B8" s="137">
        <v>1</v>
      </c>
      <c r="C8" s="139">
        <f t="shared" ref="C8:C31" si="0">DATE(A8,B8,1)</f>
        <v>43101</v>
      </c>
      <c r="D8" s="6"/>
      <c r="E8" s="140">
        <v>1005044</v>
      </c>
      <c r="F8" s="141">
        <v>127999</v>
      </c>
      <c r="G8" s="141">
        <v>3374</v>
      </c>
      <c r="H8" s="141">
        <v>6855</v>
      </c>
      <c r="I8" s="141">
        <v>8</v>
      </c>
      <c r="J8" s="141">
        <f t="shared" ref="J8:J31" si="1">SUM(E8:I8)</f>
        <v>1143280</v>
      </c>
      <c r="K8" s="142">
        <v>16</v>
      </c>
    </row>
    <row r="9" spans="1:11" x14ac:dyDescent="0.2">
      <c r="A9" s="137">
        <f t="shared" ref="A9:A31" si="2">IF(B9=1,A8+1,A8)</f>
        <v>2018</v>
      </c>
      <c r="B9" s="137">
        <f t="shared" ref="B9:B31" si="3">IF(B8=12,1,B8+1)</f>
        <v>2</v>
      </c>
      <c r="C9" s="139">
        <f t="shared" si="0"/>
        <v>43132</v>
      </c>
      <c r="D9" s="6"/>
      <c r="E9" s="143">
        <v>1005963</v>
      </c>
      <c r="F9" s="144">
        <v>128123</v>
      </c>
      <c r="G9" s="144">
        <v>3372</v>
      </c>
      <c r="H9" s="144">
        <v>6876</v>
      </c>
      <c r="I9" s="144">
        <v>8</v>
      </c>
      <c r="J9" s="144">
        <f t="shared" si="1"/>
        <v>1144342</v>
      </c>
      <c r="K9" s="145">
        <v>16</v>
      </c>
    </row>
    <row r="10" spans="1:11" x14ac:dyDescent="0.2">
      <c r="A10" s="137">
        <f t="shared" si="2"/>
        <v>2018</v>
      </c>
      <c r="B10" s="137">
        <f t="shared" si="3"/>
        <v>3</v>
      </c>
      <c r="C10" s="139">
        <f t="shared" si="0"/>
        <v>43160</v>
      </c>
      <c r="D10" s="6"/>
      <c r="E10" s="143">
        <v>1006776</v>
      </c>
      <c r="F10" s="144">
        <v>128311</v>
      </c>
      <c r="G10" s="144">
        <v>3370</v>
      </c>
      <c r="H10" s="144">
        <v>6897</v>
      </c>
      <c r="I10" s="144">
        <v>8</v>
      </c>
      <c r="J10" s="144">
        <f t="shared" si="1"/>
        <v>1145362</v>
      </c>
      <c r="K10" s="145">
        <v>16</v>
      </c>
    </row>
    <row r="11" spans="1:11" x14ac:dyDescent="0.2">
      <c r="A11" s="137">
        <f t="shared" si="2"/>
        <v>2018</v>
      </c>
      <c r="B11" s="137">
        <f t="shared" si="3"/>
        <v>4</v>
      </c>
      <c r="C11" s="139">
        <f t="shared" si="0"/>
        <v>43191</v>
      </c>
      <c r="D11" s="6"/>
      <c r="E11" s="143">
        <v>1007562</v>
      </c>
      <c r="F11" s="144">
        <v>128568</v>
      </c>
      <c r="G11" s="144">
        <v>3368</v>
      </c>
      <c r="H11" s="144">
        <v>6918</v>
      </c>
      <c r="I11" s="144">
        <v>8</v>
      </c>
      <c r="J11" s="144">
        <f t="shared" si="1"/>
        <v>1146424</v>
      </c>
      <c r="K11" s="145">
        <v>16</v>
      </c>
    </row>
    <row r="12" spans="1:11" x14ac:dyDescent="0.2">
      <c r="A12" s="137">
        <f t="shared" si="2"/>
        <v>2018</v>
      </c>
      <c r="B12" s="137">
        <f t="shared" si="3"/>
        <v>5</v>
      </c>
      <c r="C12" s="139">
        <f t="shared" si="0"/>
        <v>43221</v>
      </c>
      <c r="D12" s="6"/>
      <c r="E12" s="143">
        <v>1008289</v>
      </c>
      <c r="F12" s="144">
        <v>128825</v>
      </c>
      <c r="G12" s="144">
        <v>3366</v>
      </c>
      <c r="H12" s="144">
        <v>6939</v>
      </c>
      <c r="I12" s="144">
        <v>8</v>
      </c>
      <c r="J12" s="144">
        <f t="shared" si="1"/>
        <v>1147427</v>
      </c>
      <c r="K12" s="145">
        <v>16</v>
      </c>
    </row>
    <row r="13" spans="1:11" x14ac:dyDescent="0.2">
      <c r="A13" s="137">
        <f t="shared" si="2"/>
        <v>2018</v>
      </c>
      <c r="B13" s="137">
        <f t="shared" si="3"/>
        <v>6</v>
      </c>
      <c r="C13" s="139">
        <f t="shared" si="0"/>
        <v>43252</v>
      </c>
      <c r="D13" s="6"/>
      <c r="E13" s="143">
        <v>1009036</v>
      </c>
      <c r="F13" s="144">
        <v>129076</v>
      </c>
      <c r="G13" s="144">
        <v>3364</v>
      </c>
      <c r="H13" s="144">
        <v>6960</v>
      </c>
      <c r="I13" s="144">
        <v>8</v>
      </c>
      <c r="J13" s="144">
        <f t="shared" si="1"/>
        <v>1148444</v>
      </c>
      <c r="K13" s="145">
        <v>16</v>
      </c>
    </row>
    <row r="14" spans="1:11" x14ac:dyDescent="0.2">
      <c r="A14" s="137">
        <f t="shared" si="2"/>
        <v>2018</v>
      </c>
      <c r="B14" s="137">
        <f t="shared" si="3"/>
        <v>7</v>
      </c>
      <c r="C14" s="139">
        <f t="shared" si="0"/>
        <v>43282</v>
      </c>
      <c r="D14" s="6"/>
      <c r="E14" s="143">
        <v>1009611</v>
      </c>
      <c r="F14" s="144">
        <v>129333</v>
      </c>
      <c r="G14" s="144">
        <v>3362</v>
      </c>
      <c r="H14" s="144">
        <v>6981</v>
      </c>
      <c r="I14" s="144">
        <v>8</v>
      </c>
      <c r="J14" s="144">
        <f t="shared" si="1"/>
        <v>1149295</v>
      </c>
      <c r="K14" s="145">
        <v>16</v>
      </c>
    </row>
    <row r="15" spans="1:11" x14ac:dyDescent="0.2">
      <c r="A15" s="137">
        <f t="shared" si="2"/>
        <v>2018</v>
      </c>
      <c r="B15" s="137">
        <f t="shared" si="3"/>
        <v>8</v>
      </c>
      <c r="C15" s="139">
        <f t="shared" si="0"/>
        <v>43313</v>
      </c>
      <c r="D15" s="6"/>
      <c r="E15" s="143">
        <v>1010516</v>
      </c>
      <c r="F15" s="144">
        <v>129547</v>
      </c>
      <c r="G15" s="144">
        <v>3360</v>
      </c>
      <c r="H15" s="144">
        <v>7002</v>
      </c>
      <c r="I15" s="144">
        <v>8</v>
      </c>
      <c r="J15" s="144">
        <f t="shared" si="1"/>
        <v>1150433</v>
      </c>
      <c r="K15" s="145">
        <v>16</v>
      </c>
    </row>
    <row r="16" spans="1:11" x14ac:dyDescent="0.2">
      <c r="A16" s="137">
        <f t="shared" si="2"/>
        <v>2018</v>
      </c>
      <c r="B16" s="137">
        <f t="shared" si="3"/>
        <v>9</v>
      </c>
      <c r="C16" s="139">
        <f t="shared" si="0"/>
        <v>43344</v>
      </c>
      <c r="D16" s="6"/>
      <c r="E16" s="143">
        <v>1011702</v>
      </c>
      <c r="F16" s="144">
        <v>129678</v>
      </c>
      <c r="G16" s="144">
        <v>3358</v>
      </c>
      <c r="H16" s="144">
        <v>7022</v>
      </c>
      <c r="I16" s="144">
        <v>8</v>
      </c>
      <c r="J16" s="144">
        <f t="shared" si="1"/>
        <v>1151768</v>
      </c>
      <c r="K16" s="145">
        <v>16</v>
      </c>
    </row>
    <row r="17" spans="1:11" x14ac:dyDescent="0.2">
      <c r="A17" s="290">
        <f t="shared" si="2"/>
        <v>2018</v>
      </c>
      <c r="B17" s="290">
        <f t="shared" si="3"/>
        <v>10</v>
      </c>
      <c r="C17" s="291">
        <f t="shared" si="0"/>
        <v>43374</v>
      </c>
      <c r="D17" s="153"/>
      <c r="E17" s="292">
        <v>1013241</v>
      </c>
      <c r="F17" s="293">
        <v>129810</v>
      </c>
      <c r="G17" s="293">
        <v>3356</v>
      </c>
      <c r="H17" s="293">
        <v>7042</v>
      </c>
      <c r="I17" s="293">
        <v>8</v>
      </c>
      <c r="J17" s="293">
        <f t="shared" si="1"/>
        <v>1153457</v>
      </c>
      <c r="K17" s="294">
        <v>16</v>
      </c>
    </row>
    <row r="18" spans="1:11" x14ac:dyDescent="0.2">
      <c r="A18" s="290">
        <f t="shared" si="2"/>
        <v>2018</v>
      </c>
      <c r="B18" s="290">
        <f t="shared" si="3"/>
        <v>11</v>
      </c>
      <c r="C18" s="291">
        <f t="shared" si="0"/>
        <v>43405</v>
      </c>
      <c r="D18" s="153"/>
      <c r="E18" s="292">
        <v>1014665</v>
      </c>
      <c r="F18" s="293">
        <v>129943</v>
      </c>
      <c r="G18" s="293">
        <v>3354</v>
      </c>
      <c r="H18" s="293">
        <v>7063</v>
      </c>
      <c r="I18" s="293">
        <v>8</v>
      </c>
      <c r="J18" s="293">
        <f t="shared" si="1"/>
        <v>1155033</v>
      </c>
      <c r="K18" s="294">
        <v>16</v>
      </c>
    </row>
    <row r="19" spans="1:11" x14ac:dyDescent="0.2">
      <c r="A19" s="290">
        <f t="shared" si="2"/>
        <v>2018</v>
      </c>
      <c r="B19" s="290">
        <f t="shared" si="3"/>
        <v>12</v>
      </c>
      <c r="C19" s="291">
        <f t="shared" si="0"/>
        <v>43435</v>
      </c>
      <c r="D19" s="153"/>
      <c r="E19" s="292">
        <v>1015814</v>
      </c>
      <c r="F19" s="293">
        <v>130077</v>
      </c>
      <c r="G19" s="293">
        <v>3352</v>
      </c>
      <c r="H19" s="293">
        <v>7083</v>
      </c>
      <c r="I19" s="293">
        <v>8</v>
      </c>
      <c r="J19" s="293">
        <f t="shared" si="1"/>
        <v>1156334</v>
      </c>
      <c r="K19" s="294">
        <v>16</v>
      </c>
    </row>
    <row r="20" spans="1:11" x14ac:dyDescent="0.2">
      <c r="A20" s="290">
        <f t="shared" si="2"/>
        <v>2019</v>
      </c>
      <c r="B20" s="290">
        <f t="shared" si="3"/>
        <v>1</v>
      </c>
      <c r="C20" s="291">
        <f t="shared" si="0"/>
        <v>43466</v>
      </c>
      <c r="D20" s="153"/>
      <c r="E20" s="292">
        <v>1017096</v>
      </c>
      <c r="F20" s="293">
        <v>130140</v>
      </c>
      <c r="G20" s="293">
        <v>3351</v>
      </c>
      <c r="H20" s="293">
        <v>7104</v>
      </c>
      <c r="I20" s="293">
        <v>8</v>
      </c>
      <c r="J20" s="293">
        <f t="shared" si="1"/>
        <v>1157699</v>
      </c>
      <c r="K20" s="294">
        <v>16</v>
      </c>
    </row>
    <row r="21" spans="1:11" x14ac:dyDescent="0.2">
      <c r="A21" s="290">
        <f t="shared" si="2"/>
        <v>2019</v>
      </c>
      <c r="B21" s="290">
        <f t="shared" si="3"/>
        <v>2</v>
      </c>
      <c r="C21" s="291">
        <f t="shared" si="0"/>
        <v>43497</v>
      </c>
      <c r="D21" s="153"/>
      <c r="E21" s="292">
        <v>1018173</v>
      </c>
      <c r="F21" s="293">
        <v>130297</v>
      </c>
      <c r="G21" s="293">
        <v>3349</v>
      </c>
      <c r="H21" s="293">
        <v>7126</v>
      </c>
      <c r="I21" s="293">
        <v>8</v>
      </c>
      <c r="J21" s="293">
        <f t="shared" si="1"/>
        <v>1158953</v>
      </c>
      <c r="K21" s="294">
        <v>16</v>
      </c>
    </row>
    <row r="22" spans="1:11" x14ac:dyDescent="0.2">
      <c r="A22" s="290">
        <f t="shared" si="2"/>
        <v>2019</v>
      </c>
      <c r="B22" s="290">
        <f t="shared" si="3"/>
        <v>3</v>
      </c>
      <c r="C22" s="291">
        <f t="shared" si="0"/>
        <v>43525</v>
      </c>
      <c r="D22" s="153"/>
      <c r="E22" s="292">
        <v>1019088</v>
      </c>
      <c r="F22" s="293">
        <v>130501</v>
      </c>
      <c r="G22" s="293">
        <v>3348</v>
      </c>
      <c r="H22" s="293">
        <v>7147</v>
      </c>
      <c r="I22" s="293">
        <v>8</v>
      </c>
      <c r="J22" s="293">
        <f t="shared" si="1"/>
        <v>1160092</v>
      </c>
      <c r="K22" s="294">
        <v>16</v>
      </c>
    </row>
    <row r="23" spans="1:11" x14ac:dyDescent="0.2">
      <c r="A23" s="290">
        <f t="shared" si="2"/>
        <v>2019</v>
      </c>
      <c r="B23" s="290">
        <f t="shared" si="3"/>
        <v>4</v>
      </c>
      <c r="C23" s="291">
        <f t="shared" si="0"/>
        <v>43556</v>
      </c>
      <c r="D23" s="153"/>
      <c r="E23" s="292">
        <v>1019934</v>
      </c>
      <c r="F23" s="293">
        <v>130779</v>
      </c>
      <c r="G23" s="293">
        <v>3346</v>
      </c>
      <c r="H23" s="293">
        <v>7167</v>
      </c>
      <c r="I23" s="293">
        <v>8</v>
      </c>
      <c r="J23" s="293">
        <f t="shared" si="1"/>
        <v>1161234</v>
      </c>
      <c r="K23" s="294">
        <v>16</v>
      </c>
    </row>
    <row r="24" spans="1:11" x14ac:dyDescent="0.2">
      <c r="A24" s="290">
        <f t="shared" si="2"/>
        <v>2019</v>
      </c>
      <c r="B24" s="290">
        <f t="shared" si="3"/>
        <v>5</v>
      </c>
      <c r="C24" s="291">
        <f t="shared" si="0"/>
        <v>43586</v>
      </c>
      <c r="D24" s="153"/>
      <c r="E24" s="292">
        <v>1020686</v>
      </c>
      <c r="F24" s="293">
        <v>131052</v>
      </c>
      <c r="G24" s="293">
        <v>3344</v>
      </c>
      <c r="H24" s="293">
        <v>7187</v>
      </c>
      <c r="I24" s="293">
        <v>8</v>
      </c>
      <c r="J24" s="293">
        <f t="shared" si="1"/>
        <v>1162277</v>
      </c>
      <c r="K24" s="294">
        <v>16</v>
      </c>
    </row>
    <row r="25" spans="1:11" x14ac:dyDescent="0.2">
      <c r="A25" s="290">
        <f t="shared" si="2"/>
        <v>2019</v>
      </c>
      <c r="B25" s="290">
        <f t="shared" si="3"/>
        <v>6</v>
      </c>
      <c r="C25" s="291">
        <f t="shared" si="0"/>
        <v>43617</v>
      </c>
      <c r="D25" s="153"/>
      <c r="E25" s="292">
        <v>1021433</v>
      </c>
      <c r="F25" s="293">
        <v>131321</v>
      </c>
      <c r="G25" s="293">
        <v>3343</v>
      </c>
      <c r="H25" s="293">
        <v>7207</v>
      </c>
      <c r="I25" s="293">
        <v>8</v>
      </c>
      <c r="J25" s="293">
        <f t="shared" si="1"/>
        <v>1163312</v>
      </c>
      <c r="K25" s="294">
        <v>16</v>
      </c>
    </row>
    <row r="26" spans="1:11" x14ac:dyDescent="0.2">
      <c r="A26" s="290">
        <f t="shared" si="2"/>
        <v>2019</v>
      </c>
      <c r="B26" s="290">
        <f t="shared" si="3"/>
        <v>7</v>
      </c>
      <c r="C26" s="291">
        <f t="shared" si="0"/>
        <v>43647</v>
      </c>
      <c r="D26" s="153"/>
      <c r="E26" s="292">
        <v>1021991</v>
      </c>
      <c r="F26" s="293">
        <v>131597</v>
      </c>
      <c r="G26" s="293">
        <v>3341</v>
      </c>
      <c r="H26" s="293">
        <v>7225</v>
      </c>
      <c r="I26" s="293">
        <v>8</v>
      </c>
      <c r="J26" s="293">
        <f t="shared" si="1"/>
        <v>1164162</v>
      </c>
      <c r="K26" s="294">
        <v>16</v>
      </c>
    </row>
    <row r="27" spans="1:11" x14ac:dyDescent="0.2">
      <c r="A27" s="290">
        <f t="shared" si="2"/>
        <v>2019</v>
      </c>
      <c r="B27" s="290">
        <f t="shared" si="3"/>
        <v>8</v>
      </c>
      <c r="C27" s="291">
        <f t="shared" si="0"/>
        <v>43678</v>
      </c>
      <c r="D27" s="153"/>
      <c r="E27" s="292">
        <v>1022870</v>
      </c>
      <c r="F27" s="293">
        <v>131829</v>
      </c>
      <c r="G27" s="293">
        <v>3339</v>
      </c>
      <c r="H27" s="293">
        <v>7244</v>
      </c>
      <c r="I27" s="293">
        <v>8</v>
      </c>
      <c r="J27" s="293">
        <f t="shared" si="1"/>
        <v>1165290</v>
      </c>
      <c r="K27" s="294">
        <v>16</v>
      </c>
    </row>
    <row r="28" spans="1:11" x14ac:dyDescent="0.2">
      <c r="A28" s="290">
        <f t="shared" si="2"/>
        <v>2019</v>
      </c>
      <c r="B28" s="290">
        <f t="shared" si="3"/>
        <v>9</v>
      </c>
      <c r="C28" s="291">
        <f t="shared" si="0"/>
        <v>43709</v>
      </c>
      <c r="D28" s="153"/>
      <c r="E28" s="292">
        <v>1024028</v>
      </c>
      <c r="F28" s="293">
        <v>131976</v>
      </c>
      <c r="G28" s="293">
        <v>3338</v>
      </c>
      <c r="H28" s="293">
        <v>7261</v>
      </c>
      <c r="I28" s="293">
        <v>8</v>
      </c>
      <c r="J28" s="293">
        <f t="shared" si="1"/>
        <v>1166611</v>
      </c>
      <c r="K28" s="294">
        <v>16</v>
      </c>
    </row>
    <row r="29" spans="1:11" x14ac:dyDescent="0.2">
      <c r="A29" s="137">
        <f t="shared" si="2"/>
        <v>2019</v>
      </c>
      <c r="B29" s="137">
        <f t="shared" si="3"/>
        <v>10</v>
      </c>
      <c r="C29" s="139">
        <f t="shared" si="0"/>
        <v>43739</v>
      </c>
      <c r="D29" s="6"/>
      <c r="E29" s="143">
        <v>1025543</v>
      </c>
      <c r="F29" s="144">
        <v>132124</v>
      </c>
      <c r="G29" s="144">
        <v>3336</v>
      </c>
      <c r="H29" s="144">
        <v>7278</v>
      </c>
      <c r="I29" s="144">
        <v>8</v>
      </c>
      <c r="J29" s="144">
        <f t="shared" si="1"/>
        <v>1168289</v>
      </c>
      <c r="K29" s="145">
        <v>16</v>
      </c>
    </row>
    <row r="30" spans="1:11" x14ac:dyDescent="0.2">
      <c r="A30" s="137">
        <f t="shared" si="2"/>
        <v>2019</v>
      </c>
      <c r="B30" s="137">
        <f t="shared" si="3"/>
        <v>11</v>
      </c>
      <c r="C30" s="139">
        <f t="shared" si="0"/>
        <v>43770</v>
      </c>
      <c r="D30" s="6"/>
      <c r="E30" s="143">
        <v>1026942</v>
      </c>
      <c r="F30" s="144">
        <v>132272</v>
      </c>
      <c r="G30" s="144">
        <v>3334</v>
      </c>
      <c r="H30" s="144">
        <v>7294</v>
      </c>
      <c r="I30" s="144">
        <v>8</v>
      </c>
      <c r="J30" s="144">
        <f t="shared" si="1"/>
        <v>1169850</v>
      </c>
      <c r="K30" s="145">
        <v>16</v>
      </c>
    </row>
    <row r="31" spans="1:11" x14ac:dyDescent="0.2">
      <c r="A31" s="137">
        <f t="shared" si="2"/>
        <v>2019</v>
      </c>
      <c r="B31" s="137">
        <f t="shared" si="3"/>
        <v>12</v>
      </c>
      <c r="C31" s="139">
        <f t="shared" si="0"/>
        <v>43800</v>
      </c>
      <c r="D31" s="6"/>
      <c r="E31" s="143">
        <v>1028067</v>
      </c>
      <c r="F31" s="144">
        <v>132421</v>
      </c>
      <c r="G31" s="144">
        <v>3333</v>
      </c>
      <c r="H31" s="144">
        <v>7309</v>
      </c>
      <c r="I31" s="144">
        <v>8</v>
      </c>
      <c r="J31" s="144">
        <f t="shared" si="1"/>
        <v>1171138</v>
      </c>
      <c r="K31" s="145">
        <v>16</v>
      </c>
    </row>
  </sheetData>
  <mergeCells count="3">
    <mergeCell ref="E4:K4"/>
    <mergeCell ref="A1:K1"/>
    <mergeCell ref="A2:K2"/>
  </mergeCells>
  <printOptions horizontalCentered="1"/>
  <pageMargins left="0.7" right="0.7" top="0.75" bottom="0.75" header="0.3" footer="0.3"/>
  <pageSetup orientation="landscape" r:id="rId1"/>
  <headerFooter>
    <oddHeader>&amp;R2018 Low Income Filing
Advice 2018-xx
Page &amp;P of &amp;N</oddHeader>
    <oddFooter>&amp;L&amp;F
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="90" workbookViewId="0">
      <pane xSplit="3" ySplit="4" topLeftCell="D5" activePane="bottomRight" state="frozen"/>
      <selection activeCell="J7" sqref="J7"/>
      <selection pane="topRight" activeCell="J7" sqref="J7"/>
      <selection pane="bottomLeft" activeCell="J7" sqref="J7"/>
      <selection pane="bottomRight" activeCell="N19" sqref="N19"/>
    </sheetView>
  </sheetViews>
  <sheetFormatPr defaultColWidth="9.140625" defaultRowHeight="12.75" x14ac:dyDescent="0.2"/>
  <cols>
    <col min="1" max="1" width="6.7109375" style="4" customWidth="1"/>
    <col min="2" max="2" width="31.85546875" style="4" customWidth="1"/>
    <col min="3" max="3" width="11.7109375" style="5" bestFit="1" customWidth="1"/>
    <col min="4" max="4" width="16.7109375" style="34" bestFit="1" customWidth="1"/>
    <col min="5" max="5" width="22.42578125" style="34" bestFit="1" customWidth="1"/>
    <col min="6" max="6" width="12.85546875" style="4" bestFit="1" customWidth="1"/>
    <col min="7" max="7" width="16.42578125" style="34" bestFit="1" customWidth="1"/>
    <col min="8" max="8" width="14.42578125" style="4" bestFit="1" customWidth="1"/>
    <col min="9" max="9" width="12.85546875" style="4" bestFit="1" customWidth="1"/>
    <col min="10" max="10" width="9.140625" style="4"/>
    <col min="11" max="11" width="15.140625" style="4" bestFit="1" customWidth="1"/>
    <col min="12" max="12" width="13.28515625" style="4" bestFit="1" customWidth="1"/>
    <col min="13" max="16384" width="9.140625" style="4"/>
  </cols>
  <sheetData>
    <row r="1" spans="1:12" x14ac:dyDescent="0.2">
      <c r="A1" s="37" t="s">
        <v>218</v>
      </c>
      <c r="B1" s="38"/>
      <c r="C1" s="38"/>
      <c r="D1" s="39"/>
      <c r="E1" s="39"/>
      <c r="F1" s="38"/>
      <c r="G1" s="39"/>
      <c r="H1" s="38"/>
      <c r="I1" s="40"/>
    </row>
    <row r="2" spans="1:12" x14ac:dyDescent="0.2">
      <c r="A2" s="41" t="s">
        <v>8</v>
      </c>
      <c r="B2" s="1"/>
      <c r="C2" s="1"/>
      <c r="D2" s="42"/>
      <c r="E2" s="42"/>
      <c r="F2" s="1"/>
      <c r="G2" s="42"/>
      <c r="H2" s="1"/>
      <c r="I2" s="43"/>
    </row>
    <row r="3" spans="1:12" x14ac:dyDescent="0.2">
      <c r="A3" s="44"/>
      <c r="I3" s="45"/>
    </row>
    <row r="4" spans="1:12" s="8" customFormat="1" ht="81" customHeight="1" thickBot="1" x14ac:dyDescent="0.25">
      <c r="A4" s="46" t="s">
        <v>9</v>
      </c>
      <c r="B4" s="47" t="s">
        <v>69</v>
      </c>
      <c r="C4" s="47" t="s">
        <v>0</v>
      </c>
      <c r="D4" s="48" t="s">
        <v>215</v>
      </c>
      <c r="E4" s="48" t="s">
        <v>216</v>
      </c>
      <c r="F4" s="49" t="s">
        <v>219</v>
      </c>
      <c r="G4" s="71" t="s">
        <v>217</v>
      </c>
      <c r="H4" s="49" t="s">
        <v>220</v>
      </c>
      <c r="I4" s="100" t="s">
        <v>115</v>
      </c>
    </row>
    <row r="5" spans="1:12" s="8" customFormat="1" ht="26.25" thickBot="1" x14ac:dyDescent="0.25">
      <c r="A5" s="50"/>
      <c r="D5" s="51" t="s">
        <v>14</v>
      </c>
      <c r="E5" s="51" t="s">
        <v>15</v>
      </c>
      <c r="F5" s="7" t="s">
        <v>173</v>
      </c>
      <c r="G5" s="8" t="s">
        <v>72</v>
      </c>
      <c r="H5" s="51" t="s">
        <v>73</v>
      </c>
      <c r="I5" s="52" t="s">
        <v>74</v>
      </c>
    </row>
    <row r="6" spans="1:12" x14ac:dyDescent="0.2">
      <c r="A6" s="53"/>
      <c r="B6" s="56"/>
      <c r="C6" s="54"/>
      <c r="D6" s="55"/>
      <c r="E6" s="55"/>
      <c r="F6" s="56"/>
      <c r="G6" s="55"/>
      <c r="H6" s="56"/>
      <c r="I6" s="57"/>
    </row>
    <row r="7" spans="1:12" x14ac:dyDescent="0.2">
      <c r="A7" s="134">
        <v>1</v>
      </c>
      <c r="B7" s="97" t="s">
        <v>1</v>
      </c>
      <c r="C7" s="5">
        <v>7</v>
      </c>
      <c r="D7" s="67">
        <v>10274594000</v>
      </c>
      <c r="E7" s="68">
        <v>1117359000</v>
      </c>
      <c r="F7" s="112">
        <v>9.3697145765368327E-4</v>
      </c>
      <c r="G7" s="35">
        <v>1126986001.3169799</v>
      </c>
      <c r="H7" s="35">
        <v>9627001.3169797882</v>
      </c>
      <c r="I7" s="59">
        <v>8.6158533801399453E-3</v>
      </c>
      <c r="K7" s="337"/>
      <c r="L7" s="72"/>
    </row>
    <row r="8" spans="1:12" x14ac:dyDescent="0.2">
      <c r="A8" s="134">
        <v>2</v>
      </c>
      <c r="B8" s="97"/>
      <c r="D8" s="67"/>
      <c r="E8" s="68"/>
      <c r="F8" s="112"/>
      <c r="G8" s="35"/>
      <c r="H8" s="35"/>
      <c r="I8" s="59"/>
      <c r="K8" s="337"/>
    </row>
    <row r="9" spans="1:12" x14ac:dyDescent="0.2">
      <c r="A9" s="295">
        <v>3</v>
      </c>
      <c r="B9" s="132" t="s">
        <v>49</v>
      </c>
      <c r="C9" s="5" t="s">
        <v>135</v>
      </c>
      <c r="D9" s="67">
        <v>3043338000</v>
      </c>
      <c r="E9" s="68">
        <v>301975000</v>
      </c>
      <c r="F9" s="112">
        <v>8.5490744848839011E-4</v>
      </c>
      <c r="G9" s="35">
        <v>302001017.72324467</v>
      </c>
      <c r="H9" s="35">
        <v>2601772.32446776</v>
      </c>
      <c r="I9" s="59">
        <v>8.6158533801399453E-3</v>
      </c>
      <c r="K9" s="337"/>
    </row>
    <row r="10" spans="1:12" x14ac:dyDescent="0.2">
      <c r="A10" s="295">
        <v>4</v>
      </c>
      <c r="B10" s="132" t="s">
        <v>50</v>
      </c>
      <c r="C10" s="5" t="s">
        <v>136</v>
      </c>
      <c r="D10" s="67">
        <v>3206200000</v>
      </c>
      <c r="E10" s="68">
        <v>295640000</v>
      </c>
      <c r="F10" s="112">
        <v>7.9445789199194476E-4</v>
      </c>
      <c r="G10" s="35">
        <v>295665471.90893304</v>
      </c>
      <c r="H10" s="35">
        <v>2547190.8933045734</v>
      </c>
      <c r="I10" s="59">
        <v>8.6158533801399453E-3</v>
      </c>
      <c r="K10" s="337"/>
    </row>
    <row r="11" spans="1:12" x14ac:dyDescent="0.2">
      <c r="A11" s="295">
        <v>5</v>
      </c>
      <c r="B11" s="132" t="s">
        <v>51</v>
      </c>
      <c r="C11" s="5" t="s">
        <v>137</v>
      </c>
      <c r="D11" s="67">
        <v>1993202000</v>
      </c>
      <c r="E11" s="68">
        <v>163544000</v>
      </c>
      <c r="F11" s="112">
        <v>7.069384463800493E-4</v>
      </c>
      <c r="G11" s="35">
        <v>163558090.711252</v>
      </c>
      <c r="H11" s="35">
        <v>1409071.1252016071</v>
      </c>
      <c r="I11" s="59">
        <v>8.6158533801399453E-3</v>
      </c>
      <c r="K11" s="337"/>
    </row>
    <row r="12" spans="1:12" x14ac:dyDescent="0.2">
      <c r="A12" s="134">
        <v>6</v>
      </c>
      <c r="B12" s="133" t="s">
        <v>52</v>
      </c>
      <c r="C12" s="5">
        <v>29</v>
      </c>
      <c r="D12" s="67">
        <v>15635000</v>
      </c>
      <c r="E12" s="68">
        <v>1292000</v>
      </c>
      <c r="F12" s="112">
        <v>7.1197202220280205E-4</v>
      </c>
      <c r="G12" s="35">
        <v>1292111.3168256714</v>
      </c>
      <c r="H12" s="35">
        <v>11131.68256714081</v>
      </c>
      <c r="I12" s="59">
        <v>8.6158533801399453E-3</v>
      </c>
      <c r="K12" s="337"/>
    </row>
    <row r="13" spans="1:12" x14ac:dyDescent="0.2">
      <c r="A13" s="134">
        <v>7</v>
      </c>
      <c r="B13" s="97"/>
      <c r="D13" s="67"/>
      <c r="E13" s="68"/>
      <c r="F13" s="112"/>
      <c r="G13" s="35"/>
      <c r="H13" s="35"/>
      <c r="I13" s="59"/>
      <c r="K13" s="337"/>
    </row>
    <row r="14" spans="1:12" x14ac:dyDescent="0.2">
      <c r="A14" s="134">
        <v>8</v>
      </c>
      <c r="B14" s="97" t="s">
        <v>53</v>
      </c>
      <c r="D14" s="67">
        <v>8258375000</v>
      </c>
      <c r="E14" s="68">
        <v>762451000</v>
      </c>
      <c r="F14" s="112">
        <v>7.9545504116016537E-4</v>
      </c>
      <c r="G14" s="35">
        <v>762516691.66025531</v>
      </c>
      <c r="H14" s="35">
        <v>6569166.0255410811</v>
      </c>
      <c r="I14" s="59">
        <v>8.6158533801399453E-3</v>
      </c>
      <c r="K14" s="337"/>
    </row>
    <row r="15" spans="1:12" x14ac:dyDescent="0.2">
      <c r="A15" s="134">
        <v>9</v>
      </c>
      <c r="B15" s="97"/>
      <c r="D15" s="67"/>
      <c r="E15" s="68"/>
      <c r="F15" s="112"/>
      <c r="G15" s="35"/>
      <c r="H15" s="35"/>
      <c r="I15" s="59"/>
      <c r="K15" s="337"/>
    </row>
    <row r="16" spans="1:12" x14ac:dyDescent="0.2">
      <c r="A16" s="295">
        <v>10</v>
      </c>
      <c r="B16" s="132" t="s">
        <v>54</v>
      </c>
      <c r="C16" s="5" t="s">
        <v>139</v>
      </c>
      <c r="D16" s="67">
        <v>1348358000</v>
      </c>
      <c r="E16" s="68">
        <v>108916000</v>
      </c>
      <c r="F16" s="112">
        <v>6.9596078100276216E-4</v>
      </c>
      <c r="G16" s="35">
        <v>108925384.04286751</v>
      </c>
      <c r="H16" s="35">
        <v>938404.28675132233</v>
      </c>
      <c r="I16" s="59">
        <v>8.6158533801399453E-3</v>
      </c>
      <c r="K16" s="337"/>
    </row>
    <row r="17" spans="1:11" x14ac:dyDescent="0.2">
      <c r="A17" s="134">
        <v>11</v>
      </c>
      <c r="B17" s="133" t="s">
        <v>55</v>
      </c>
      <c r="C17" s="5">
        <v>35</v>
      </c>
      <c r="D17" s="67">
        <v>5346000</v>
      </c>
      <c r="E17" s="68">
        <v>288000</v>
      </c>
      <c r="F17" s="112">
        <v>4.6415371744861655E-4</v>
      </c>
      <c r="G17" s="35">
        <v>288024.81365773478</v>
      </c>
      <c r="H17" s="35">
        <v>2481.3657734803041</v>
      </c>
      <c r="I17" s="59">
        <v>8.6158533801399453E-3</v>
      </c>
      <c r="K17" s="337"/>
    </row>
    <row r="18" spans="1:11" x14ac:dyDescent="0.2">
      <c r="A18" s="134">
        <v>12</v>
      </c>
      <c r="B18" s="133" t="s">
        <v>56</v>
      </c>
      <c r="C18" s="5">
        <v>43</v>
      </c>
      <c r="D18" s="67">
        <v>121622000</v>
      </c>
      <c r="E18" s="68">
        <v>10873000</v>
      </c>
      <c r="F18" s="112">
        <v>7.7025681046407409E-4</v>
      </c>
      <c r="G18" s="35">
        <v>10873936.801738022</v>
      </c>
      <c r="H18" s="35">
        <v>93680.173802261619</v>
      </c>
      <c r="I18" s="59">
        <v>8.6158533801399453E-3</v>
      </c>
      <c r="K18" s="337"/>
    </row>
    <row r="19" spans="1:11" x14ac:dyDescent="0.2">
      <c r="A19" s="295">
        <v>13</v>
      </c>
      <c r="B19" s="132"/>
      <c r="D19" s="67"/>
      <c r="E19" s="68"/>
      <c r="F19" s="112"/>
      <c r="G19" s="35"/>
      <c r="H19" s="35"/>
      <c r="I19" s="59"/>
      <c r="K19" s="337"/>
    </row>
    <row r="20" spans="1:11" x14ac:dyDescent="0.2">
      <c r="A20" s="295">
        <v>14</v>
      </c>
      <c r="B20" s="73" t="s">
        <v>57</v>
      </c>
      <c r="D20" s="67">
        <v>1475326000</v>
      </c>
      <c r="E20" s="68">
        <v>120077000</v>
      </c>
      <c r="F20" s="112">
        <v>7.0124557306457298E-4</v>
      </c>
      <c r="G20" s="35">
        <v>120087345.65826327</v>
      </c>
      <c r="H20" s="35">
        <v>1034565.8263270642</v>
      </c>
      <c r="I20" s="59">
        <v>8.6158533801399453E-3</v>
      </c>
      <c r="K20" s="337"/>
    </row>
    <row r="21" spans="1:11" x14ac:dyDescent="0.2">
      <c r="A21" s="295">
        <v>15</v>
      </c>
      <c r="B21" s="73"/>
      <c r="D21" s="67"/>
      <c r="E21" s="68"/>
      <c r="F21" s="112"/>
      <c r="G21" s="35"/>
      <c r="H21" s="35"/>
      <c r="I21" s="59"/>
      <c r="K21" s="337"/>
    </row>
    <row r="22" spans="1:11" x14ac:dyDescent="0.2">
      <c r="A22" s="295">
        <v>16</v>
      </c>
      <c r="B22" s="73" t="s">
        <v>77</v>
      </c>
      <c r="C22" s="5">
        <v>40</v>
      </c>
      <c r="D22" s="67">
        <v>667128000</v>
      </c>
      <c r="E22" s="68">
        <v>51911000</v>
      </c>
      <c r="F22" s="112">
        <v>6.7042241491354693E-4</v>
      </c>
      <c r="G22" s="35">
        <v>51915472.575648166</v>
      </c>
      <c r="H22" s="35">
        <v>447257.56481644476</v>
      </c>
      <c r="I22" s="59">
        <v>8.615853380139947E-3</v>
      </c>
      <c r="K22" s="337"/>
    </row>
    <row r="23" spans="1:11" x14ac:dyDescent="0.2">
      <c r="A23" s="134">
        <v>17</v>
      </c>
      <c r="B23" s="97"/>
      <c r="D23" s="67"/>
      <c r="E23" s="68"/>
      <c r="F23" s="112"/>
      <c r="G23" s="35"/>
      <c r="H23" s="35"/>
      <c r="I23" s="59"/>
      <c r="K23" s="337"/>
    </row>
    <row r="24" spans="1:11" x14ac:dyDescent="0.2">
      <c r="A24" s="295">
        <v>18</v>
      </c>
      <c r="B24" s="73" t="s">
        <v>59</v>
      </c>
      <c r="C24" s="5">
        <v>46</v>
      </c>
      <c r="D24" s="67">
        <v>68729000</v>
      </c>
      <c r="E24" s="68">
        <v>4767000</v>
      </c>
      <c r="F24" s="112">
        <v>5.9759014481699309E-4</v>
      </c>
      <c r="G24" s="35">
        <v>4767410.7177306311</v>
      </c>
      <c r="H24" s="35">
        <v>41071.773063127119</v>
      </c>
      <c r="I24" s="59">
        <v>8.6158533801399453E-3</v>
      </c>
      <c r="K24" s="337"/>
    </row>
    <row r="25" spans="1:11" x14ac:dyDescent="0.2">
      <c r="A25" s="134">
        <v>19</v>
      </c>
      <c r="B25" s="133" t="s">
        <v>60</v>
      </c>
      <c r="C25" s="5">
        <v>49</v>
      </c>
      <c r="D25" s="67">
        <v>625464000</v>
      </c>
      <c r="E25" s="68">
        <v>41843000</v>
      </c>
      <c r="F25" s="112">
        <v>5.7639313051621797E-4</v>
      </c>
      <c r="G25" s="35">
        <v>41846605.131529853</v>
      </c>
      <c r="H25" s="35">
        <v>360513.15298519575</v>
      </c>
      <c r="I25" s="59">
        <v>8.6158533801399453E-3</v>
      </c>
      <c r="K25" s="337"/>
    </row>
    <row r="26" spans="1:11" x14ac:dyDescent="0.2">
      <c r="A26" s="295">
        <v>20</v>
      </c>
      <c r="B26" s="132"/>
      <c r="D26" s="67"/>
      <c r="E26" s="68"/>
      <c r="F26" s="112"/>
      <c r="G26" s="35"/>
      <c r="H26" s="35"/>
      <c r="I26" s="59"/>
      <c r="K26" s="337"/>
    </row>
    <row r="27" spans="1:11" x14ac:dyDescent="0.2">
      <c r="A27" s="295">
        <v>21</v>
      </c>
      <c r="B27" s="132" t="s">
        <v>61</v>
      </c>
      <c r="D27" s="67">
        <v>694193000</v>
      </c>
      <c r="E27" s="68">
        <v>46610000</v>
      </c>
      <c r="F27" s="112">
        <v>5.7849175380380224E-4</v>
      </c>
      <c r="G27" s="35">
        <v>46614015.849260487</v>
      </c>
      <c r="H27" s="35">
        <v>401584.92604832287</v>
      </c>
      <c r="I27" s="59">
        <v>8.6158533801399453E-3</v>
      </c>
      <c r="K27" s="337"/>
    </row>
    <row r="28" spans="1:11" x14ac:dyDescent="0.2">
      <c r="A28" s="134">
        <v>22</v>
      </c>
      <c r="B28" s="97"/>
      <c r="D28" s="67"/>
      <c r="E28" s="68"/>
      <c r="F28" s="112"/>
      <c r="G28" s="35"/>
      <c r="H28" s="35"/>
      <c r="I28" s="59"/>
      <c r="K28" s="337"/>
    </row>
    <row r="29" spans="1:11" x14ac:dyDescent="0.2">
      <c r="A29" s="134">
        <v>23</v>
      </c>
      <c r="B29" s="97" t="s">
        <v>62</v>
      </c>
      <c r="C29" s="5" t="s">
        <v>138</v>
      </c>
      <c r="D29" s="67">
        <v>72060000</v>
      </c>
      <c r="E29" s="68">
        <v>18139000</v>
      </c>
      <c r="F29" s="112">
        <v>2.1687894041404173E-3</v>
      </c>
      <c r="G29" s="34">
        <v>18140562.829644624</v>
      </c>
      <c r="H29" s="35">
        <v>156282.96446235848</v>
      </c>
      <c r="I29" s="59">
        <v>8.6158533801399453E-3</v>
      </c>
      <c r="K29" s="337"/>
    </row>
    <row r="30" spans="1:11" x14ac:dyDescent="0.2">
      <c r="A30" s="134">
        <v>24</v>
      </c>
      <c r="B30" s="97"/>
      <c r="D30" s="67"/>
      <c r="E30" s="68"/>
      <c r="F30" s="112"/>
      <c r="G30" s="35"/>
      <c r="H30" s="35"/>
      <c r="I30" s="59"/>
      <c r="K30" s="337"/>
    </row>
    <row r="31" spans="1:11" x14ac:dyDescent="0.2">
      <c r="A31" s="134">
        <v>25</v>
      </c>
      <c r="B31" s="97" t="s">
        <v>110</v>
      </c>
      <c r="C31" s="5" t="s">
        <v>140</v>
      </c>
      <c r="D31" s="67">
        <v>2022739000</v>
      </c>
      <c r="E31" s="68">
        <v>7653000</v>
      </c>
      <c r="F31" s="112">
        <v>3.2597940672628062E-5</v>
      </c>
      <c r="G31" s="35">
        <v>7653659.3712591818</v>
      </c>
      <c r="H31" s="35">
        <v>65937.125918211008</v>
      </c>
      <c r="I31" s="59">
        <v>8.615853380139947E-3</v>
      </c>
      <c r="K31" s="337"/>
    </row>
    <row r="32" spans="1:11" x14ac:dyDescent="0.2">
      <c r="A32" s="134">
        <v>26</v>
      </c>
      <c r="B32" s="97"/>
      <c r="D32" s="67"/>
      <c r="E32" s="68"/>
      <c r="F32" s="112"/>
      <c r="G32" s="35"/>
      <c r="H32" s="35"/>
      <c r="I32" s="45"/>
      <c r="K32" s="337"/>
    </row>
    <row r="33" spans="1:11" x14ac:dyDescent="0.2">
      <c r="A33" s="295">
        <v>27</v>
      </c>
      <c r="B33" s="73" t="s">
        <v>63</v>
      </c>
      <c r="D33" s="67">
        <v>23464415000</v>
      </c>
      <c r="E33" s="68">
        <v>2124200000</v>
      </c>
      <c r="F33" s="112">
        <v>7.7998090939378933E-4</v>
      </c>
      <c r="G33" s="35">
        <v>2133913749.2613111</v>
      </c>
      <c r="H33" s="35">
        <v>18301795.75009327</v>
      </c>
      <c r="I33" s="59">
        <v>8.6158533801399453E-3</v>
      </c>
      <c r="K33" s="337"/>
    </row>
    <row r="34" spans="1:11" ht="13.5" thickBot="1" x14ac:dyDescent="0.25">
      <c r="A34" s="135">
        <v>28</v>
      </c>
      <c r="B34" s="3"/>
      <c r="C34" s="60"/>
      <c r="D34" s="69"/>
      <c r="E34" s="69"/>
      <c r="F34" s="3"/>
      <c r="G34" s="61"/>
      <c r="H34" s="62"/>
      <c r="I34" s="63"/>
      <c r="K34" s="338"/>
    </row>
    <row r="35" spans="1:11" x14ac:dyDescent="0.2">
      <c r="A35" s="5">
        <v>29</v>
      </c>
      <c r="D35" s="67"/>
      <c r="E35" s="67"/>
    </row>
    <row r="36" spans="1:11" x14ac:dyDescent="0.2">
      <c r="A36" s="5">
        <v>30</v>
      </c>
      <c r="B36" s="4" t="s">
        <v>64</v>
      </c>
      <c r="D36" s="67">
        <v>6996000</v>
      </c>
      <c r="E36" s="68">
        <v>295000</v>
      </c>
    </row>
    <row r="37" spans="1:11" x14ac:dyDescent="0.2">
      <c r="A37" s="5">
        <v>31</v>
      </c>
      <c r="D37" s="67"/>
      <c r="E37" s="68"/>
      <c r="H37" s="72"/>
    </row>
    <row r="38" spans="1:11" x14ac:dyDescent="0.2">
      <c r="A38" s="5">
        <v>32</v>
      </c>
      <c r="B38" s="4" t="s">
        <v>65</v>
      </c>
      <c r="D38" s="67">
        <v>23471411000</v>
      </c>
      <c r="E38" s="68">
        <v>2124495000</v>
      </c>
    </row>
    <row r="39" spans="1:11" x14ac:dyDescent="0.2">
      <c r="A39" s="5">
        <v>33</v>
      </c>
      <c r="D39" s="67"/>
      <c r="E39" s="68"/>
    </row>
    <row r="40" spans="1:11" x14ac:dyDescent="0.2">
      <c r="A40" s="5">
        <v>34</v>
      </c>
      <c r="B40" s="4" t="s">
        <v>66</v>
      </c>
      <c r="D40" s="67">
        <v>23471411000</v>
      </c>
      <c r="E40" s="68">
        <v>2124495000</v>
      </c>
    </row>
    <row r="41" spans="1:11" x14ac:dyDescent="0.2">
      <c r="A41" s="5">
        <v>35</v>
      </c>
      <c r="D41" s="67"/>
      <c r="E41" s="68"/>
    </row>
    <row r="42" spans="1:11" x14ac:dyDescent="0.2">
      <c r="A42" s="5">
        <v>36</v>
      </c>
      <c r="B42" s="4" t="s">
        <v>67</v>
      </c>
      <c r="D42" s="67">
        <v>0</v>
      </c>
      <c r="E42" s="68">
        <v>0</v>
      </c>
    </row>
    <row r="43" spans="1:11" x14ac:dyDescent="0.2">
      <c r="A43" s="5">
        <v>37</v>
      </c>
      <c r="D43" s="67"/>
      <c r="E43" s="67"/>
    </row>
    <row r="44" spans="1:11" x14ac:dyDescent="0.2">
      <c r="A44" s="5">
        <v>38</v>
      </c>
      <c r="B44" s="4" t="s">
        <v>75</v>
      </c>
      <c r="D44" s="67"/>
      <c r="E44" s="68">
        <v>18301795.75009327</v>
      </c>
      <c r="F44" s="64"/>
    </row>
    <row r="45" spans="1:11" x14ac:dyDescent="0.2">
      <c r="A45" s="5">
        <v>39</v>
      </c>
      <c r="D45" s="67"/>
      <c r="E45" s="67"/>
    </row>
    <row r="46" spans="1:11" x14ac:dyDescent="0.2">
      <c r="A46" s="296">
        <v>40</v>
      </c>
      <c r="B46" s="73" t="s">
        <v>87</v>
      </c>
      <c r="D46" s="67"/>
      <c r="E46" s="70">
        <v>8.6158533801399453E-3</v>
      </c>
      <c r="F46" s="4" t="s">
        <v>76</v>
      </c>
    </row>
    <row r="47" spans="1:11" x14ac:dyDescent="0.2">
      <c r="D47" s="67"/>
      <c r="E47" s="67"/>
    </row>
    <row r="48" spans="1:11" x14ac:dyDescent="0.2">
      <c r="D48" s="67"/>
      <c r="E48" s="67"/>
    </row>
    <row r="49" spans="1:9" ht="40.9" customHeight="1" x14ac:dyDescent="0.2">
      <c r="A49" s="365" t="s">
        <v>174</v>
      </c>
      <c r="B49" s="365"/>
      <c r="C49" s="365"/>
      <c r="D49" s="365"/>
      <c r="E49" s="365"/>
      <c r="F49" s="365"/>
      <c r="G49" s="365"/>
      <c r="H49" s="365"/>
      <c r="I49" s="365"/>
    </row>
    <row r="50" spans="1:9" s="101" customFormat="1" ht="33" customHeight="1" x14ac:dyDescent="0.2">
      <c r="A50" s="342"/>
      <c r="B50" s="342"/>
      <c r="C50" s="342"/>
      <c r="D50" s="342"/>
      <c r="E50" s="342"/>
      <c r="F50" s="342"/>
      <c r="G50" s="342"/>
      <c r="H50" s="342"/>
      <c r="I50" s="342"/>
    </row>
    <row r="51" spans="1:9" x14ac:dyDescent="0.2">
      <c r="D51" s="67"/>
      <c r="E51" s="67"/>
    </row>
  </sheetData>
  <mergeCells count="2">
    <mergeCell ref="A50:I50"/>
    <mergeCell ref="A49:I49"/>
  </mergeCells>
  <printOptions horizontalCentered="1"/>
  <pageMargins left="0.7" right="0.7" top="0.75" bottom="0.75" header="0.3" footer="0.3"/>
  <pageSetup scale="68" orientation="landscape" r:id="rId1"/>
  <headerFooter alignWithMargins="0">
    <oddHeader>&amp;R2018 Low Income Filing
Advice 2018-xx
Page &amp;P of &amp;N</oddHeader>
    <oddFooter>&amp;L&amp;F
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BFB54567FB0E48A78C0E33C9E9E710" ma:contentTypeVersion="76" ma:contentTypeDescription="" ma:contentTypeScope="" ma:versionID="2c287f5b2d8063116ed3324ceaef1be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2018-08-31T07:00:00+00:00</OpenedDate>
    <SignificantOrder xmlns="dc463f71-b30c-4ab2-9473-d307f9d35888">false</SignificantOrder>
    <Date1 xmlns="dc463f71-b30c-4ab2-9473-d307f9d35888">2018-08-31T07:00:00+00:00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180739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C63DAFC-05C6-4DAE-95C9-07A02A230654}"/>
</file>

<file path=customXml/itemProps2.xml><?xml version="1.0" encoding="utf-8"?>
<ds:datastoreItem xmlns:ds="http://schemas.openxmlformats.org/officeDocument/2006/customXml" ds:itemID="{CB197113-D100-4798-A178-90EAC8E18F35}"/>
</file>

<file path=customXml/itemProps3.xml><?xml version="1.0" encoding="utf-8"?>
<ds:datastoreItem xmlns:ds="http://schemas.openxmlformats.org/officeDocument/2006/customXml" ds:itemID="{B9F2BA81-4677-4128-B5AF-95608E01EE3B}"/>
</file>

<file path=customXml/itemProps4.xml><?xml version="1.0" encoding="utf-8"?>
<ds:datastoreItem xmlns:ds="http://schemas.openxmlformats.org/officeDocument/2006/customXml" ds:itemID="{B66505F0-1CE6-4E75-9517-D151D13397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2018 Proposed Impacts</vt:lpstr>
      <vt:lpstr>2018 Equal % Allocation</vt:lpstr>
      <vt:lpstr>2018 Street &amp; Area Lighting</vt:lpstr>
      <vt:lpstr>Typ Res Tot Elec</vt:lpstr>
      <vt:lpstr>Estimated Proforma Base Revenue</vt:lpstr>
      <vt:lpstr>F2018 Sch Level Delivered Load</vt:lpstr>
      <vt:lpstr>F2018 Electric Load</vt:lpstr>
      <vt:lpstr>F2018 Forecast Cust</vt:lpstr>
      <vt:lpstr>2017 Equal % Allocation </vt:lpstr>
      <vt:lpstr>Revenue Requirements 2017-2018</vt:lpstr>
      <vt:lpstr>'2017 Equal % Allocation '!Print_Area</vt:lpstr>
      <vt:lpstr>'2018 Equal % Allocation'!Print_Area</vt:lpstr>
      <vt:lpstr>'2018 Proposed Impacts'!Print_Area</vt:lpstr>
      <vt:lpstr>'2018 Street &amp; Area Lighting'!Print_Area</vt:lpstr>
      <vt:lpstr>'Estimated Proforma Base Revenue'!Print_Area</vt:lpstr>
      <vt:lpstr>'Revenue Requirements 2017-2018'!Print_Area</vt:lpstr>
      <vt:lpstr>'Typ Res Tot Elec'!Print_Area</vt:lpstr>
      <vt:lpstr>'2018 Street &amp; Area Lighting'!Print_Titles</vt:lpstr>
      <vt:lpstr>'F2018 Sch Level Delivered Load'!Print_Titles</vt:lpstr>
    </vt:vector>
  </TitlesOfParts>
  <Company>Regulatory Assistance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Lazar</dc:creator>
  <cp:lastModifiedBy>Puget Sound Energy</cp:lastModifiedBy>
  <cp:lastPrinted>2018-08-31T20:20:47Z</cp:lastPrinted>
  <dcterms:created xsi:type="dcterms:W3CDTF">2006-08-15T18:29:06Z</dcterms:created>
  <dcterms:modified xsi:type="dcterms:W3CDTF">2018-08-31T21:57:17Z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0x0101006E56B4D1795A2E4DB2F0B01679ED314A00DCBFB54567FB0E48A78C0E33C9E9E710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