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4265" windowHeight="7725" activeTab="1"/>
  </bookViews>
  <sheets>
    <sheet name="Instructions" sheetId="1" r:id="rId1"/>
    <sheet name="Pro forma Lewis County" sheetId="2" r:id="rId2"/>
    <sheet name="LG Recycl" sheetId="3" r:id="rId3"/>
    <sheet name="Rate Schedule" sheetId="4" r:id="rId4"/>
    <sheet name="Price-out" sheetId="5" r:id="rId5"/>
  </sheets>
  <externalReferences>
    <externalReference r:id="rId8"/>
  </externalReferences>
  <definedNames>
    <definedName name="_xlnm.Print_Area" localSheetId="2">'LG Recycl'!$A$1:$K$37</definedName>
    <definedName name="_xlnm.Print_Area" localSheetId="4">'Price-out'!$A$1:$R$162</definedName>
    <definedName name="_xlnm.Print_Area" localSheetId="1">'Pro forma Lewis County'!$A$1:$Z$136</definedName>
    <definedName name="_xlnm.Print_Titles" localSheetId="4">'Price-out'!$1:$6</definedName>
    <definedName name="_xlnm.Print_Titles" localSheetId="1">'Pro forma Lewis County'!$1:$8</definedName>
    <definedName name="_xlnm.Print_Titles" localSheetId="3">'Rate Schedule'!$1:$6</definedName>
  </definedNames>
  <calcPr calcMode="manual" fullCalcOnLoad="1" iterate="1" iterateCount="100" iterateDelta="0"/>
</workbook>
</file>

<file path=xl/sharedStrings.xml><?xml version="1.0" encoding="utf-8"?>
<sst xmlns="http://schemas.openxmlformats.org/spreadsheetml/2006/main" count="759" uniqueCount="492">
  <si>
    <t>Proforma at</t>
  </si>
  <si>
    <t>Present Rates</t>
  </si>
  <si>
    <t>Regulated</t>
  </si>
  <si>
    <t>Harold Lemay Enterprises, Inc.</t>
  </si>
  <si>
    <t xml:space="preserve">dba City Sanitary Co., Joe's Refuse and White Pass Garbage  </t>
  </si>
  <si>
    <t>12 Months ended 12-31-09</t>
  </si>
  <si>
    <t>Description:</t>
  </si>
  <si>
    <t>Revenue:</t>
  </si>
  <si>
    <t>Residential Cans</t>
  </si>
  <si>
    <t>Recycling</t>
  </si>
  <si>
    <t>Yard Waste</t>
  </si>
  <si>
    <t>Commercial Cans</t>
  </si>
  <si>
    <t>Special Container Serv</t>
  </si>
  <si>
    <t>Drop Boxes</t>
  </si>
  <si>
    <t>Pass Through</t>
  </si>
  <si>
    <t>Multi-Family Recycling</t>
  </si>
  <si>
    <t>Recycling Material</t>
  </si>
  <si>
    <t>Recycling Credits</t>
  </si>
  <si>
    <t>Commerical Recycling</t>
  </si>
  <si>
    <t>Transfer Station</t>
  </si>
  <si>
    <t>Service Charges</t>
  </si>
  <si>
    <t>Total Revenue</t>
  </si>
  <si>
    <t>Expenses:</t>
  </si>
  <si>
    <t>Repair-Shop, Bldg</t>
  </si>
  <si>
    <t>Wages-Mechanic</t>
  </si>
  <si>
    <t>Contract Labor</t>
  </si>
  <si>
    <t>Parts &amp; Material</t>
  </si>
  <si>
    <t>Outside Repair</t>
  </si>
  <si>
    <t>Accident Repair</t>
  </si>
  <si>
    <t>Tires-Tubes</t>
  </si>
  <si>
    <t>Other Maintenance</t>
  </si>
  <si>
    <t>Wages-Supervisor</t>
  </si>
  <si>
    <t>Wages-Driver</t>
  </si>
  <si>
    <t>Wages-Baling</t>
  </si>
  <si>
    <t>Fuel &amp; Oil</t>
  </si>
  <si>
    <t>Leased Equipment</t>
  </si>
  <si>
    <t>Other Collection Expense</t>
  </si>
  <si>
    <t>Dump Fee &amp; Charges</t>
  </si>
  <si>
    <t>Pass Thru</t>
  </si>
  <si>
    <t>DF- Yard Waste</t>
  </si>
  <si>
    <t>DF- Demo</t>
  </si>
  <si>
    <t>Brokerage/Rebate</t>
  </si>
  <si>
    <t>Processing Fee</t>
  </si>
  <si>
    <t>County Fee</t>
  </si>
  <si>
    <t>WUTC Fee</t>
  </si>
  <si>
    <t>Advertising</t>
  </si>
  <si>
    <t>Public Liability</t>
  </si>
  <si>
    <t>Workmen's Comp</t>
  </si>
  <si>
    <t>Salaries - Office</t>
  </si>
  <si>
    <t>Other Sales Exp</t>
  </si>
  <si>
    <t>Management Fee</t>
  </si>
  <si>
    <t>Office &amp; Other Expense</t>
  </si>
  <si>
    <t>Legal &amp; Accounting</t>
  </si>
  <si>
    <t>Communication Phone</t>
  </si>
  <si>
    <t>Employee Welfare</t>
  </si>
  <si>
    <t>Pension</t>
  </si>
  <si>
    <t>Union Medical</t>
  </si>
  <si>
    <t>Union Pension</t>
  </si>
  <si>
    <t>Bad Debts</t>
  </si>
  <si>
    <t>Other General Expense</t>
  </si>
  <si>
    <t>Utilities</t>
  </si>
  <si>
    <t>Depr-Collection Equipment</t>
  </si>
  <si>
    <t>Depr-Collection Cont/DB</t>
  </si>
  <si>
    <t>Depr-Service Equipment</t>
  </si>
  <si>
    <t>Depr-Shop Equipment</t>
  </si>
  <si>
    <t>Depr-Office Equipment</t>
  </si>
  <si>
    <t>Depr-Bldg, Leasehold Impr</t>
  </si>
  <si>
    <t>Depr-Bldg Structure</t>
  </si>
  <si>
    <t>Operating Tax &amp; License</t>
  </si>
  <si>
    <t>State Excise Tax</t>
  </si>
  <si>
    <t>Vehicle License</t>
  </si>
  <si>
    <t>Property Tax</t>
  </si>
  <si>
    <t>Payroll Taxes</t>
  </si>
  <si>
    <t>Rent Land &amp; Structures</t>
  </si>
  <si>
    <t>Container Repair</t>
  </si>
  <si>
    <t>Total Expenses</t>
  </si>
  <si>
    <t>Net Operating Income</t>
  </si>
  <si>
    <t>Operating Ratio</t>
  </si>
  <si>
    <t>Net Average Investment</t>
  </si>
  <si>
    <t>Thurston County</t>
  </si>
  <si>
    <t>Lewis County</t>
  </si>
  <si>
    <t xml:space="preserve">City Sanitry, Joe's Refuse, White Pass Garbage </t>
  </si>
  <si>
    <t>Lewis</t>
  </si>
  <si>
    <t>Joe's</t>
  </si>
  <si>
    <t>Total</t>
  </si>
  <si>
    <t>Customers:</t>
  </si>
  <si>
    <t xml:space="preserve"> </t>
  </si>
  <si>
    <t>Residential</t>
  </si>
  <si>
    <t>Commercial cans</t>
  </si>
  <si>
    <t>Commercial Cont</t>
  </si>
  <si>
    <t>Drop Box</t>
  </si>
  <si>
    <t>MF Recycling</t>
  </si>
  <si>
    <t>OK</t>
  </si>
  <si>
    <t>Route Study</t>
  </si>
  <si>
    <t>Route Hrs</t>
  </si>
  <si>
    <t>Residential/Comm</t>
  </si>
  <si>
    <t>Roll-off</t>
  </si>
  <si>
    <t>Total Hours</t>
  </si>
  <si>
    <t xml:space="preserve">Packer </t>
  </si>
  <si>
    <t xml:space="preserve">Yard </t>
  </si>
  <si>
    <t>Routes</t>
  </si>
  <si>
    <t xml:space="preserve"> Waste</t>
  </si>
  <si>
    <t>Billing</t>
  </si>
  <si>
    <t>Rt Hrs</t>
  </si>
  <si>
    <t>Actual</t>
  </si>
  <si>
    <t>R-Tons</t>
  </si>
  <si>
    <t>Revenue</t>
  </si>
  <si>
    <t>Customers</t>
  </si>
  <si>
    <t>Unit Count</t>
  </si>
  <si>
    <t>Unit Cnt</t>
  </si>
  <si>
    <t>Proforma</t>
  </si>
  <si>
    <t>Adjustments</t>
  </si>
  <si>
    <t>R Tons</t>
  </si>
  <si>
    <t xml:space="preserve">  </t>
  </si>
  <si>
    <t>Lewis County Regulated less Thurston below 142nd Ave</t>
  </si>
  <si>
    <t>!??!</t>
  </si>
  <si>
    <t>OP/RATIO</t>
  </si>
  <si>
    <t xml:space="preserve">      curve</t>
  </si>
  <si>
    <t xml:space="preserve">NEW IMPROVED LURITO - GALLAGHER FORMULA - Designated RSA-1, Except RSA-1, </t>
  </si>
  <si>
    <t>FORMULAS</t>
  </si>
  <si>
    <t>1st Revenue</t>
  </si>
  <si>
    <t>1st Turnover</t>
  </si>
  <si>
    <t>M</t>
  </si>
  <si>
    <t>ROR</t>
  </si>
  <si>
    <t>ROE</t>
  </si>
  <si>
    <t>Adj ROE</t>
  </si>
  <si>
    <t>Pre Tax ROE</t>
  </si>
  <si>
    <t>Adj M</t>
  </si>
  <si>
    <t>Revenues</t>
  </si>
  <si>
    <t>Decision</t>
  </si>
  <si>
    <t xml:space="preserve">     lookup table</t>
  </si>
  <si>
    <t>!!!</t>
  </si>
  <si>
    <t>Revenue Requirement</t>
  </si>
  <si>
    <t>!!!&lt;--</t>
  </si>
  <si>
    <t xml:space="preserve"> 1. less than 50</t>
  </si>
  <si>
    <t>@EXP(5.72260-(.68367*@LN(T)))</t>
  </si>
  <si>
    <t>Revenue Deficiency</t>
  </si>
  <si>
    <t xml:space="preserve"> 2. Between 50 and 125</t>
  </si>
  <si>
    <t>@EXP(5.70827-(.68367*@LN(T)))</t>
  </si>
  <si>
    <t>*</t>
  </si>
  <si>
    <t>-</t>
  </si>
  <si>
    <t>* p/f before rates</t>
  </si>
  <si>
    <t xml:space="preserve"> 3. Between 125 and 140</t>
  </si>
  <si>
    <t>@EXP(5.69850-(.68367*@LN(T)))</t>
  </si>
  <si>
    <t>Expenses</t>
  </si>
  <si>
    <t xml:space="preserve"> 4. greater than 400</t>
  </si>
  <si>
    <t>@EXP(5.69220-(.68367*@LN(T)))</t>
  </si>
  <si>
    <t>Avg. Investment  -</t>
  </si>
  <si>
    <t>curve turnover</t>
  </si>
  <si>
    <t>(calculated)</t>
  </si>
  <si>
    <t>2nd Turnover</t>
  </si>
  <si>
    <t xml:space="preserve">     lookup tables</t>
  </si>
  <si>
    <t>final turnover</t>
  </si>
  <si>
    <t>curve No. used</t>
  </si>
  <si>
    <t xml:space="preserve">Company actual </t>
  </si>
  <si>
    <t>capital structure:</t>
  </si>
  <si>
    <t>OPERATING RATIO -&gt;</t>
  </si>
  <si>
    <t>3rd Turnover</t>
  </si>
  <si>
    <t xml:space="preserve">Actual Debt Ratio </t>
  </si>
  <si>
    <t xml:space="preserve"> Conversion factor data:</t>
  </si>
  <si>
    <t>Actual Equity Ratio</t>
  </si>
  <si>
    <t xml:space="preserve"> B &amp; O Tax</t>
  </si>
  <si>
    <t>Actual Cost of Debt</t>
  </si>
  <si>
    <t xml:space="preserve"> WUTC Fee</t>
  </si>
  <si>
    <t>Basis Pts</t>
  </si>
  <si>
    <t>Corp OH</t>
  </si>
  <si>
    <t>Tax Rate</t>
  </si>
  <si>
    <t xml:space="preserve"> Bad Debts</t>
  </si>
  <si>
    <t>4th Turnover</t>
  </si>
  <si>
    <t>Revenue Sensitive</t>
  </si>
  <si>
    <t>Conversion Factor</t>
  </si>
  <si>
    <t>yes</t>
  </si>
  <si>
    <t>5th Turnover</t>
  </si>
  <si>
    <t>6th Turnover</t>
  </si>
  <si>
    <t>7th turnover</t>
  </si>
  <si>
    <t>8th turnover</t>
  </si>
  <si>
    <t>9th turnover</t>
  </si>
  <si>
    <t>Roll-Off</t>
  </si>
  <si>
    <t>Lewis G Cert. Price out</t>
  </si>
  <si>
    <t>Test Period 1/1/09- 12/31/09</t>
  </si>
  <si>
    <t>Rates</t>
  </si>
  <si>
    <t>Except</t>
  </si>
  <si>
    <t>1/1/09</t>
  </si>
  <si>
    <t>RSA-1</t>
  </si>
  <si>
    <t>Curr</t>
  </si>
  <si>
    <t>Annual</t>
  </si>
  <si>
    <t>Monthly</t>
  </si>
  <si>
    <t>Price-out</t>
  </si>
  <si>
    <t>Svc</t>
  </si>
  <si>
    <t>Units</t>
  </si>
  <si>
    <t>65 Gal Wkly</t>
  </si>
  <si>
    <t>65 Gal Wkly NR</t>
  </si>
  <si>
    <t>65 Gal EOW</t>
  </si>
  <si>
    <t>65 Gal EOW NR</t>
  </si>
  <si>
    <t>65 Gal Monthly</t>
  </si>
  <si>
    <t>65 Gal Monthly NR</t>
  </si>
  <si>
    <t>95 Gal Wkly</t>
  </si>
  <si>
    <t>95 Gal EOW</t>
  </si>
  <si>
    <t>95 Gal EOW NR</t>
  </si>
  <si>
    <t>95 Gal Monthly</t>
  </si>
  <si>
    <t>95 Gal Monthly NR</t>
  </si>
  <si>
    <t>Extra Unit</t>
  </si>
  <si>
    <t>65 Gal Spec PU</t>
  </si>
  <si>
    <t>95 Gal Spec PU</t>
  </si>
  <si>
    <t>Bag Charge</t>
  </si>
  <si>
    <t>Oversized Can</t>
  </si>
  <si>
    <t>Occasional Can</t>
  </si>
  <si>
    <t>Carry 6'-25'</t>
  </si>
  <si>
    <t>Carry 26'-50'</t>
  </si>
  <si>
    <t>Carry 51'-75'</t>
  </si>
  <si>
    <t>Carry 76'-100'</t>
  </si>
  <si>
    <t>Drivein</t>
  </si>
  <si>
    <t>Tire (car)</t>
  </si>
  <si>
    <t>Can not Recovered</t>
  </si>
  <si>
    <t>Return Trip</t>
  </si>
  <si>
    <t>Return Check</t>
  </si>
  <si>
    <t>Reinstatement</t>
  </si>
  <si>
    <t>Bill Adj</t>
  </si>
  <si>
    <t>Rate Adj</t>
  </si>
  <si>
    <t>Commodity Credit</t>
  </si>
  <si>
    <t>Late Fee</t>
  </si>
  <si>
    <t>Non-Refuse Recycling Customer</t>
  </si>
  <si>
    <t>Yardwaste</t>
  </si>
  <si>
    <t>Residential Total</t>
  </si>
  <si>
    <t>Commercial</t>
  </si>
  <si>
    <t>1 Yd Wkly</t>
  </si>
  <si>
    <t>1 Yd 2x/Wk</t>
  </si>
  <si>
    <t>1.5 Yd Wkly</t>
  </si>
  <si>
    <t>2 Yd Wkly</t>
  </si>
  <si>
    <t>2 Yd 2/Wk</t>
  </si>
  <si>
    <t>3 Yd Wkly</t>
  </si>
  <si>
    <t>4 Yd Wkly</t>
  </si>
  <si>
    <t>5 Yd Wkly</t>
  </si>
  <si>
    <t>6 Yd Wkly</t>
  </si>
  <si>
    <t>6 Yd 2x/Wk</t>
  </si>
  <si>
    <t>1 Yd EOW</t>
  </si>
  <si>
    <t>1.5 Yd EOW</t>
  </si>
  <si>
    <t>2 Yd EOW</t>
  </si>
  <si>
    <t>3 Yd EOW</t>
  </si>
  <si>
    <t>4 Yd EOW</t>
  </si>
  <si>
    <t>5 Yd EOW</t>
  </si>
  <si>
    <t>6 Yd EOW</t>
  </si>
  <si>
    <t>Drive-In</t>
  </si>
  <si>
    <t>26-50' Carry out</t>
  </si>
  <si>
    <t>Rollout</t>
  </si>
  <si>
    <t>MF Recycle</t>
  </si>
  <si>
    <t>Commercial Commingle Recycle</t>
  </si>
  <si>
    <t>Overweight Cont</t>
  </si>
  <si>
    <t>Hourly</t>
  </si>
  <si>
    <t>Shop Hours</t>
  </si>
  <si>
    <t>Shop Parts</t>
  </si>
  <si>
    <t>Extra Yard</t>
  </si>
  <si>
    <t>Tire Car</t>
  </si>
  <si>
    <t>Extra Bag</t>
  </si>
  <si>
    <t>1 Yd Temp</t>
  </si>
  <si>
    <t>1.5 Yd Temp</t>
  </si>
  <si>
    <t>2 Yd Temp</t>
  </si>
  <si>
    <t>3 Yd Temp</t>
  </si>
  <si>
    <t>4 Yd Temp</t>
  </si>
  <si>
    <t>5 Yd Temp</t>
  </si>
  <si>
    <t>6 Yd Temp</t>
  </si>
  <si>
    <t>Tire Truck</t>
  </si>
  <si>
    <t>1 Yd Spec</t>
  </si>
  <si>
    <t>1.5 Yd Spec</t>
  </si>
  <si>
    <t>2 Yd Spec</t>
  </si>
  <si>
    <t>3 Yd Spec</t>
  </si>
  <si>
    <t>4 Yd Spec</t>
  </si>
  <si>
    <t>5 Yd Spec</t>
  </si>
  <si>
    <t>6 Yd Spec</t>
  </si>
  <si>
    <t>Delivery</t>
  </si>
  <si>
    <t>Appliance</t>
  </si>
  <si>
    <t>Returned Check</t>
  </si>
  <si>
    <t>Can Count</t>
  </si>
  <si>
    <t>Can Count 65 Gal</t>
  </si>
  <si>
    <t>Can Count 95 Gal</t>
  </si>
  <si>
    <t>Unlock/lock containers</t>
  </si>
  <si>
    <t>1 Yd Temp Rent</t>
  </si>
  <si>
    <t>1.5 Yd Temp Rent</t>
  </si>
  <si>
    <t>2 Yd Temp Rent</t>
  </si>
  <si>
    <t>3 Yd Temp Rent</t>
  </si>
  <si>
    <t>4 Yd Temp Rent</t>
  </si>
  <si>
    <t>5 Yd Temp Rent</t>
  </si>
  <si>
    <t>6 Yd Temp Rent</t>
  </si>
  <si>
    <t>Clean Container</t>
  </si>
  <si>
    <t>Gate Access</t>
  </si>
  <si>
    <t>Standard Can no Recycling</t>
  </si>
  <si>
    <t>Commercial Total</t>
  </si>
  <si>
    <t>*REMOVE 20 YD BOX</t>
  </si>
  <si>
    <t>*REMOVE 20 YD TEMPORARY BOX</t>
  </si>
  <si>
    <t>*REMOVE 30 YD BOX</t>
  </si>
  <si>
    <t>*REMOVE 30 YD TEMPORARY BOX</t>
  </si>
  <si>
    <t>*REMOVE 40 YD BOX</t>
  </si>
  <si>
    <t>*REMOVE 40 YD TEMPORARY BOX</t>
  </si>
  <si>
    <t>95 Gal Auto Cans w/ Recycling</t>
  </si>
  <si>
    <t>E &amp; R 15 YD STATIONARY PACKER</t>
  </si>
  <si>
    <t>E &amp; R 20 YD BOX</t>
  </si>
  <si>
    <t>E &amp; R 20 YD BOX each add'l</t>
  </si>
  <si>
    <t>E &amp; R 20 YD TEMPORARY BOX</t>
  </si>
  <si>
    <t>E &amp; R 25 YD STATIONARY PACKER</t>
  </si>
  <si>
    <t>E &amp; R 30 YD BOX</t>
  </si>
  <si>
    <t>E &amp; R 30 YD BOX each add'l</t>
  </si>
  <si>
    <t>E &amp; R 30 YD STATIONARY PACKER</t>
  </si>
  <si>
    <t>E &amp; R 30 YD TEMPORARY BOX</t>
  </si>
  <si>
    <t>E &amp; R 40 YARD BOX</t>
  </si>
  <si>
    <t>E &amp; R 40 YARD BOX  Each add'l</t>
  </si>
  <si>
    <t>E &amp; R 40 YARD TEMPORARY BOX</t>
  </si>
  <si>
    <t>E &amp; R 40 YD STATIONARY PACKER</t>
  </si>
  <si>
    <t>EXTRA MILE(S)</t>
  </si>
  <si>
    <t>EXTRA MILE(S) BEYOND 5</t>
  </si>
  <si>
    <t>PLACE 20 YD DROP TEMPORARY BOX</t>
  </si>
  <si>
    <t>PLACE 30 YD DROP TEMPORARY BOX</t>
  </si>
  <si>
    <t>PLACE 40 YD DROP TEMPORARY BOX</t>
  </si>
  <si>
    <t>ROLLOUT</t>
  </si>
  <si>
    <t>DEMURRAGE ON 20 YARD TEMP DROP BOX</t>
  </si>
  <si>
    <t>DEMURRAGE ON 30 YARD TEMP DROP BOX</t>
  </si>
  <si>
    <t>DEMURRAGE ON 40 YARD TEMP DROP BOX</t>
  </si>
  <si>
    <t>MONTHLY RENT 20 YD DROP BOX</t>
  </si>
  <si>
    <t>MONTHLY RENT 30 YD DROP BOX</t>
  </si>
  <si>
    <t>MONTHLY RENT 40 YD DROP BOX</t>
  </si>
  <si>
    <t>OVERWEIGHT CAN(S) ^</t>
  </si>
  <si>
    <t>RETURN TRIP DROPBOX</t>
  </si>
  <si>
    <t>DROP BOX DISPOSAL PASSTHRU</t>
  </si>
  <si>
    <t>Drop Box Total</t>
  </si>
  <si>
    <t>Grand Total</t>
  </si>
  <si>
    <t>Commercials</t>
  </si>
  <si>
    <t>Packer Rts</t>
  </si>
  <si>
    <t>LG</t>
  </si>
  <si>
    <t>Comm Cans</t>
  </si>
  <si>
    <t>Difference</t>
  </si>
  <si>
    <t xml:space="preserve">Lewis County </t>
  </si>
  <si>
    <t>Unit Count:</t>
  </si>
  <si>
    <t>Garbage Carts</t>
  </si>
  <si>
    <t>Containers</t>
  </si>
  <si>
    <t>Rate Schedule:</t>
  </si>
  <si>
    <t>Proposed</t>
  </si>
  <si>
    <t>Percent</t>
  </si>
  <si>
    <t>Type of Service:</t>
  </si>
  <si>
    <t>Effective</t>
  </si>
  <si>
    <t>Increase</t>
  </si>
  <si>
    <t>Rate</t>
  </si>
  <si>
    <t>12-31-2009</t>
  </si>
  <si>
    <t>Residential:</t>
  </si>
  <si>
    <t xml:space="preserve"> Mini</t>
  </si>
  <si>
    <t xml:space="preserve"> 1 can</t>
  </si>
  <si>
    <t xml:space="preserve"> 2 can</t>
  </si>
  <si>
    <t xml:space="preserve"> 3 can</t>
  </si>
  <si>
    <t xml:space="preserve"> 1 can once-per-month</t>
  </si>
  <si>
    <t xml:space="preserve"> Occasional extra unit</t>
  </si>
  <si>
    <t xml:space="preserve"> Overweight/overfilled cans</t>
  </si>
  <si>
    <t xml:space="preserve"> Prepaid bags</t>
  </si>
  <si>
    <t xml:space="preserve"> On call</t>
  </si>
  <si>
    <t>Company Provided Tote:</t>
  </si>
  <si>
    <t>65-gal weekly</t>
  </si>
  <si>
    <t>95-gal weekly</t>
  </si>
  <si>
    <t>Drive-in</t>
  </si>
  <si>
    <t>Carry-out 6'-25'</t>
  </si>
  <si>
    <t>Commercial:</t>
  </si>
  <si>
    <t>Perm Containers p/PU:</t>
  </si>
  <si>
    <t>1 yard first pickup</t>
  </si>
  <si>
    <t>Each  additional pickup</t>
  </si>
  <si>
    <t>1.5 yard first pickup</t>
  </si>
  <si>
    <t>2 yard first pickup</t>
  </si>
  <si>
    <t>3 yard first pickup</t>
  </si>
  <si>
    <t>4 yard first pickup</t>
  </si>
  <si>
    <t>5 yard first pickup</t>
  </si>
  <si>
    <t>6 yard first pickup</t>
  </si>
  <si>
    <t>Temporary p/PU</t>
  </si>
  <si>
    <t>1 yard</t>
  </si>
  <si>
    <t>1.5 yard</t>
  </si>
  <si>
    <t>2 yard</t>
  </si>
  <si>
    <t>3 yard</t>
  </si>
  <si>
    <t>4 yard</t>
  </si>
  <si>
    <t>5 yard</t>
  </si>
  <si>
    <t>6 yard</t>
  </si>
  <si>
    <t>Rent per Day:</t>
  </si>
  <si>
    <t>Special Pickups:</t>
  </si>
  <si>
    <t>Roll-out</t>
  </si>
  <si>
    <t>Roll-out, carts, toters</t>
  </si>
  <si>
    <t>Return Trip Charge</t>
  </si>
  <si>
    <t>Locking, unlocking</t>
  </si>
  <si>
    <t>Washing or sanatizing</t>
  </si>
  <si>
    <t>Can Service:</t>
  </si>
  <si>
    <t>1 can first 5 grouped together</t>
  </si>
  <si>
    <t>1 can over 5 grouped together</t>
  </si>
  <si>
    <t>65-gallon</t>
  </si>
  <si>
    <t>95-gallon</t>
  </si>
  <si>
    <t>Special pickup 1 unit</t>
  </si>
  <si>
    <t>Each additional</t>
  </si>
  <si>
    <t>Extra regular pu day 32-gal</t>
  </si>
  <si>
    <t xml:space="preserve">Roll-Off: </t>
  </si>
  <si>
    <t>Permanent Rent</t>
  </si>
  <si>
    <t>20 yard</t>
  </si>
  <si>
    <t>25 yard</t>
  </si>
  <si>
    <t>30 yard</t>
  </si>
  <si>
    <t>40 yard</t>
  </si>
  <si>
    <t>Note: This rent is only charged if there are no hauls during the month.</t>
  </si>
  <si>
    <t>Permanent per Haul</t>
  </si>
  <si>
    <t>Each additional haul</t>
  </si>
  <si>
    <t>Temporary per Haul</t>
  </si>
  <si>
    <t>Temporary Rent per Day</t>
  </si>
  <si>
    <t>Delivery Charge</t>
  </si>
  <si>
    <t>Customer Owned Comp</t>
  </si>
  <si>
    <t>10 yard</t>
  </si>
  <si>
    <t>15 yard</t>
  </si>
  <si>
    <t>Excss miles</t>
  </si>
  <si>
    <t xml:space="preserve">Hourly Rate:  </t>
  </si>
  <si>
    <t>Single Rear Drive Axle:</t>
  </si>
  <si>
    <t xml:space="preserve">  Non-packer Truck</t>
  </si>
  <si>
    <t xml:space="preserve">  Packer Truck</t>
  </si>
  <si>
    <t xml:space="preserve">  Drop Box Truck</t>
  </si>
  <si>
    <t>Extra Person:</t>
  </si>
  <si>
    <t>Tandem Rear Drive Axle:</t>
  </si>
  <si>
    <t>Overtime:</t>
  </si>
  <si>
    <t xml:space="preserve">  Charge per Hour</t>
  </si>
  <si>
    <t xml:space="preserve">  Minimum Charge</t>
  </si>
  <si>
    <t>Recycling Services:</t>
  </si>
  <si>
    <t>Curbside recycling</t>
  </si>
  <si>
    <t>Recycling only</t>
  </si>
  <si>
    <t>Multi-Family</t>
  </si>
  <si>
    <t>Additional monthly</t>
  </si>
  <si>
    <t>Special pickup</t>
  </si>
  <si>
    <t>Return Trip, Carts, Toters</t>
  </si>
  <si>
    <t xml:space="preserve">  Recycling, MF, YW</t>
  </si>
  <si>
    <t>65-gal monthly</t>
  </si>
  <si>
    <t>95-gal monthly</t>
  </si>
  <si>
    <t>Occasional extra 65-gal</t>
  </si>
  <si>
    <t>Occasional extra 95-gal</t>
  </si>
  <si>
    <t>65-gal EOW</t>
  </si>
  <si>
    <t>95-gal EOW</t>
  </si>
  <si>
    <t>Redelivery Charge</t>
  </si>
  <si>
    <t>Customer Notifications:</t>
  </si>
  <si>
    <t>Amortize 24 Months</t>
  </si>
  <si>
    <t>p/PU</t>
  </si>
  <si>
    <t>OCan(moved from RO row 155)</t>
  </si>
  <si>
    <t>Except RSA-1</t>
  </si>
  <si>
    <t>Joe's Lewis Cnty</t>
  </si>
  <si>
    <t xml:space="preserve">Posted to RO should be Residential </t>
  </si>
  <si>
    <t>Posted to RO should be Residential</t>
  </si>
  <si>
    <t>Residential Garb</t>
  </si>
  <si>
    <t>Adjust</t>
  </si>
  <si>
    <t xml:space="preserve">Extra yardage </t>
  </si>
  <si>
    <t>Recycle Program adj (row 130)</t>
  </si>
  <si>
    <t>Recycle Progr (row 73,74)</t>
  </si>
  <si>
    <t>Moved from row 156 to row 26</t>
  </si>
  <si>
    <t>Moved from row 130 to row 15, 42</t>
  </si>
  <si>
    <t>95 Gal Wkly NR(row 130)</t>
  </si>
  <si>
    <t>Moved from row 73, 74 to row 43</t>
  </si>
  <si>
    <t>Posted to Comm Cans should be recycling</t>
  </si>
  <si>
    <t>Summarize Revenue:</t>
  </si>
  <si>
    <t>Redelivery</t>
  </si>
  <si>
    <t xml:space="preserve">Redelivery </t>
  </si>
  <si>
    <t>Cust Rev</t>
  </si>
  <si>
    <t>Revised</t>
  </si>
  <si>
    <t>Revenue Incr</t>
  </si>
  <si>
    <t xml:space="preserve">Proposed </t>
  </si>
  <si>
    <t>Final</t>
  </si>
  <si>
    <t>Garbage</t>
  </si>
  <si>
    <t>Trucks</t>
  </si>
  <si>
    <t>Packer</t>
  </si>
  <si>
    <t>RO</t>
  </si>
  <si>
    <t>YW</t>
  </si>
  <si>
    <t>Container:</t>
  </si>
  <si>
    <t>Carts</t>
  </si>
  <si>
    <t>Shop</t>
  </si>
  <si>
    <t>Equipment</t>
  </si>
  <si>
    <t>Buildings:</t>
  </si>
  <si>
    <t>Office</t>
  </si>
  <si>
    <t>Shop Improvements</t>
  </si>
  <si>
    <t>Recycling Center</t>
  </si>
  <si>
    <t>Leasehold impr</t>
  </si>
  <si>
    <t>Cont</t>
  </si>
  <si>
    <t>Service</t>
  </si>
  <si>
    <t>Office Equipment</t>
  </si>
  <si>
    <t>Average Investment:</t>
  </si>
  <si>
    <t>Routeware</t>
  </si>
  <si>
    <t>Equipment:</t>
  </si>
  <si>
    <t>Toters</t>
  </si>
  <si>
    <t>Centralia</t>
  </si>
  <si>
    <t>Parkland</t>
  </si>
  <si>
    <t>Computers</t>
  </si>
  <si>
    <t>Land</t>
  </si>
  <si>
    <t>Parking lot</t>
  </si>
  <si>
    <t>Diff</t>
  </si>
  <si>
    <t>LG Prior to Removal of Processing Fee</t>
  </si>
  <si>
    <t>Recycle Reduction</t>
  </si>
  <si>
    <t>See Rate Schedule for Recycling Changes</t>
  </si>
  <si>
    <t>LeMay Lewis Reduction of Recycling Rate</t>
  </si>
  <si>
    <t xml:space="preserve">The tabs in this workbook came from the final approved/audited Pro Forma under TG-101536.  Only the cells highlighted in blue have been modified to reduce the recycling rate.  To trace the changes through the workbook: the $45/ton processing fee expense was removed from cell D46 "Pro forma Lewis County" tab.  This change flows through the model and reduces the SF recycling rates on the Rate Schedule tab.  </t>
  </si>
  <si>
    <t>Removal of Processing Fee</t>
  </si>
  <si>
    <t>Change in Rate</t>
  </si>
  <si>
    <t>New Rate</t>
  </si>
  <si>
    <t>Decrease per Customer/Month</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</si>
</sst>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00%"/>
    <numFmt numFmtId="166" formatCode="#,##0.0"/>
    <numFmt numFmtId="167" formatCode="0.0"/>
    <numFmt numFmtId="168" formatCode="_(* #,##0.0000_);_(* \(#,##0.0000\);_(* &quot;-&quot;????_);_(@_)"/>
    <numFmt numFmtId="169" formatCode="_(* #,##0.000_);_(* \(#,##0.000\);_(* &quot;-&quot;???_);_(@_)"/>
    <numFmt numFmtId="170" formatCode="&quot;$&quot;#,##0"/>
    <numFmt numFmtId="171" formatCode="#,##0.0000"/>
    <numFmt numFmtId="172" formatCode="&quot;$&quot;#,##0.00"/>
    <numFmt numFmtId="173" formatCode="#,##0.000"/>
    <numFmt numFmtId="174" formatCode="#,##0.000000"/>
    <numFmt numFmtId="175" formatCode="0.000%"/>
    <numFmt numFmtId="176" formatCode="_(* #,##0_);_(* \(#,##0\);_(* &quot;-&quot;??_);_(@_)"/>
    <numFmt numFmtId="177" formatCode="[$-409]dddd\,\ mmmm\ dd\,\ yyyy"/>
    <numFmt numFmtId="178" formatCode="[$-409]h:mm:ss\ AM/PM"/>
    <numFmt numFmtId="179" formatCode="_(&quot;$&quot;* #,##0.0_);_(&quot;$&quot;* \(#,##0.0\);_(&quot;$&quot;* &quot;-&quot;??_);_(@_)"/>
    <numFmt numFmtId="180" formatCode="_(&quot;$&quot;* #,##0_);_(&quot;$&quot;* \(#,##0\);_(&quot;$&quot;* &quot;-&quot;??_);_(@_)"/>
    <numFmt numFmtId="181" formatCode="#,##0.0000_);\(#,##0.0000\)"/>
    <numFmt numFmtId="182" formatCode="_(* #,##0.00000_);_(* \(#,##0.00000\);_(* &quot;-&quot;?????_);_(@_)"/>
    <numFmt numFmtId="183" formatCode="0.0%"/>
    <numFmt numFmtId="184" formatCode="#,##0.0000000000"/>
  </numFmts>
  <fonts count="36">
    <font>
      <sz val="10"/>
      <name val="Arial"/>
      <family val="0"/>
    </font>
    <font>
      <sz val="12"/>
      <name val="Helv"/>
      <family val="0"/>
    </font>
    <font>
      <sz val="8"/>
      <name val="Arial"/>
      <family val="2"/>
    </font>
    <font>
      <b/>
      <sz val="8"/>
      <name val="Arial"/>
      <family val="2"/>
    </font>
    <font>
      <sz val="8"/>
      <color indexed="8"/>
      <name val="Arial"/>
      <family val="2"/>
    </font>
    <font>
      <sz val="8"/>
      <name val="Comic Sans MS"/>
      <family val="4"/>
    </font>
    <font>
      <b/>
      <sz val="8"/>
      <name val="Comic Sans MS"/>
      <family val="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Century Gothic"/>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sz val="9"/>
      <color indexed="8"/>
      <name val="Arial"/>
      <family val="2"/>
    </font>
    <font>
      <sz val="9"/>
      <name val="Arial"/>
      <family val="2"/>
    </font>
    <font>
      <b/>
      <sz val="9"/>
      <color indexed="8"/>
      <name val="Arial"/>
      <family val="2"/>
    </font>
    <font>
      <sz val="8"/>
      <color indexed="10"/>
      <name val="Arial"/>
      <family val="2"/>
    </font>
    <font>
      <b/>
      <sz val="8"/>
      <color indexed="12"/>
      <name val="Arial"/>
      <family val="2"/>
    </font>
    <font>
      <b/>
      <sz val="8"/>
      <color indexed="17"/>
      <name val="Arial"/>
      <family val="2"/>
    </font>
    <font>
      <b/>
      <u val="single"/>
      <sz val="10"/>
      <name val="Arial"/>
      <family val="2"/>
    </font>
    <font>
      <b/>
      <sz val="10"/>
      <name val="Arial"/>
      <family val="2"/>
    </font>
    <font>
      <sz val="8"/>
      <color indexed="12"/>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4"/>
        <bgColor indexed="64"/>
      </patternFill>
    </fill>
    <fill>
      <patternFill patternType="solid">
        <fgColor rgb="FF00B0F0"/>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0" borderId="0">
      <alignment/>
      <protection/>
    </xf>
    <xf numFmtId="164" fontId="1" fillId="0" borderId="0">
      <alignment/>
      <protection/>
    </xf>
    <xf numFmtId="164" fontId="1" fillId="0" borderId="0">
      <alignment/>
      <protection/>
    </xf>
    <xf numFmtId="164" fontId="1" fillId="0" borderId="0">
      <alignment/>
      <protection/>
    </xf>
    <xf numFmtId="0" fontId="12" fillId="0" borderId="0">
      <alignment/>
      <protection/>
    </xf>
    <xf numFmtId="0" fontId="21" fillId="0" borderId="0">
      <alignment/>
      <protection/>
    </xf>
    <xf numFmtId="0" fontId="12"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203">
    <xf numFmtId="0" fontId="0" fillId="0" borderId="0" xfId="0" applyAlignment="1">
      <alignment/>
    </xf>
    <xf numFmtId="164" fontId="2" fillId="0" borderId="10" xfId="57" applyFont="1" applyBorder="1">
      <alignment/>
      <protection/>
    </xf>
    <xf numFmtId="3" fontId="3" fillId="0" borderId="10" xfId="57" applyNumberFormat="1" applyFont="1" applyBorder="1" applyAlignment="1">
      <alignment horizontal="right"/>
      <protection/>
    </xf>
    <xf numFmtId="164" fontId="2" fillId="0" borderId="10" xfId="57" applyFont="1" applyFill="1" applyBorder="1">
      <alignment/>
      <protection/>
    </xf>
    <xf numFmtId="0" fontId="4" fillId="0" borderId="10" xfId="0"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horizontal="center"/>
    </xf>
    <xf numFmtId="164" fontId="4" fillId="0" borderId="10" xfId="0" applyNumberFormat="1" applyFont="1" applyFill="1" applyBorder="1" applyAlignment="1">
      <alignment horizontal="center"/>
    </xf>
    <xf numFmtId="41" fontId="4" fillId="0" borderId="10" xfId="0" applyNumberFormat="1" applyFont="1" applyBorder="1" applyAlignment="1">
      <alignment/>
    </xf>
    <xf numFmtId="37" fontId="4" fillId="0" borderId="10" xfId="0" applyNumberFormat="1" applyFont="1" applyBorder="1" applyAlignment="1">
      <alignment/>
    </xf>
    <xf numFmtId="10" fontId="4" fillId="0" borderId="10" xfId="0" applyNumberFormat="1" applyFont="1" applyBorder="1" applyAlignment="1">
      <alignment/>
    </xf>
    <xf numFmtId="164" fontId="5" fillId="0" borderId="0" xfId="56" applyFont="1">
      <alignment/>
      <protection/>
    </xf>
    <xf numFmtId="0" fontId="2" fillId="0" borderId="0" xfId="0" applyFont="1" applyAlignment="1">
      <alignment/>
    </xf>
    <xf numFmtId="164" fontId="5" fillId="0" borderId="0" xfId="56" applyFont="1" applyAlignment="1">
      <alignment/>
      <protection/>
    </xf>
    <xf numFmtId="164" fontId="5" fillId="0" borderId="0" xfId="56" applyFont="1" applyAlignment="1">
      <alignment horizontal="center"/>
      <protection/>
    </xf>
    <xf numFmtId="164" fontId="6" fillId="0" borderId="0" xfId="56" applyFont="1" applyAlignment="1">
      <alignment/>
      <protection/>
    </xf>
    <xf numFmtId="0" fontId="5" fillId="0" borderId="0" xfId="56" applyNumberFormat="1" applyFont="1">
      <alignment/>
      <protection/>
    </xf>
    <xf numFmtId="170" fontId="5" fillId="0" borderId="0" xfId="56" applyNumberFormat="1" applyFont="1" applyAlignment="1">
      <alignment/>
      <protection/>
    </xf>
    <xf numFmtId="0" fontId="5" fillId="0" borderId="0" xfId="56" applyNumberFormat="1" applyFont="1" applyAlignment="1">
      <alignment/>
      <protection/>
    </xf>
    <xf numFmtId="10" fontId="5" fillId="0" borderId="0" xfId="56" applyNumberFormat="1" applyFont="1">
      <alignment/>
      <protection/>
    </xf>
    <xf numFmtId="3" fontId="5" fillId="0" borderId="0" xfId="56" applyNumberFormat="1" applyFont="1">
      <alignment/>
      <protection/>
    </xf>
    <xf numFmtId="4" fontId="5" fillId="0" borderId="0" xfId="56" applyNumberFormat="1" applyFont="1">
      <alignment/>
      <protection/>
    </xf>
    <xf numFmtId="171" fontId="5" fillId="0" borderId="0" xfId="56" applyNumberFormat="1" applyFont="1">
      <alignment/>
      <protection/>
    </xf>
    <xf numFmtId="1" fontId="5" fillId="0" borderId="0" xfId="56" applyNumberFormat="1" applyFont="1" applyAlignment="1">
      <alignment/>
      <protection/>
    </xf>
    <xf numFmtId="10" fontId="5" fillId="0" borderId="0" xfId="56" applyNumberFormat="1" applyFont="1" applyAlignment="1">
      <alignment/>
      <protection/>
    </xf>
    <xf numFmtId="172" fontId="5" fillId="0" borderId="0" xfId="56" applyNumberFormat="1" applyFont="1" applyAlignment="1">
      <alignment/>
      <protection/>
    </xf>
    <xf numFmtId="0" fontId="5" fillId="0" borderId="0" xfId="56" applyNumberFormat="1" applyFont="1" applyAlignment="1">
      <alignment horizontal="right"/>
      <protection/>
    </xf>
    <xf numFmtId="0" fontId="5" fillId="0" borderId="0" xfId="56" applyNumberFormat="1" applyFont="1" applyAlignment="1">
      <alignment horizontal="center"/>
      <protection/>
    </xf>
    <xf numFmtId="173" fontId="5" fillId="0" borderId="0" xfId="56" applyNumberFormat="1" applyFont="1">
      <alignment/>
      <protection/>
    </xf>
    <xf numFmtId="165" fontId="5" fillId="0" borderId="0" xfId="56" applyNumberFormat="1" applyFont="1">
      <alignment/>
      <protection/>
    </xf>
    <xf numFmtId="0" fontId="5" fillId="0" borderId="0" xfId="56" applyNumberFormat="1" applyFont="1" applyAlignment="1">
      <alignment horizontal="fill"/>
      <protection/>
    </xf>
    <xf numFmtId="174" fontId="5" fillId="0" borderId="0" xfId="56" applyNumberFormat="1" applyFont="1">
      <alignment/>
      <protection/>
    </xf>
    <xf numFmtId="175" fontId="5" fillId="0" borderId="0" xfId="56" applyNumberFormat="1" applyFont="1">
      <alignment/>
      <protection/>
    </xf>
    <xf numFmtId="9" fontId="5" fillId="0" borderId="0" xfId="56" applyNumberFormat="1" applyFont="1">
      <alignment/>
      <protection/>
    </xf>
    <xf numFmtId="10" fontId="5" fillId="0" borderId="0" xfId="56" applyNumberFormat="1" applyFont="1" applyFill="1">
      <alignment/>
      <protection/>
    </xf>
    <xf numFmtId="175" fontId="5" fillId="0" borderId="0" xfId="56" applyNumberFormat="1" applyFont="1" applyAlignment="1">
      <alignment/>
      <protection/>
    </xf>
    <xf numFmtId="0" fontId="27" fillId="0" borderId="0" xfId="59" applyFont="1" applyBorder="1">
      <alignment/>
      <protection/>
    </xf>
    <xf numFmtId="4" fontId="27" fillId="0" borderId="0" xfId="59" applyNumberFormat="1" applyFont="1" applyBorder="1">
      <alignment/>
      <protection/>
    </xf>
    <xf numFmtId="0" fontId="26" fillId="0" borderId="0" xfId="59" applyFont="1" applyFill="1" applyBorder="1">
      <alignment/>
      <protection/>
    </xf>
    <xf numFmtId="0" fontId="27" fillId="0" borderId="0" xfId="59" applyFont="1" applyFill="1" applyBorder="1">
      <alignment/>
      <protection/>
    </xf>
    <xf numFmtId="43" fontId="28" fillId="0" borderId="0" xfId="42" applyFont="1" applyBorder="1" applyAlignment="1">
      <alignment/>
    </xf>
    <xf numFmtId="43" fontId="28" fillId="0" borderId="0" xfId="42" applyFont="1" applyFill="1" applyBorder="1" applyAlignment="1">
      <alignment/>
    </xf>
    <xf numFmtId="0" fontId="27" fillId="0" borderId="0" xfId="60" applyFont="1" applyBorder="1">
      <alignment/>
      <protection/>
    </xf>
    <xf numFmtId="0" fontId="29" fillId="0" borderId="0" xfId="60" applyFont="1" applyBorder="1">
      <alignment/>
      <protection/>
    </xf>
    <xf numFmtId="0" fontId="29" fillId="0" borderId="0" xfId="60" applyFont="1" applyFill="1" applyBorder="1">
      <alignment/>
      <protection/>
    </xf>
    <xf numFmtId="0" fontId="3" fillId="0" borderId="10" xfId="0" applyFont="1" applyBorder="1" applyAlignment="1">
      <alignment/>
    </xf>
    <xf numFmtId="3" fontId="3" fillId="0" borderId="10" xfId="0" applyNumberFormat="1" applyFont="1" applyBorder="1" applyAlignment="1">
      <alignment/>
    </xf>
    <xf numFmtId="0" fontId="26" fillId="0" borderId="0" xfId="59" applyFont="1" applyBorder="1">
      <alignment/>
      <protection/>
    </xf>
    <xf numFmtId="0" fontId="26" fillId="0" borderId="0" xfId="59" applyFont="1" applyBorder="1" applyAlignment="1">
      <alignment horizontal="center"/>
      <protection/>
    </xf>
    <xf numFmtId="0" fontId="26" fillId="0" borderId="0" xfId="59" applyFont="1" applyBorder="1" applyAlignment="1" quotePrefix="1">
      <alignment horizontal="center"/>
      <protection/>
    </xf>
    <xf numFmtId="4" fontId="28" fillId="0" borderId="0" xfId="59" applyNumberFormat="1" applyFont="1" applyBorder="1">
      <alignment/>
      <protection/>
    </xf>
    <xf numFmtId="2" fontId="27" fillId="0" borderId="0" xfId="59" applyNumberFormat="1" applyFont="1" applyBorder="1">
      <alignment/>
      <protection/>
    </xf>
    <xf numFmtId="10" fontId="27" fillId="0" borderId="0" xfId="59" applyNumberFormat="1" applyFont="1" applyBorder="1">
      <alignment/>
      <protection/>
    </xf>
    <xf numFmtId="2" fontId="28" fillId="0" borderId="0" xfId="59" applyNumberFormat="1" applyFont="1" applyBorder="1">
      <alignment/>
      <protection/>
    </xf>
    <xf numFmtId="2" fontId="27" fillId="0" borderId="0" xfId="59" applyNumberFormat="1" applyFont="1" applyFill="1" applyBorder="1">
      <alignment/>
      <protection/>
    </xf>
    <xf numFmtId="164" fontId="4" fillId="0" borderId="10" xfId="0" applyNumberFormat="1" applyFont="1" applyFill="1" applyBorder="1" applyAlignment="1">
      <alignment/>
    </xf>
    <xf numFmtId="41" fontId="4" fillId="0" borderId="10" xfId="0" applyNumberFormat="1" applyFont="1" applyFill="1" applyBorder="1" applyAlignment="1">
      <alignment/>
    </xf>
    <xf numFmtId="164" fontId="6" fillId="0" borderId="0" xfId="56" applyFont="1">
      <alignment/>
      <protection/>
    </xf>
    <xf numFmtId="3" fontId="4" fillId="0" borderId="10" xfId="0" applyNumberFormat="1" applyFont="1" applyFill="1" applyBorder="1" applyAlignment="1">
      <alignment/>
    </xf>
    <xf numFmtId="3" fontId="3" fillId="0" borderId="10" xfId="0" applyNumberFormat="1" applyFont="1" applyFill="1" applyBorder="1" applyAlignment="1">
      <alignment/>
    </xf>
    <xf numFmtId="0" fontId="3" fillId="0" borderId="10" xfId="0" applyFont="1" applyFill="1" applyBorder="1" applyAlignment="1">
      <alignment/>
    </xf>
    <xf numFmtId="0" fontId="2" fillId="0" borderId="0" xfId="0" applyFont="1" applyAlignment="1">
      <alignment/>
    </xf>
    <xf numFmtId="0" fontId="2" fillId="0" borderId="0" xfId="0" applyFont="1" applyFill="1" applyBorder="1" applyAlignment="1">
      <alignment/>
    </xf>
    <xf numFmtId="43" fontId="2" fillId="0" borderId="0" xfId="42" applyFont="1" applyFill="1" applyBorder="1" applyAlignment="1">
      <alignment/>
    </xf>
    <xf numFmtId="176" fontId="2" fillId="0" borderId="0" xfId="42" applyNumberFormat="1" applyFont="1" applyFill="1" applyBorder="1" applyAlignment="1">
      <alignment/>
    </xf>
    <xf numFmtId="0" fontId="2" fillId="0" borderId="0" xfId="0" applyFont="1" applyFill="1" applyBorder="1" applyAlignment="1">
      <alignment horizontal="center" vertical="top"/>
    </xf>
    <xf numFmtId="43" fontId="2" fillId="0" borderId="0" xfId="42" applyFont="1" applyFill="1" applyBorder="1" applyAlignment="1">
      <alignment horizontal="center" vertical="top"/>
    </xf>
    <xf numFmtId="176" fontId="2" fillId="0" borderId="0" xfId="42" applyNumberFormat="1" applyFont="1" applyFill="1" applyBorder="1" applyAlignment="1">
      <alignment horizontal="center" vertical="top"/>
    </xf>
    <xf numFmtId="176" fontId="2" fillId="0" borderId="0" xfId="0" applyNumberFormat="1" applyFont="1" applyAlignment="1">
      <alignment/>
    </xf>
    <xf numFmtId="0" fontId="3" fillId="0" borderId="0" xfId="0" applyFont="1" applyFill="1" applyBorder="1" applyAlignment="1">
      <alignment horizontal="left" vertical="top"/>
    </xf>
    <xf numFmtId="43" fontId="2" fillId="0" borderId="0" xfId="42" applyFont="1" applyFill="1" applyBorder="1" applyAlignment="1" quotePrefix="1">
      <alignment horizontal="center" vertical="top"/>
    </xf>
    <xf numFmtId="176" fontId="2" fillId="0" borderId="0" xfId="42" applyNumberFormat="1" applyFont="1" applyFill="1" applyBorder="1" applyAlignment="1">
      <alignment horizontal="center"/>
    </xf>
    <xf numFmtId="176" fontId="2" fillId="0" borderId="0" xfId="42" applyNumberFormat="1" applyFont="1" applyFill="1" applyBorder="1" applyAlignment="1">
      <alignment horizontal="centerContinuous" vertical="top"/>
    </xf>
    <xf numFmtId="1" fontId="3" fillId="0" borderId="0" xfId="42" applyNumberFormat="1" applyFont="1" applyFill="1" applyBorder="1" applyAlignment="1">
      <alignment horizontal="center" vertical="top"/>
    </xf>
    <xf numFmtId="0" fontId="2" fillId="0" borderId="0" xfId="0" applyFont="1" applyAlignment="1">
      <alignment horizontal="center"/>
    </xf>
    <xf numFmtId="0" fontId="2" fillId="0" borderId="11" xfId="0" applyFont="1" applyFill="1" applyBorder="1" applyAlignment="1">
      <alignment horizontal="center" vertical="top"/>
    </xf>
    <xf numFmtId="43" fontId="2" fillId="0" borderId="11" xfId="42" applyFont="1" applyFill="1" applyBorder="1" applyAlignment="1">
      <alignment horizontal="center" vertical="top"/>
    </xf>
    <xf numFmtId="176" fontId="3" fillId="0" borderId="11" xfId="42" applyNumberFormat="1" applyFont="1" applyFill="1" applyBorder="1" applyAlignment="1">
      <alignment horizontal="center" vertical="top"/>
    </xf>
    <xf numFmtId="0" fontId="3" fillId="0" borderId="0" xfId="0" applyFont="1" applyFill="1" applyBorder="1" applyAlignment="1">
      <alignment horizontal="center" vertical="top"/>
    </xf>
    <xf numFmtId="43" fontId="2" fillId="0" borderId="0" xfId="0" applyNumberFormat="1" applyFont="1" applyAlignment="1">
      <alignment/>
    </xf>
    <xf numFmtId="3" fontId="2" fillId="0" borderId="0" xfId="0" applyNumberFormat="1" applyFont="1" applyAlignment="1">
      <alignment/>
    </xf>
    <xf numFmtId="176" fontId="2" fillId="7" borderId="0" xfId="42" applyNumberFormat="1" applyFont="1" applyFill="1" applyBorder="1" applyAlignment="1">
      <alignment/>
    </xf>
    <xf numFmtId="0" fontId="3" fillId="0" borderId="0" xfId="0" applyFont="1" applyFill="1" applyBorder="1" applyAlignment="1">
      <alignment/>
    </xf>
    <xf numFmtId="43" fontId="3" fillId="0" borderId="0" xfId="42" applyFont="1" applyFill="1" applyBorder="1" applyAlignment="1">
      <alignment/>
    </xf>
    <xf numFmtId="176" fontId="3" fillId="0" borderId="0" xfId="42" applyNumberFormat="1" applyFont="1" applyFill="1" applyBorder="1" applyAlignment="1">
      <alignment/>
    </xf>
    <xf numFmtId="43" fontId="30" fillId="0" borderId="0" xfId="42" applyFont="1" applyFill="1" applyBorder="1" applyAlignment="1">
      <alignment/>
    </xf>
    <xf numFmtId="176" fontId="30" fillId="0" borderId="0" xfId="42" applyNumberFormat="1" applyFont="1" applyFill="1" applyBorder="1" applyAlignment="1">
      <alignment/>
    </xf>
    <xf numFmtId="0" fontId="30" fillId="0" borderId="0" xfId="0" applyFont="1" applyAlignment="1">
      <alignment/>
    </xf>
    <xf numFmtId="43" fontId="30" fillId="0" borderId="0" xfId="0" applyNumberFormat="1" applyFont="1" applyAlignment="1">
      <alignment/>
    </xf>
    <xf numFmtId="0" fontId="2" fillId="0" borderId="0" xfId="0" applyFont="1" applyFill="1" applyAlignment="1">
      <alignment/>
    </xf>
    <xf numFmtId="176" fontId="2" fillId="0" borderId="0" xfId="0" applyNumberFormat="1" applyFont="1" applyFill="1" applyAlignment="1">
      <alignment/>
    </xf>
    <xf numFmtId="43" fontId="2" fillId="0" borderId="0" xfId="0" applyNumberFormat="1" applyFont="1" applyFill="1" applyAlignment="1">
      <alignment/>
    </xf>
    <xf numFmtId="176" fontId="2" fillId="0" borderId="0" xfId="0" applyNumberFormat="1" applyFont="1" applyFill="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Border="1" applyAlignment="1">
      <alignment horizontal="center"/>
    </xf>
    <xf numFmtId="0" fontId="2" fillId="0" borderId="0" xfId="0" applyFont="1" applyBorder="1" applyAlignment="1">
      <alignment/>
    </xf>
    <xf numFmtId="176" fontId="2" fillId="0" borderId="0" xfId="0" applyNumberFormat="1" applyFont="1" applyBorder="1" applyAlignment="1">
      <alignment horizontal="center"/>
    </xf>
    <xf numFmtId="0" fontId="2" fillId="0" borderId="16" xfId="0" applyFont="1" applyBorder="1" applyAlignment="1">
      <alignment horizontal="center"/>
    </xf>
    <xf numFmtId="176" fontId="2" fillId="0" borderId="0" xfId="0" applyNumberFormat="1" applyFont="1" applyBorder="1" applyAlignment="1">
      <alignment/>
    </xf>
    <xf numFmtId="0" fontId="2" fillId="0" borderId="16" xfId="0" applyFont="1" applyBorder="1" applyAlignment="1">
      <alignment/>
    </xf>
    <xf numFmtId="0" fontId="3" fillId="0" borderId="15" xfId="0" applyFont="1" applyBorder="1" applyAlignment="1">
      <alignment/>
    </xf>
    <xf numFmtId="3" fontId="2" fillId="0" borderId="0" xfId="0" applyNumberFormat="1" applyFont="1" applyBorder="1" applyAlignment="1">
      <alignment/>
    </xf>
    <xf numFmtId="3" fontId="2" fillId="0" borderId="16" xfId="0" applyNumberFormat="1" applyFont="1" applyBorder="1" applyAlignment="1">
      <alignment/>
    </xf>
    <xf numFmtId="0" fontId="2" fillId="0" borderId="17" xfId="0" applyFont="1" applyBorder="1" applyAlignment="1">
      <alignment/>
    </xf>
    <xf numFmtId="3" fontId="2" fillId="0" borderId="11" xfId="0" applyNumberFormat="1" applyFont="1" applyBorder="1" applyAlignment="1">
      <alignment/>
    </xf>
    <xf numFmtId="3" fontId="2" fillId="0" borderId="18" xfId="0" applyNumberFormat="1" applyFont="1" applyBorder="1" applyAlignment="1">
      <alignment/>
    </xf>
    <xf numFmtId="10" fontId="2" fillId="0" borderId="0" xfId="0" applyNumberFormat="1" applyFont="1" applyAlignment="1">
      <alignment/>
    </xf>
    <xf numFmtId="164" fontId="4" fillId="7" borderId="10" xfId="0" applyNumberFormat="1" applyFont="1" applyFill="1" applyBorder="1" applyAlignment="1">
      <alignment/>
    </xf>
    <xf numFmtId="3" fontId="4" fillId="7" borderId="10" xfId="0" applyNumberFormat="1" applyFont="1" applyFill="1" applyBorder="1" applyAlignment="1">
      <alignment/>
    </xf>
    <xf numFmtId="164" fontId="4" fillId="7" borderId="10" xfId="0" applyNumberFormat="1" applyFont="1" applyFill="1" applyBorder="1" applyAlignment="1">
      <alignment horizontal="center"/>
    </xf>
    <xf numFmtId="41" fontId="4" fillId="7" borderId="10" xfId="0" applyNumberFormat="1" applyFont="1" applyFill="1" applyBorder="1" applyAlignment="1">
      <alignment/>
    </xf>
    <xf numFmtId="10" fontId="4" fillId="7" borderId="10" xfId="0" applyNumberFormat="1" applyFont="1" applyFill="1" applyBorder="1" applyAlignment="1">
      <alignment/>
    </xf>
    <xf numFmtId="0" fontId="4" fillId="7" borderId="10" xfId="0" applyFont="1" applyFill="1" applyBorder="1" applyAlignment="1">
      <alignment/>
    </xf>
    <xf numFmtId="164" fontId="4" fillId="24" borderId="10" xfId="0" applyNumberFormat="1" applyFont="1" applyFill="1" applyBorder="1" applyAlignment="1">
      <alignment/>
    </xf>
    <xf numFmtId="41" fontId="4" fillId="24" borderId="10" xfId="0" applyNumberFormat="1" applyFont="1" applyFill="1" applyBorder="1" applyAlignment="1">
      <alignment/>
    </xf>
    <xf numFmtId="3" fontId="31" fillId="0" borderId="10" xfId="0" applyNumberFormat="1" applyFont="1" applyBorder="1" applyAlignment="1">
      <alignment/>
    </xf>
    <xf numFmtId="3" fontId="32" fillId="0" borderId="10" xfId="0" applyNumberFormat="1" applyFont="1" applyBorder="1" applyAlignment="1">
      <alignment/>
    </xf>
    <xf numFmtId="0" fontId="4" fillId="0" borderId="10" xfId="0" applyFont="1" applyFill="1" applyBorder="1" applyAlignment="1">
      <alignment/>
    </xf>
    <xf numFmtId="3" fontId="32" fillId="0" borderId="10" xfId="0" applyNumberFormat="1" applyFont="1" applyFill="1" applyBorder="1" applyAlignment="1">
      <alignment/>
    </xf>
    <xf numFmtId="3" fontId="31" fillId="0" borderId="10" xfId="0" applyNumberFormat="1" applyFont="1" applyFill="1" applyBorder="1" applyAlignment="1">
      <alignment/>
    </xf>
    <xf numFmtId="3" fontId="3" fillId="0" borderId="10" xfId="0" applyNumberFormat="1" applyFont="1" applyBorder="1" applyAlignment="1">
      <alignment horizontal="right"/>
    </xf>
    <xf numFmtId="0" fontId="2" fillId="7" borderId="0" xfId="0" applyFont="1" applyFill="1" applyBorder="1" applyAlignment="1">
      <alignment/>
    </xf>
    <xf numFmtId="43" fontId="2" fillId="7" borderId="0" xfId="42" applyFont="1" applyFill="1" applyBorder="1" applyAlignment="1">
      <alignment/>
    </xf>
    <xf numFmtId="43" fontId="2" fillId="25" borderId="0" xfId="42" applyFont="1" applyFill="1" applyBorder="1" applyAlignment="1">
      <alignment/>
    </xf>
    <xf numFmtId="41" fontId="4" fillId="26" borderId="10" xfId="0" applyNumberFormat="1" applyFont="1" applyFill="1" applyBorder="1" applyAlignment="1">
      <alignment/>
    </xf>
    <xf numFmtId="2" fontId="27" fillId="26" borderId="0" xfId="59" applyNumberFormat="1" applyFont="1" applyFill="1" applyBorder="1">
      <alignment/>
      <protection/>
    </xf>
    <xf numFmtId="43" fontId="27" fillId="0" borderId="0" xfId="42" applyFont="1" applyFill="1" applyBorder="1" applyAlignment="1">
      <alignment/>
    </xf>
    <xf numFmtId="0" fontId="2" fillId="26" borderId="0" xfId="0" applyFont="1" applyFill="1" applyAlignment="1">
      <alignment/>
    </xf>
    <xf numFmtId="3" fontId="2" fillId="26" borderId="0" xfId="0" applyNumberFormat="1" applyFont="1" applyFill="1" applyAlignment="1">
      <alignment/>
    </xf>
    <xf numFmtId="0" fontId="33" fillId="0" borderId="0" xfId="55" applyFont="1" applyBorder="1">
      <alignment/>
      <protection/>
    </xf>
    <xf numFmtId="43" fontId="27" fillId="0" borderId="0" xfId="59" applyNumberFormat="1" applyFont="1" applyBorder="1">
      <alignment/>
      <protection/>
    </xf>
    <xf numFmtId="0" fontId="34" fillId="26" borderId="0" xfId="0" applyFont="1" applyFill="1" applyAlignment="1">
      <alignment horizontal="center" wrapText="1"/>
    </xf>
    <xf numFmtId="2" fontId="29" fillId="0" borderId="0" xfId="59" applyNumberFormat="1" applyFont="1" applyFill="1" applyBorder="1" applyAlignment="1">
      <alignment horizontal="center" wrapText="1"/>
      <protection/>
    </xf>
    <xf numFmtId="43" fontId="27" fillId="0" borderId="0" xfId="42" applyFont="1" applyBorder="1" applyAlignment="1">
      <alignment/>
    </xf>
    <xf numFmtId="164" fontId="5" fillId="26" borderId="0" xfId="56" applyFont="1" applyFill="1" applyAlignment="1">
      <alignment/>
      <protection/>
    </xf>
    <xf numFmtId="3" fontId="5" fillId="26" borderId="0" xfId="56" applyNumberFormat="1" applyFont="1" applyFill="1">
      <alignment/>
      <protection/>
    </xf>
    <xf numFmtId="10" fontId="5" fillId="26" borderId="0" xfId="63" applyNumberFormat="1" applyFont="1" applyFill="1" applyAlignment="1">
      <alignment/>
    </xf>
    <xf numFmtId="164" fontId="5" fillId="26" borderId="0" xfId="56" applyFont="1" applyFill="1" applyAlignment="1">
      <alignment horizontal="right"/>
      <protection/>
    </xf>
    <xf numFmtId="43" fontId="5" fillId="26" borderId="0" xfId="42" applyFont="1" applyFill="1" applyAlignment="1">
      <alignment/>
    </xf>
    <xf numFmtId="0" fontId="2" fillId="0" borderId="10" xfId="0" applyFont="1" applyBorder="1" applyAlignment="1">
      <alignment/>
    </xf>
    <xf numFmtId="164" fontId="2" fillId="0" borderId="10" xfId="58" applyFont="1" applyBorder="1">
      <alignment/>
      <protection/>
    </xf>
    <xf numFmtId="164" fontId="3" fillId="0" borderId="10" xfId="58" applyFont="1" applyBorder="1">
      <alignment/>
      <protection/>
    </xf>
    <xf numFmtId="3" fontId="3" fillId="0" borderId="10" xfId="58" applyNumberFormat="1" applyFont="1" applyBorder="1" applyAlignment="1">
      <alignment horizontal="right"/>
      <protection/>
    </xf>
    <xf numFmtId="164" fontId="2" fillId="0" borderId="10" xfId="58" applyFont="1" applyBorder="1" applyAlignment="1">
      <alignment horizontal="center"/>
      <protection/>
    </xf>
    <xf numFmtId="3" fontId="2" fillId="0" borderId="10" xfId="58" applyNumberFormat="1" applyFont="1" applyBorder="1">
      <alignment/>
      <protection/>
    </xf>
    <xf numFmtId="3" fontId="2" fillId="0" borderId="10" xfId="58" applyNumberFormat="1" applyFont="1" applyBorder="1" applyAlignment="1">
      <alignment horizontal="right"/>
      <protection/>
    </xf>
    <xf numFmtId="164" fontId="2" fillId="0" borderId="10" xfId="58" applyFont="1" applyBorder="1" applyAlignment="1">
      <alignment horizontal="left"/>
      <protection/>
    </xf>
    <xf numFmtId="164" fontId="3" fillId="0" borderId="10" xfId="58" applyFont="1" applyBorder="1" applyAlignment="1">
      <alignment horizontal="center"/>
      <protection/>
    </xf>
    <xf numFmtId="10" fontId="2" fillId="0" borderId="10" xfId="58" applyNumberFormat="1" applyFont="1" applyBorder="1">
      <alignment/>
      <protection/>
    </xf>
    <xf numFmtId="164" fontId="2" fillId="27" borderId="10" xfId="58" applyFont="1" applyFill="1" applyBorder="1">
      <alignment/>
      <protection/>
    </xf>
    <xf numFmtId="165" fontId="2" fillId="27" borderId="10" xfId="58" applyNumberFormat="1" applyFont="1" applyFill="1" applyBorder="1">
      <alignment/>
      <protection/>
    </xf>
    <xf numFmtId="10" fontId="2" fillId="27" borderId="10" xfId="58" applyNumberFormat="1" applyFont="1" applyFill="1" applyBorder="1">
      <alignment/>
      <protection/>
    </xf>
    <xf numFmtId="164" fontId="2" fillId="27" borderId="10" xfId="58" applyFont="1" applyFill="1" applyBorder="1" applyAlignment="1">
      <alignment horizontal="center"/>
      <protection/>
    </xf>
    <xf numFmtId="164" fontId="2" fillId="0" borderId="10" xfId="58" applyFont="1" applyBorder="1" applyAlignment="1">
      <alignment horizontal="right"/>
      <protection/>
    </xf>
    <xf numFmtId="164" fontId="2" fillId="20" borderId="10" xfId="58" applyFont="1" applyFill="1" applyBorder="1">
      <alignment/>
      <protection/>
    </xf>
    <xf numFmtId="165" fontId="2" fillId="20" borderId="10" xfId="58" applyNumberFormat="1" applyFont="1" applyFill="1" applyBorder="1">
      <alignment/>
      <protection/>
    </xf>
    <xf numFmtId="10" fontId="2" fillId="20" borderId="10" xfId="58" applyNumberFormat="1" applyFont="1" applyFill="1" applyBorder="1">
      <alignment/>
      <protection/>
    </xf>
    <xf numFmtId="164" fontId="2" fillId="20" borderId="10" xfId="58" applyFont="1" applyFill="1" applyBorder="1" applyAlignment="1">
      <alignment horizontal="center"/>
      <protection/>
    </xf>
    <xf numFmtId="41" fontId="2" fillId="0" borderId="10" xfId="0" applyNumberFormat="1" applyFont="1" applyBorder="1" applyAlignment="1">
      <alignment/>
    </xf>
    <xf numFmtId="4" fontId="3" fillId="0" borderId="10" xfId="58" applyNumberFormat="1" applyFont="1" applyBorder="1" applyAlignment="1">
      <alignment horizontal="center"/>
      <protection/>
    </xf>
    <xf numFmtId="3" fontId="3" fillId="0" borderId="10" xfId="58" applyNumberFormat="1" applyFont="1" applyBorder="1">
      <alignment/>
      <protection/>
    </xf>
    <xf numFmtId="3" fontId="2" fillId="0" borderId="10" xfId="58" applyNumberFormat="1" applyFont="1" applyBorder="1" applyAlignment="1">
      <alignment horizontal="center"/>
      <protection/>
    </xf>
    <xf numFmtId="10" fontId="2" fillId="0" borderId="10" xfId="58" applyNumberFormat="1" applyFont="1" applyBorder="1" applyAlignment="1">
      <alignment horizontal="right"/>
      <protection/>
    </xf>
    <xf numFmtId="10" fontId="2" fillId="0" borderId="10" xfId="58" applyNumberFormat="1" applyFont="1" applyBorder="1" applyAlignment="1">
      <alignment horizontal="center"/>
      <protection/>
    </xf>
    <xf numFmtId="3" fontId="2" fillId="0" borderId="10" xfId="0" applyNumberFormat="1" applyFont="1" applyBorder="1" applyAlignment="1">
      <alignment/>
    </xf>
    <xf numFmtId="10" fontId="2" fillId="0" borderId="10" xfId="0" applyNumberFormat="1" applyFont="1" applyBorder="1" applyAlignment="1">
      <alignment/>
    </xf>
    <xf numFmtId="4" fontId="2" fillId="0" borderId="10" xfId="58" applyNumberFormat="1" applyFont="1" applyBorder="1">
      <alignment/>
      <protection/>
    </xf>
    <xf numFmtId="3" fontId="2" fillId="0" borderId="10" xfId="58" applyNumberFormat="1" applyFont="1" applyFill="1" applyBorder="1">
      <alignment/>
      <protection/>
    </xf>
    <xf numFmtId="3" fontId="2" fillId="0" borderId="10" xfId="58" applyNumberFormat="1" applyFont="1" applyFill="1" applyBorder="1" applyAlignment="1">
      <alignment horizontal="center"/>
      <protection/>
    </xf>
    <xf numFmtId="10" fontId="3" fillId="0" borderId="10" xfId="58" applyNumberFormat="1" applyFont="1" applyBorder="1" applyAlignment="1">
      <alignment horizontal="center"/>
      <protection/>
    </xf>
    <xf numFmtId="10" fontId="3" fillId="0" borderId="10" xfId="58" applyNumberFormat="1" applyFont="1" applyBorder="1">
      <alignment/>
      <protection/>
    </xf>
    <xf numFmtId="3" fontId="3" fillId="20" borderId="10" xfId="58" applyNumberFormat="1" applyFont="1" applyFill="1" applyBorder="1">
      <alignment/>
      <protection/>
    </xf>
    <xf numFmtId="3" fontId="2" fillId="20" borderId="10" xfId="58" applyNumberFormat="1" applyFont="1" applyFill="1" applyBorder="1">
      <alignment/>
      <protection/>
    </xf>
    <xf numFmtId="166" fontId="2" fillId="0" borderId="10" xfId="58" applyNumberFormat="1" applyFont="1" applyBorder="1">
      <alignment/>
      <protection/>
    </xf>
    <xf numFmtId="166" fontId="3" fillId="0" borderId="10" xfId="58" applyNumberFormat="1" applyFont="1" applyBorder="1">
      <alignment/>
      <protection/>
    </xf>
    <xf numFmtId="167" fontId="2" fillId="0" borderId="10" xfId="58" applyNumberFormat="1" applyFont="1" applyBorder="1">
      <alignment/>
      <protection/>
    </xf>
    <xf numFmtId="3" fontId="2" fillId="20" borderId="10" xfId="58" applyNumberFormat="1" applyFont="1" applyFill="1" applyBorder="1" applyAlignment="1">
      <alignment horizontal="right"/>
      <protection/>
    </xf>
    <xf numFmtId="3" fontId="2" fillId="20" borderId="10" xfId="58" applyNumberFormat="1" applyFont="1" applyFill="1" applyBorder="1" applyAlignment="1" quotePrefix="1">
      <alignment horizontal="right"/>
      <protection/>
    </xf>
    <xf numFmtId="3" fontId="2" fillId="20" borderId="10" xfId="58" applyNumberFormat="1" applyFont="1" applyFill="1" applyBorder="1" applyAlignment="1">
      <alignment horizontal="left"/>
      <protection/>
    </xf>
    <xf numFmtId="41" fontId="2" fillId="26" borderId="10" xfId="0" applyNumberFormat="1" applyFont="1" applyFill="1" applyBorder="1" applyAlignment="1">
      <alignment/>
    </xf>
    <xf numFmtId="3" fontId="2" fillId="26" borderId="10" xfId="58" applyNumberFormat="1" applyFont="1" applyFill="1" applyBorder="1">
      <alignment/>
      <protection/>
    </xf>
    <xf numFmtId="4" fontId="2" fillId="0" borderId="10" xfId="0" applyNumberFormat="1" applyFont="1" applyBorder="1" applyAlignment="1">
      <alignment/>
    </xf>
    <xf numFmtId="41" fontId="2" fillId="0" borderId="10" xfId="0" applyNumberFormat="1" applyFont="1" applyFill="1" applyBorder="1" applyAlignment="1">
      <alignment/>
    </xf>
    <xf numFmtId="0" fontId="2" fillId="0" borderId="10" xfId="0" applyFont="1" applyFill="1" applyBorder="1" applyAlignment="1">
      <alignment/>
    </xf>
    <xf numFmtId="3" fontId="2" fillId="0" borderId="10" xfId="0" applyNumberFormat="1" applyFont="1" applyFill="1" applyBorder="1" applyAlignment="1">
      <alignment/>
    </xf>
    <xf numFmtId="4" fontId="2" fillId="0" borderId="10" xfId="0" applyNumberFormat="1" applyFont="1" applyFill="1" applyBorder="1" applyAlignment="1">
      <alignment/>
    </xf>
    <xf numFmtId="41" fontId="2" fillId="24" borderId="10" xfId="0" applyNumberFormat="1" applyFont="1" applyFill="1" applyBorder="1" applyAlignment="1">
      <alignment/>
    </xf>
    <xf numFmtId="3" fontId="2" fillId="24" borderId="10" xfId="58" applyNumberFormat="1" applyFont="1" applyFill="1" applyBorder="1">
      <alignment/>
      <protection/>
    </xf>
    <xf numFmtId="3" fontId="2" fillId="24" borderId="10" xfId="0" applyNumberFormat="1" applyFont="1" applyFill="1" applyBorder="1" applyAlignment="1">
      <alignment/>
    </xf>
    <xf numFmtId="0" fontId="2" fillId="24" borderId="10" xfId="0" applyFont="1" applyFill="1" applyBorder="1" applyAlignment="1">
      <alignment/>
    </xf>
    <xf numFmtId="3" fontId="35" fillId="24" borderId="10" xfId="58" applyNumberFormat="1" applyFont="1" applyFill="1" applyBorder="1">
      <alignment/>
      <protection/>
    </xf>
    <xf numFmtId="164" fontId="2" fillId="24" borderId="10" xfId="58" applyFont="1" applyFill="1" applyBorder="1">
      <alignment/>
      <protection/>
    </xf>
    <xf numFmtId="0" fontId="2" fillId="0" borderId="10" xfId="0" applyFont="1" applyBorder="1" applyAlignment="1">
      <alignment horizontal="center"/>
    </xf>
    <xf numFmtId="0" fontId="2" fillId="0" borderId="10" xfId="0" applyFont="1" applyFill="1" applyBorder="1" applyAlignment="1">
      <alignment horizontal="center"/>
    </xf>
    <xf numFmtId="3" fontId="2" fillId="0" borderId="10" xfId="0" applyNumberFormat="1" applyFont="1" applyBorder="1" applyAlignment="1">
      <alignment horizontal="right"/>
    </xf>
    <xf numFmtId="0" fontId="0" fillId="0" borderId="0" xfId="0" applyFont="1" applyAlignment="1">
      <alignment horizontal="left" wrapText="1"/>
    </xf>
    <xf numFmtId="0" fontId="0" fillId="0" borderId="0" xfId="0" applyAlignment="1">
      <alignment horizontal="left" wrapText="1"/>
    </xf>
    <xf numFmtId="3" fontId="6" fillId="26" borderId="0" xfId="56" applyNumberFormat="1" applyFont="1" applyFill="1" applyAlignment="1">
      <alignment horizontal="center"/>
      <protection/>
    </xf>
    <xf numFmtId="0" fontId="34" fillId="26" borderId="19" xfId="0" applyFont="1" applyFill="1" applyBorder="1" applyAlignment="1">
      <alignment horizont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_Proforma 3-10" xfId="56"/>
    <cellStyle name="Normal_Proforma 3-10 Revised" xfId="57"/>
    <cellStyle name="Normal_Proforma Yakima" xfId="58"/>
    <cellStyle name="Normal_Rates-Joes" xfId="59"/>
    <cellStyle name="Normal_Rural Revenue, Rate, DF"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estfile01\Distshares\Western%20Region\WUTC\WUTC-LeMay\Filing%20Lewis%20County\Proforma%20Lewis%20Cnty-Revis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tlement Pro forma"/>
      <sheetName val="Pro forma Lewis County"/>
      <sheetName val="LG Total"/>
      <sheetName val="LG Pckr Rts"/>
      <sheetName val="LG Roll-Off"/>
      <sheetName val="LG Recycl"/>
      <sheetName val="LG YW"/>
      <sheetName val="Price-out"/>
      <sheetName val="Rate Schedule"/>
    </sheetNames>
    <sheetDataSet>
      <sheetData sheetId="5">
        <row r="5">
          <cell r="E5">
            <v>701733.1602225467</v>
          </cell>
        </row>
        <row r="6">
          <cell r="E6">
            <v>117377.6133225466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F0"/>
  </sheetPr>
  <dimension ref="A1:I4"/>
  <sheetViews>
    <sheetView view="pageBreakPreview" zoomScaleSheetLayoutView="100" zoomScalePageLayoutView="0" workbookViewId="0" topLeftCell="A1">
      <selection activeCell="C25" sqref="C25"/>
    </sheetView>
  </sheetViews>
  <sheetFormatPr defaultColWidth="9.140625" defaultRowHeight="12.75"/>
  <sheetData>
    <row r="1" ht="12.75">
      <c r="A1" s="133" t="s">
        <v>486</v>
      </c>
    </row>
    <row r="4" spans="1:9" ht="69.75" customHeight="1">
      <c r="A4" s="199" t="s">
        <v>487</v>
      </c>
      <c r="B4" s="200"/>
      <c r="C4" s="200"/>
      <c r="D4" s="200"/>
      <c r="E4" s="200"/>
      <c r="F4" s="200"/>
      <c r="G4" s="200"/>
      <c r="H4" s="200"/>
      <c r="I4" s="200"/>
    </row>
  </sheetData>
  <sheetProtection/>
  <mergeCells count="1">
    <mergeCell ref="A4:I4"/>
  </mergeCells>
  <printOptions/>
  <pageMargins left="0.7" right="0.7" top="0.75" bottom="0.75" header="0.3" footer="0.3"/>
  <pageSetup horizontalDpi="600" verticalDpi="600" orientation="portrait" pageOrder="overThenDown" r:id="rId1"/>
  <headerFooter>
    <oddFooter>&amp;CPage &amp;P of &amp;N</oddFooter>
  </headerFooter>
</worksheet>
</file>

<file path=xl/worksheets/sheet2.xml><?xml version="1.0" encoding="utf-8"?>
<worksheet xmlns="http://schemas.openxmlformats.org/spreadsheetml/2006/main" xmlns:r="http://schemas.openxmlformats.org/officeDocument/2006/relationships">
  <sheetPr>
    <tabColor rgb="FF00B0F0"/>
    <pageSetUpPr fitToPage="1"/>
  </sheetPr>
  <dimension ref="A1:Z292"/>
  <sheetViews>
    <sheetView tabSelected="1" zoomScaleSheetLayoutView="40" workbookViewId="0" topLeftCell="A1">
      <selection activeCell="Z41" sqref="Z41"/>
    </sheetView>
  </sheetViews>
  <sheetFormatPr defaultColWidth="9.140625" defaultRowHeight="12.75"/>
  <cols>
    <col min="1" max="1" width="20.28125" style="4" customWidth="1"/>
    <col min="2" max="3" width="11.8515625" style="4" customWidth="1"/>
    <col min="4" max="4" width="11.8515625" style="116" customWidth="1"/>
    <col min="5" max="5" width="1.1484375" style="143" customWidth="1"/>
    <col min="6" max="9" width="9.57421875" style="143" customWidth="1"/>
    <col min="10" max="10" width="1.1484375" style="143" customWidth="1"/>
    <col min="11" max="14" width="10.421875" style="144" customWidth="1"/>
    <col min="15" max="15" width="2.7109375" style="144" customWidth="1"/>
    <col min="16" max="16" width="7.7109375" style="144" customWidth="1"/>
    <col min="17" max="17" width="1.28515625" style="143" customWidth="1"/>
    <col min="18" max="18" width="13.57421875" style="143" customWidth="1"/>
    <col min="19" max="22" width="9.140625" style="143" customWidth="1"/>
    <col min="23" max="23" width="11.140625" style="143" bestFit="1" customWidth="1"/>
    <col min="24" max="25" width="9.140625" style="143" customWidth="1"/>
    <col min="26" max="26" width="9.28125" style="143" customWidth="1"/>
    <col min="27" max="16384" width="9.140625" style="143" customWidth="1"/>
  </cols>
  <sheetData>
    <row r="1" spans="1:24" ht="11.25">
      <c r="A1" s="4" t="s">
        <v>3</v>
      </c>
      <c r="B1" s="5"/>
      <c r="C1" s="5"/>
      <c r="D1" s="111"/>
      <c r="R1" s="145" t="s">
        <v>81</v>
      </c>
      <c r="S1" s="144"/>
      <c r="T1" s="146"/>
      <c r="U1" s="144"/>
      <c r="V1" s="144"/>
      <c r="W1" s="144"/>
      <c r="X1" s="147"/>
    </row>
    <row r="2" spans="1:24" ht="11.25">
      <c r="A2" s="4" t="s">
        <v>4</v>
      </c>
      <c r="C2" s="5"/>
      <c r="D2" s="111"/>
      <c r="R2" s="144"/>
      <c r="S2" s="148"/>
      <c r="T2" s="146"/>
      <c r="U2" s="144"/>
      <c r="V2" s="144"/>
      <c r="W2" s="144"/>
      <c r="X2" s="149"/>
    </row>
    <row r="3" spans="1:24" ht="11.25">
      <c r="A3" s="5"/>
      <c r="B3" s="5"/>
      <c r="C3" s="6"/>
      <c r="D3" s="111"/>
      <c r="K3" s="143"/>
      <c r="L3" s="1"/>
      <c r="M3" s="1"/>
      <c r="N3" s="1"/>
      <c r="O3" s="1"/>
      <c r="P3" s="3"/>
      <c r="R3" s="1"/>
      <c r="S3" s="1"/>
      <c r="T3" s="2"/>
      <c r="U3" s="1"/>
      <c r="V3" s="1"/>
      <c r="W3" s="1"/>
      <c r="X3" s="1"/>
    </row>
    <row r="4" spans="1:24" ht="11.25">
      <c r="A4" s="5" t="s">
        <v>5</v>
      </c>
      <c r="B4" s="5"/>
      <c r="D4" s="111"/>
      <c r="R4" s="5" t="s">
        <v>5</v>
      </c>
      <c r="S4" s="148"/>
      <c r="T4" s="146"/>
      <c r="U4" s="144"/>
      <c r="V4" s="144"/>
      <c r="W4" s="144"/>
      <c r="X4" s="149"/>
    </row>
    <row r="5" spans="1:24" ht="11.25">
      <c r="A5" s="5"/>
      <c r="C5" s="5"/>
      <c r="D5" s="112"/>
      <c r="R5" s="150"/>
      <c r="S5" s="146"/>
      <c r="T5" s="146"/>
      <c r="U5" s="151"/>
      <c r="V5" s="151"/>
      <c r="W5" s="150"/>
      <c r="X5" s="149"/>
    </row>
    <row r="6" spans="1:24" ht="11.25">
      <c r="A6" s="5"/>
      <c r="B6" s="7" t="s">
        <v>0</v>
      </c>
      <c r="C6" s="7" t="s">
        <v>0</v>
      </c>
      <c r="D6" s="113" t="s">
        <v>0</v>
      </c>
      <c r="G6" s="8"/>
      <c r="H6" s="8"/>
      <c r="I6" s="8" t="s">
        <v>455</v>
      </c>
      <c r="J6" s="8"/>
      <c r="K6" s="7" t="s">
        <v>80</v>
      </c>
      <c r="L6" s="7" t="s">
        <v>80</v>
      </c>
      <c r="M6" s="7" t="s">
        <v>80</v>
      </c>
      <c r="N6" s="7" t="s">
        <v>80</v>
      </c>
      <c r="R6" s="144"/>
      <c r="S6" s="147"/>
      <c r="T6" s="147"/>
      <c r="U6" s="147"/>
      <c r="V6" s="144"/>
      <c r="W6" s="144"/>
      <c r="X6" s="149"/>
    </row>
    <row r="7" spans="1:24" ht="11.25">
      <c r="A7" s="5"/>
      <c r="B7" s="7" t="s">
        <v>1</v>
      </c>
      <c r="C7" s="7" t="s">
        <v>1</v>
      </c>
      <c r="D7" s="113" t="s">
        <v>1</v>
      </c>
      <c r="F7" s="8" t="s">
        <v>110</v>
      </c>
      <c r="G7" s="8" t="s">
        <v>110</v>
      </c>
      <c r="H7" s="8" t="s">
        <v>454</v>
      </c>
      <c r="I7" s="8" t="s">
        <v>334</v>
      </c>
      <c r="J7" s="8"/>
      <c r="K7" s="147" t="s">
        <v>98</v>
      </c>
      <c r="L7" s="147" t="s">
        <v>96</v>
      </c>
      <c r="N7" s="147" t="s">
        <v>99</v>
      </c>
      <c r="O7" s="147"/>
      <c r="R7" s="144"/>
      <c r="S7" s="152"/>
      <c r="T7" s="148"/>
      <c r="U7" s="152"/>
      <c r="V7" s="152"/>
      <c r="W7" s="144"/>
      <c r="X7" s="149"/>
    </row>
    <row r="8" spans="1:24" ht="11.25">
      <c r="A8" s="5" t="s">
        <v>6</v>
      </c>
      <c r="B8" s="7" t="s">
        <v>2</v>
      </c>
      <c r="C8" s="7" t="s">
        <v>79</v>
      </c>
      <c r="D8" s="113" t="s">
        <v>80</v>
      </c>
      <c r="F8" s="8" t="s">
        <v>111</v>
      </c>
      <c r="G8" s="7" t="s">
        <v>80</v>
      </c>
      <c r="H8" s="7" t="s">
        <v>338</v>
      </c>
      <c r="I8" s="7" t="s">
        <v>106</v>
      </c>
      <c r="J8" s="7"/>
      <c r="K8" s="147" t="s">
        <v>100</v>
      </c>
      <c r="L8" s="147" t="s">
        <v>100</v>
      </c>
      <c r="M8" s="147" t="s">
        <v>9</v>
      </c>
      <c r="N8" s="147" t="s">
        <v>101</v>
      </c>
      <c r="O8" s="147"/>
      <c r="P8" s="147"/>
      <c r="R8" s="153"/>
      <c r="S8" s="154"/>
      <c r="T8" s="154"/>
      <c r="U8" s="155"/>
      <c r="V8" s="153"/>
      <c r="W8" s="156"/>
      <c r="X8" s="157"/>
    </row>
    <row r="9" spans="1:24" ht="11.25">
      <c r="A9" s="5" t="s">
        <v>7</v>
      </c>
      <c r="B9" s="5"/>
      <c r="C9" s="5"/>
      <c r="D9" s="112"/>
      <c r="R9" s="158"/>
      <c r="S9" s="159"/>
      <c r="T9" s="159"/>
      <c r="U9" s="160"/>
      <c r="V9" s="158"/>
      <c r="W9" s="161"/>
      <c r="X9" s="159"/>
    </row>
    <row r="10" spans="1:24" ht="11.25">
      <c r="A10" s="5" t="s">
        <v>8</v>
      </c>
      <c r="B10" s="9">
        <v>2577532.869857282</v>
      </c>
      <c r="C10" s="9">
        <v>692487.8698572819</v>
      </c>
      <c r="D10" s="114">
        <v>1885045</v>
      </c>
      <c r="E10" s="162"/>
      <c r="F10" s="162">
        <f>S79</f>
        <v>6992.5</v>
      </c>
      <c r="G10" s="162">
        <f>D10+F10</f>
        <v>1892037.5</v>
      </c>
      <c r="H10" s="162">
        <f>'Price-out'!K166</f>
        <v>58575.98109999999</v>
      </c>
      <c r="I10" s="162">
        <f>G10+H10</f>
        <v>1950613.4811</v>
      </c>
      <c r="J10" s="162"/>
      <c r="K10" s="148">
        <f>G10</f>
        <v>1892037.5</v>
      </c>
      <c r="L10" s="148"/>
      <c r="M10" s="148"/>
      <c r="N10" s="148"/>
      <c r="O10" s="148">
        <f aca="true" t="shared" si="0" ref="O10:O23">SUM(K10:N10)-G10</f>
        <v>0</v>
      </c>
      <c r="P10" s="148" t="s">
        <v>102</v>
      </c>
      <c r="R10" s="148"/>
      <c r="S10" s="151" t="s">
        <v>82</v>
      </c>
      <c r="T10" s="163" t="s">
        <v>83</v>
      </c>
      <c r="U10" s="163" t="s">
        <v>84</v>
      </c>
      <c r="V10" s="151" t="s">
        <v>82</v>
      </c>
      <c r="W10" s="163"/>
      <c r="X10" s="147" t="s">
        <v>107</v>
      </c>
    </row>
    <row r="11" spans="1:25" ht="11.25">
      <c r="A11" s="5" t="s">
        <v>9</v>
      </c>
      <c r="B11" s="9">
        <v>837211.06</v>
      </c>
      <c r="C11" s="9">
        <v>259355.04</v>
      </c>
      <c r="D11" s="114">
        <v>577856.02</v>
      </c>
      <c r="E11" s="162"/>
      <c r="F11" s="162">
        <f>S80</f>
        <v>1363.5</v>
      </c>
      <c r="G11" s="162">
        <f aca="true" t="shared" si="1" ref="G11:G22">D11+F11</f>
        <v>579219.52</v>
      </c>
      <c r="H11" s="162">
        <f>'Price-out'!K173</f>
        <v>108187.45079999999</v>
      </c>
      <c r="I11" s="162">
        <f aca="true" t="shared" si="2" ref="I11:I22">G11+H11</f>
        <v>687406.9708</v>
      </c>
      <c r="J11" s="162"/>
      <c r="K11" s="148"/>
      <c r="L11" s="148"/>
      <c r="M11" s="148">
        <f>G11</f>
        <v>579219.52</v>
      </c>
      <c r="N11" s="148"/>
      <c r="O11" s="148">
        <f t="shared" si="0"/>
        <v>0</v>
      </c>
      <c r="P11" s="148" t="s">
        <v>102</v>
      </c>
      <c r="R11" s="164" t="s">
        <v>85</v>
      </c>
      <c r="S11" s="165"/>
      <c r="T11" s="165"/>
      <c r="U11" s="165" t="s">
        <v>86</v>
      </c>
      <c r="V11" s="165"/>
      <c r="W11" s="166"/>
      <c r="X11" s="167" t="s">
        <v>452</v>
      </c>
      <c r="Y11" s="168"/>
    </row>
    <row r="12" spans="1:25" ht="11.25">
      <c r="A12" s="5" t="s">
        <v>10</v>
      </c>
      <c r="B12" s="9">
        <v>19667.64</v>
      </c>
      <c r="C12" s="9">
        <v>4017.41</v>
      </c>
      <c r="D12" s="114">
        <v>15650.23</v>
      </c>
      <c r="E12" s="162"/>
      <c r="F12" s="162"/>
      <c r="G12" s="162">
        <f t="shared" si="1"/>
        <v>15650.23</v>
      </c>
      <c r="H12" s="162">
        <f>'Price-out'!K175</f>
        <v>0</v>
      </c>
      <c r="I12" s="162">
        <f t="shared" si="2"/>
        <v>15650.23</v>
      </c>
      <c r="J12" s="162"/>
      <c r="K12" s="148"/>
      <c r="L12" s="148"/>
      <c r="M12" s="148"/>
      <c r="N12" s="148">
        <f>G12</f>
        <v>15650.23</v>
      </c>
      <c r="O12" s="148">
        <f t="shared" si="0"/>
        <v>0</v>
      </c>
      <c r="P12" s="148" t="s">
        <v>102</v>
      </c>
      <c r="R12" s="148" t="s">
        <v>87</v>
      </c>
      <c r="S12" s="149">
        <v>10227</v>
      </c>
      <c r="T12" s="149">
        <v>3474</v>
      </c>
      <c r="U12" s="149">
        <f aca="true" t="shared" si="3" ref="U12:U18">SUM(S12:T12)</f>
        <v>13701</v>
      </c>
      <c r="V12" s="152">
        <f aca="true" t="shared" si="4" ref="V12:V18">S12/S$21</f>
        <v>0.49415345960572093</v>
      </c>
      <c r="W12" s="152"/>
      <c r="X12" s="148">
        <f>S12</f>
        <v>10227</v>
      </c>
      <c r="Y12" s="152">
        <f aca="true" t="shared" si="5" ref="Y12:Y17">X12/X$21</f>
        <v>0.6266544117647059</v>
      </c>
    </row>
    <row r="13" spans="1:25" ht="11.25">
      <c r="A13" s="5" t="s">
        <v>11</v>
      </c>
      <c r="B13" s="9">
        <v>170003.99688456766</v>
      </c>
      <c r="C13" s="9">
        <v>72919</v>
      </c>
      <c r="D13" s="114">
        <v>97085</v>
      </c>
      <c r="E13" s="162"/>
      <c r="F13" s="162">
        <f>S81</f>
        <v>-1325</v>
      </c>
      <c r="G13" s="162">
        <f t="shared" si="1"/>
        <v>95760</v>
      </c>
      <c r="H13" s="162">
        <f>G13*0.04344</f>
        <v>4159.8144</v>
      </c>
      <c r="I13" s="162">
        <f t="shared" si="2"/>
        <v>99919.8144</v>
      </c>
      <c r="J13" s="162"/>
      <c r="K13" s="148">
        <f>G13</f>
        <v>95760</v>
      </c>
      <c r="L13" s="148"/>
      <c r="M13" s="148"/>
      <c r="N13" s="148"/>
      <c r="O13" s="148">
        <f t="shared" si="0"/>
        <v>0</v>
      </c>
      <c r="P13" s="148" t="s">
        <v>102</v>
      </c>
      <c r="R13" s="148" t="s">
        <v>88</v>
      </c>
      <c r="S13" s="149">
        <v>525</v>
      </c>
      <c r="T13" s="149">
        <v>712</v>
      </c>
      <c r="U13" s="149">
        <f t="shared" si="3"/>
        <v>1237</v>
      </c>
      <c r="V13" s="152">
        <f t="shared" si="4"/>
        <v>0.025367220718979514</v>
      </c>
      <c r="W13" s="152"/>
      <c r="X13" s="148">
        <f aca="true" t="shared" si="6" ref="X13:X18">S13</f>
        <v>525</v>
      </c>
      <c r="Y13" s="152">
        <f t="shared" si="5"/>
        <v>0.03216911764705882</v>
      </c>
    </row>
    <row r="14" spans="1:26" ht="11.25">
      <c r="A14" s="5" t="s">
        <v>12</v>
      </c>
      <c r="B14" s="9">
        <v>1811963.068797146</v>
      </c>
      <c r="C14" s="9">
        <v>468335.06879714597</v>
      </c>
      <c r="D14" s="114">
        <v>1343628</v>
      </c>
      <c r="E14" s="162"/>
      <c r="F14" s="162"/>
      <c r="G14" s="162">
        <f t="shared" si="1"/>
        <v>1343628</v>
      </c>
      <c r="H14" s="162">
        <f>'Price-out'!K168-H13</f>
        <v>39961.76770200002</v>
      </c>
      <c r="I14" s="162">
        <f t="shared" si="2"/>
        <v>1383589.767702</v>
      </c>
      <c r="J14" s="162"/>
      <c r="K14" s="148">
        <f>G14</f>
        <v>1343628</v>
      </c>
      <c r="L14" s="148"/>
      <c r="M14" s="148"/>
      <c r="N14" s="148"/>
      <c r="O14" s="148">
        <f t="shared" si="0"/>
        <v>0</v>
      </c>
      <c r="P14" s="148" t="s">
        <v>102</v>
      </c>
      <c r="R14" s="148" t="s">
        <v>89</v>
      </c>
      <c r="S14" s="149">
        <v>1017</v>
      </c>
      <c r="T14" s="149">
        <v>260</v>
      </c>
      <c r="U14" s="149">
        <f t="shared" si="3"/>
        <v>1277</v>
      </c>
      <c r="V14" s="152">
        <f t="shared" si="4"/>
        <v>0.049139930421337456</v>
      </c>
      <c r="W14" s="152">
        <f>V12+V13+V14</f>
        <v>0.5686606107460379</v>
      </c>
      <c r="X14" s="148">
        <f t="shared" si="6"/>
        <v>1017</v>
      </c>
      <c r="Y14" s="152">
        <f t="shared" si="5"/>
        <v>0.062316176470588236</v>
      </c>
      <c r="Z14" s="169">
        <f>SUM(Y12:Y14)</f>
        <v>0.721139705882353</v>
      </c>
    </row>
    <row r="15" spans="1:25" ht="11.25">
      <c r="A15" s="5" t="s">
        <v>13</v>
      </c>
      <c r="B15" s="9">
        <v>450394.55</v>
      </c>
      <c r="C15" s="9">
        <v>132668.55</v>
      </c>
      <c r="D15" s="114">
        <v>317726</v>
      </c>
      <c r="E15" s="162"/>
      <c r="F15" s="162">
        <f>S82</f>
        <v>-7031</v>
      </c>
      <c r="G15" s="162">
        <f t="shared" si="1"/>
        <v>310695</v>
      </c>
      <c r="H15" s="162">
        <f>'Price-out'!K171</f>
        <v>203872.85609999998</v>
      </c>
      <c r="I15" s="162">
        <f t="shared" si="2"/>
        <v>514567.8561</v>
      </c>
      <c r="J15" s="162"/>
      <c r="K15" s="148"/>
      <c r="L15" s="148">
        <f>G15</f>
        <v>310695</v>
      </c>
      <c r="M15" s="148"/>
      <c r="N15" s="148"/>
      <c r="O15" s="148">
        <f t="shared" si="0"/>
        <v>0</v>
      </c>
      <c r="P15" s="148" t="s">
        <v>102</v>
      </c>
      <c r="R15" s="148" t="s">
        <v>90</v>
      </c>
      <c r="S15" s="149">
        <v>37</v>
      </c>
      <c r="T15" s="149">
        <v>14</v>
      </c>
      <c r="U15" s="149">
        <f t="shared" si="3"/>
        <v>51</v>
      </c>
      <c r="V15" s="152">
        <f t="shared" si="4"/>
        <v>0.0017877850792423658</v>
      </c>
      <c r="W15" s="152"/>
      <c r="X15" s="148">
        <f t="shared" si="6"/>
        <v>37</v>
      </c>
      <c r="Y15" s="152">
        <f t="shared" si="5"/>
        <v>0.0022671568627450982</v>
      </c>
    </row>
    <row r="16" spans="1:25" ht="11.25">
      <c r="A16" s="5" t="s">
        <v>14</v>
      </c>
      <c r="B16" s="9">
        <v>741806.1124999999</v>
      </c>
      <c r="C16" s="9">
        <v>268616</v>
      </c>
      <c r="D16" s="114">
        <v>473190</v>
      </c>
      <c r="E16" s="162"/>
      <c r="F16" s="162"/>
      <c r="G16" s="162">
        <f t="shared" si="1"/>
        <v>473190</v>
      </c>
      <c r="H16" s="162"/>
      <c r="I16" s="162">
        <f t="shared" si="2"/>
        <v>473190</v>
      </c>
      <c r="J16" s="162"/>
      <c r="K16" s="148"/>
      <c r="L16" s="148">
        <f>G16</f>
        <v>473190</v>
      </c>
      <c r="M16" s="148"/>
      <c r="N16" s="148"/>
      <c r="O16" s="148">
        <f t="shared" si="0"/>
        <v>0</v>
      </c>
      <c r="P16" s="148" t="s">
        <v>102</v>
      </c>
      <c r="R16" s="148" t="s">
        <v>9</v>
      </c>
      <c r="S16" s="149">
        <v>8752</v>
      </c>
      <c r="T16" s="149">
        <v>3436</v>
      </c>
      <c r="U16" s="149">
        <f t="shared" si="3"/>
        <v>12188</v>
      </c>
      <c r="V16" s="152">
        <f t="shared" si="4"/>
        <v>0.42288364901430225</v>
      </c>
      <c r="W16" s="152"/>
      <c r="X16" s="148">
        <f>S16/2</f>
        <v>4376</v>
      </c>
      <c r="Y16" s="152">
        <f t="shared" si="5"/>
        <v>0.2681372549019608</v>
      </c>
    </row>
    <row r="17" spans="1:25" ht="11.25">
      <c r="A17" s="5" t="s">
        <v>15</v>
      </c>
      <c r="B17" s="9">
        <v>16286.66</v>
      </c>
      <c r="C17" s="9">
        <v>14811</v>
      </c>
      <c r="D17" s="114">
        <v>1476</v>
      </c>
      <c r="E17" s="162"/>
      <c r="F17" s="162"/>
      <c r="G17" s="162">
        <f t="shared" si="1"/>
        <v>1476</v>
      </c>
      <c r="H17" s="162"/>
      <c r="I17" s="162">
        <f t="shared" si="2"/>
        <v>1476</v>
      </c>
      <c r="J17" s="162"/>
      <c r="K17" s="148"/>
      <c r="L17" s="148"/>
      <c r="M17" s="148">
        <v>1476</v>
      </c>
      <c r="N17" s="148"/>
      <c r="O17" s="148">
        <f t="shared" si="0"/>
        <v>0</v>
      </c>
      <c r="P17" s="148" t="s">
        <v>102</v>
      </c>
      <c r="R17" s="148" t="s">
        <v>10</v>
      </c>
      <c r="S17" s="149">
        <v>138</v>
      </c>
      <c r="T17" s="149">
        <v>21</v>
      </c>
      <c r="U17" s="149">
        <f t="shared" si="3"/>
        <v>159</v>
      </c>
      <c r="V17" s="152">
        <f t="shared" si="4"/>
        <v>0.0066679551604174716</v>
      </c>
      <c r="W17" s="152"/>
      <c r="X17" s="148">
        <f t="shared" si="6"/>
        <v>138</v>
      </c>
      <c r="Y17" s="152">
        <f t="shared" si="5"/>
        <v>0.008455882352941176</v>
      </c>
    </row>
    <row r="18" spans="1:25" ht="11.25">
      <c r="A18" s="5" t="s">
        <v>16</v>
      </c>
      <c r="B18" s="9">
        <v>0</v>
      </c>
      <c r="C18" s="9">
        <v>0</v>
      </c>
      <c r="D18" s="114">
        <v>0</v>
      </c>
      <c r="E18" s="162"/>
      <c r="F18" s="162"/>
      <c r="G18" s="162">
        <f t="shared" si="1"/>
        <v>0</v>
      </c>
      <c r="H18" s="162"/>
      <c r="I18" s="162">
        <f t="shared" si="2"/>
        <v>0</v>
      </c>
      <c r="J18" s="162"/>
      <c r="K18" s="148"/>
      <c r="L18" s="148"/>
      <c r="M18" s="170"/>
      <c r="N18" s="148"/>
      <c r="O18" s="148">
        <f t="shared" si="0"/>
        <v>0</v>
      </c>
      <c r="P18" s="148" t="s">
        <v>102</v>
      </c>
      <c r="R18" s="148" t="s">
        <v>91</v>
      </c>
      <c r="S18" s="149"/>
      <c r="T18" s="149">
        <v>321</v>
      </c>
      <c r="U18" s="149">
        <f t="shared" si="3"/>
        <v>321</v>
      </c>
      <c r="V18" s="152">
        <f t="shared" si="4"/>
        <v>0</v>
      </c>
      <c r="W18" s="152"/>
      <c r="X18" s="148">
        <f t="shared" si="6"/>
        <v>0</v>
      </c>
      <c r="Y18" s="152">
        <f>V18/V$21</f>
        <v>0</v>
      </c>
    </row>
    <row r="19" spans="1:24" ht="11.25">
      <c r="A19" s="5" t="s">
        <v>17</v>
      </c>
      <c r="B19" s="9">
        <v>0</v>
      </c>
      <c r="C19" s="9">
        <v>0</v>
      </c>
      <c r="D19" s="114"/>
      <c r="E19" s="162"/>
      <c r="F19" s="162"/>
      <c r="G19" s="162">
        <f t="shared" si="1"/>
        <v>0</v>
      </c>
      <c r="H19" s="162"/>
      <c r="I19" s="162">
        <f t="shared" si="2"/>
        <v>0</v>
      </c>
      <c r="J19" s="162"/>
      <c r="K19" s="171"/>
      <c r="L19" s="148"/>
      <c r="M19" s="170"/>
      <c r="N19" s="170"/>
      <c r="O19" s="148">
        <f t="shared" si="0"/>
        <v>0</v>
      </c>
      <c r="P19" s="148" t="s">
        <v>102</v>
      </c>
      <c r="R19" s="148"/>
      <c r="S19" s="149"/>
      <c r="T19" s="149"/>
      <c r="U19" s="149"/>
      <c r="V19" s="152"/>
      <c r="W19" s="171"/>
      <c r="X19" s="171"/>
    </row>
    <row r="20" spans="1:24" ht="11.25">
      <c r="A20" s="5" t="s">
        <v>18</v>
      </c>
      <c r="B20" s="9">
        <v>0</v>
      </c>
      <c r="C20" s="9">
        <v>0</v>
      </c>
      <c r="D20" s="114"/>
      <c r="E20" s="162"/>
      <c r="F20" s="162"/>
      <c r="G20" s="162">
        <f t="shared" si="1"/>
        <v>0</v>
      </c>
      <c r="H20" s="162"/>
      <c r="I20" s="162">
        <f t="shared" si="2"/>
        <v>0</v>
      </c>
      <c r="J20" s="162"/>
      <c r="K20" s="170"/>
      <c r="L20" s="148"/>
      <c r="M20" s="171"/>
      <c r="N20" s="170"/>
      <c r="O20" s="148">
        <f t="shared" si="0"/>
        <v>0</v>
      </c>
      <c r="P20" s="148" t="s">
        <v>102</v>
      </c>
      <c r="R20" s="148"/>
      <c r="S20" s="149"/>
      <c r="T20" s="149"/>
      <c r="U20" s="149"/>
      <c r="V20" s="152"/>
      <c r="W20" s="171"/>
      <c r="X20" s="171"/>
    </row>
    <row r="21" spans="1:25" ht="11.25">
      <c r="A21" s="5" t="s">
        <v>19</v>
      </c>
      <c r="B21" s="9"/>
      <c r="C21" s="9"/>
      <c r="D21" s="114"/>
      <c r="E21" s="162"/>
      <c r="F21" s="162"/>
      <c r="G21" s="162">
        <f t="shared" si="1"/>
        <v>0</v>
      </c>
      <c r="H21" s="162"/>
      <c r="I21" s="162">
        <f t="shared" si="2"/>
        <v>0</v>
      </c>
      <c r="J21" s="162"/>
      <c r="K21" s="148"/>
      <c r="L21" s="148"/>
      <c r="M21" s="148"/>
      <c r="N21" s="148"/>
      <c r="O21" s="148">
        <f t="shared" si="0"/>
        <v>0</v>
      </c>
      <c r="P21" s="148" t="s">
        <v>102</v>
      </c>
      <c r="R21" s="148" t="s">
        <v>84</v>
      </c>
      <c r="S21" s="149">
        <f>SUM(S12:S19)</f>
        <v>20696</v>
      </c>
      <c r="T21" s="149">
        <f>SUM(T12:T18)</f>
        <v>8238</v>
      </c>
      <c r="U21" s="149">
        <f>SUM(U12:U18)</f>
        <v>28934</v>
      </c>
      <c r="V21" s="152">
        <f>SUM(V12:V19)</f>
        <v>1</v>
      </c>
      <c r="W21" s="152"/>
      <c r="X21" s="171">
        <f>SUM(X12:X20)</f>
        <v>16320</v>
      </c>
      <c r="Y21" s="169">
        <f>SUM(Y12:Y20)</f>
        <v>1.0000000000000002</v>
      </c>
    </row>
    <row r="22" spans="1:24" ht="11.25">
      <c r="A22" s="5" t="s">
        <v>20</v>
      </c>
      <c r="B22" s="9">
        <v>40382.58</v>
      </c>
      <c r="C22" s="9">
        <v>10432</v>
      </c>
      <c r="D22" s="114">
        <v>29951</v>
      </c>
      <c r="E22" s="162"/>
      <c r="F22" s="162"/>
      <c r="G22" s="162">
        <f t="shared" si="1"/>
        <v>29951</v>
      </c>
      <c r="H22" s="162"/>
      <c r="I22" s="162">
        <f t="shared" si="2"/>
        <v>29951</v>
      </c>
      <c r="J22" s="162"/>
      <c r="K22" s="148">
        <f>G22*0.7014+189</f>
        <v>21196.631400000002</v>
      </c>
      <c r="L22" s="148">
        <f>G22*0.1668</f>
        <v>4995.8268</v>
      </c>
      <c r="M22" s="148">
        <f>G22*0.1219+9</f>
        <v>3660.0269</v>
      </c>
      <c r="N22" s="148">
        <f>G22*0.0033</f>
        <v>98.8383</v>
      </c>
      <c r="O22" s="148">
        <f t="shared" si="0"/>
        <v>0.32340000000112923</v>
      </c>
      <c r="P22" s="148"/>
      <c r="R22" s="164"/>
      <c r="S22" s="172" t="s">
        <v>92</v>
      </c>
      <c r="T22" s="171"/>
      <c r="U22" s="171"/>
      <c r="V22" s="171"/>
      <c r="W22" s="173"/>
      <c r="X22" s="165"/>
    </row>
    <row r="23" spans="1:24" ht="11.25">
      <c r="A23" s="5" t="s">
        <v>21</v>
      </c>
      <c r="B23" s="9">
        <v>6665248.538038995</v>
      </c>
      <c r="C23" s="9">
        <v>1923640.938654428</v>
      </c>
      <c r="D23" s="114">
        <v>4741607.25</v>
      </c>
      <c r="E23" s="162"/>
      <c r="F23" s="162">
        <f>SUM(F10:F22)</f>
        <v>0</v>
      </c>
      <c r="G23" s="162">
        <f>SUM(G10:G22)</f>
        <v>4741607.25</v>
      </c>
      <c r="H23" s="162">
        <f>SUM(H10:H22)</f>
        <v>414757.87010199996</v>
      </c>
      <c r="I23" s="162">
        <f>SUM(I10:I22)</f>
        <v>5156365.1201019995</v>
      </c>
      <c r="J23" s="162"/>
      <c r="K23" s="162">
        <f>SUM(K10:K22)</f>
        <v>3352622.1314</v>
      </c>
      <c r="L23" s="162">
        <f>SUM(L10:L22)</f>
        <v>788880.8268</v>
      </c>
      <c r="M23" s="162">
        <f>SUM(M10:M22)</f>
        <v>584355.5469000001</v>
      </c>
      <c r="N23" s="162">
        <f>SUM(N10:N22)</f>
        <v>15749.068299999999</v>
      </c>
      <c r="O23" s="148">
        <f t="shared" si="0"/>
        <v>0.3234000001102686</v>
      </c>
      <c r="P23" s="148"/>
      <c r="R23" s="164"/>
      <c r="S23" s="173">
        <f>S21/U21</f>
        <v>0.7152830579940554</v>
      </c>
      <c r="T23" s="173">
        <f>T21/U21</f>
        <v>0.28471694200594455</v>
      </c>
      <c r="U23" s="173"/>
      <c r="V23" s="173"/>
      <c r="W23" s="173"/>
      <c r="X23" s="165"/>
    </row>
    <row r="24" spans="1:24" ht="11.25">
      <c r="A24" s="5"/>
      <c r="B24" s="9"/>
      <c r="C24" s="9"/>
      <c r="D24" s="114"/>
      <c r="E24" s="162"/>
      <c r="F24" s="162"/>
      <c r="G24" s="162"/>
      <c r="H24" s="162"/>
      <c r="I24" s="162"/>
      <c r="J24" s="162"/>
      <c r="K24" s="174"/>
      <c r="L24" s="174"/>
      <c r="M24" s="174"/>
      <c r="N24" s="174"/>
      <c r="O24" s="164"/>
      <c r="P24" s="148"/>
      <c r="R24" s="175"/>
      <c r="S24" s="176"/>
      <c r="T24" s="176"/>
      <c r="U24" s="176"/>
      <c r="V24" s="176"/>
      <c r="W24" s="176"/>
      <c r="X24" s="176"/>
    </row>
    <row r="25" spans="1:24" ht="11.25">
      <c r="A25" s="5" t="s">
        <v>22</v>
      </c>
      <c r="B25" s="9"/>
      <c r="C25" s="9"/>
      <c r="D25" s="114"/>
      <c r="E25" s="162"/>
      <c r="F25" s="162"/>
      <c r="G25" s="162"/>
      <c r="H25" s="162"/>
      <c r="I25" s="162"/>
      <c r="J25" s="162"/>
      <c r="K25" s="148"/>
      <c r="L25" s="148"/>
      <c r="M25" s="148"/>
      <c r="N25" s="148"/>
      <c r="O25" s="148"/>
      <c r="P25" s="148"/>
      <c r="R25" s="164" t="s">
        <v>93</v>
      </c>
      <c r="S25" s="151" t="s">
        <v>82</v>
      </c>
      <c r="T25" s="163" t="s">
        <v>83</v>
      </c>
      <c r="U25" s="163" t="s">
        <v>84</v>
      </c>
      <c r="V25" s="173" t="s">
        <v>82</v>
      </c>
      <c r="W25" s="173"/>
      <c r="X25" s="163"/>
    </row>
    <row r="26" spans="1:24" ht="11.25">
      <c r="A26" s="5" t="s">
        <v>23</v>
      </c>
      <c r="B26" s="9">
        <v>22827.31948670687</v>
      </c>
      <c r="C26" s="9">
        <v>6614.8845475323305</v>
      </c>
      <c r="D26" s="114">
        <v>16212.43493917454</v>
      </c>
      <c r="E26" s="162"/>
      <c r="F26" s="162"/>
      <c r="G26" s="162">
        <f aca="true" t="shared" si="7" ref="G26:G78">D26+F26</f>
        <v>16212.43493917454</v>
      </c>
      <c r="H26" s="162"/>
      <c r="I26" s="162">
        <f aca="true" t="shared" si="8" ref="I26:I78">G26+H26</f>
        <v>16212.43493917454</v>
      </c>
      <c r="J26" s="162"/>
      <c r="K26" s="148">
        <f>G26*$V$27</f>
        <v>10706.031827712814</v>
      </c>
      <c r="L26" s="148">
        <f>G26*$V$29</f>
        <v>2362.4587669758316</v>
      </c>
      <c r="M26" s="148">
        <f>G26*$V$30</f>
        <v>3065.7711264137306</v>
      </c>
      <c r="N26" s="148">
        <f>G26*$V$31</f>
        <v>78.17321807216477</v>
      </c>
      <c r="O26" s="148">
        <f aca="true" t="shared" si="9" ref="O26:O57">SUM(K26:N26)-G26</f>
        <v>0</v>
      </c>
      <c r="P26" s="148" t="s">
        <v>103</v>
      </c>
      <c r="R26" s="164" t="s">
        <v>94</v>
      </c>
      <c r="S26" s="147"/>
      <c r="T26" s="163"/>
      <c r="U26" s="163"/>
      <c r="V26" s="173"/>
      <c r="W26" s="173"/>
      <c r="X26" s="165"/>
    </row>
    <row r="27" spans="1:24" ht="11.25">
      <c r="A27" s="5" t="s">
        <v>24</v>
      </c>
      <c r="B27" s="9">
        <v>196431.95733355894</v>
      </c>
      <c r="C27" s="9">
        <v>56921.914111026446</v>
      </c>
      <c r="D27" s="114">
        <v>139510.0432225325</v>
      </c>
      <c r="E27" s="162"/>
      <c r="F27" s="162"/>
      <c r="G27" s="162">
        <f t="shared" si="7"/>
        <v>139510.0432225325</v>
      </c>
      <c r="H27" s="162"/>
      <c r="I27" s="162">
        <f t="shared" si="8"/>
        <v>139510.0432225325</v>
      </c>
      <c r="J27" s="162"/>
      <c r="K27" s="148">
        <f>G27*$V$27</f>
        <v>92126.75138741807</v>
      </c>
      <c r="L27" s="148">
        <f>G27*$V$29</f>
        <v>20329.255039652304</v>
      </c>
      <c r="M27" s="148">
        <f>G27*$V$30</f>
        <v>26381.346414713717</v>
      </c>
      <c r="N27" s="148">
        <f>G27*$V$31</f>
        <v>672.6903807484113</v>
      </c>
      <c r="O27" s="148">
        <f t="shared" si="9"/>
        <v>0</v>
      </c>
      <c r="P27" s="148" t="s">
        <v>103</v>
      </c>
      <c r="R27" s="148" t="s">
        <v>95</v>
      </c>
      <c r="S27" s="177">
        <v>434.14</v>
      </c>
      <c r="T27" s="177">
        <v>165.84</v>
      </c>
      <c r="U27" s="177">
        <f>SUM(S27:T27)</f>
        <v>599.98</v>
      </c>
      <c r="V27" s="152">
        <f>S27/S34</f>
        <v>0.6603592777938336</v>
      </c>
      <c r="W27" s="152"/>
      <c r="X27" s="152"/>
    </row>
    <row r="28" spans="1:24" ht="11.25">
      <c r="A28" s="5" t="s">
        <v>25</v>
      </c>
      <c r="B28" s="9">
        <v>60.06702026532188</v>
      </c>
      <c r="C28" s="9">
        <v>17.40617878506373</v>
      </c>
      <c r="D28" s="114">
        <v>42.66084148025815</v>
      </c>
      <c r="E28" s="162"/>
      <c r="F28" s="162"/>
      <c r="G28" s="162">
        <f t="shared" si="7"/>
        <v>42.66084148025815</v>
      </c>
      <c r="H28" s="162"/>
      <c r="I28" s="162">
        <f t="shared" si="8"/>
        <v>42.66084148025815</v>
      </c>
      <c r="J28" s="162"/>
      <c r="K28" s="148">
        <f>G28*$V$27</f>
        <v>28.171482469980493</v>
      </c>
      <c r="L28" s="148">
        <f>G28*$V$29</f>
        <v>6.216492423237046</v>
      </c>
      <c r="M28" s="148">
        <f>G28*$V$30</f>
        <v>8.067164280342688</v>
      </c>
      <c r="N28" s="148">
        <f>G28*$V$31</f>
        <v>0.20570230669792727</v>
      </c>
      <c r="O28" s="148">
        <f t="shared" si="9"/>
        <v>0</v>
      </c>
      <c r="P28" s="148" t="s">
        <v>103</v>
      </c>
      <c r="R28" s="144"/>
      <c r="S28" s="177"/>
      <c r="T28" s="177"/>
      <c r="U28" s="177"/>
      <c r="V28" s="152"/>
      <c r="W28" s="152"/>
      <c r="X28" s="152"/>
    </row>
    <row r="29" spans="1:24" ht="11.25">
      <c r="A29" s="5" t="s">
        <v>26</v>
      </c>
      <c r="B29" s="9">
        <v>165429.4694411922</v>
      </c>
      <c r="C29" s="9">
        <v>47938.03502641914</v>
      </c>
      <c r="D29" s="114">
        <v>117491.43441477306</v>
      </c>
      <c r="E29" s="162"/>
      <c r="F29" s="162"/>
      <c r="G29" s="162">
        <f t="shared" si="7"/>
        <v>117491.43441477306</v>
      </c>
      <c r="H29" s="162"/>
      <c r="I29" s="162">
        <f t="shared" si="8"/>
        <v>117491.43441477306</v>
      </c>
      <c r="J29" s="162"/>
      <c r="K29" s="148">
        <f>G29*$V$27</f>
        <v>77586.5587771011</v>
      </c>
      <c r="L29" s="148">
        <f>G29*$V$29</f>
        <v>17120.72679514969</v>
      </c>
      <c r="M29" s="148">
        <f>G29*$V$30</f>
        <v>22217.627924561682</v>
      </c>
      <c r="N29" s="148">
        <f>G29*$V$31</f>
        <v>566.5209179605898</v>
      </c>
      <c r="O29" s="148">
        <f t="shared" si="9"/>
        <v>0</v>
      </c>
      <c r="P29" s="148" t="s">
        <v>103</v>
      </c>
      <c r="R29" s="144" t="s">
        <v>96</v>
      </c>
      <c r="S29" s="177">
        <v>95.8</v>
      </c>
      <c r="T29" s="177">
        <v>37.3</v>
      </c>
      <c r="U29" s="177">
        <f>SUM(S29:T29)</f>
        <v>133.1</v>
      </c>
      <c r="V29" s="152">
        <f>S29/S34</f>
        <v>0.1457189358562889</v>
      </c>
      <c r="W29" s="152"/>
      <c r="X29" s="152"/>
    </row>
    <row r="30" spans="1:24" ht="11.25">
      <c r="A30" s="5" t="s">
        <v>27</v>
      </c>
      <c r="B30" s="9">
        <v>45117.657465630546</v>
      </c>
      <c r="C30" s="9">
        <v>13074.162972312748</v>
      </c>
      <c r="D30" s="114">
        <v>32043.494493317798</v>
      </c>
      <c r="E30" s="162"/>
      <c r="F30" s="162"/>
      <c r="G30" s="162">
        <f t="shared" si="7"/>
        <v>32043.494493317798</v>
      </c>
      <c r="H30" s="162"/>
      <c r="I30" s="162">
        <f t="shared" si="8"/>
        <v>32043.494493317798</v>
      </c>
      <c r="J30" s="162"/>
      <c r="K30" s="148">
        <f>G30</f>
        <v>32043.494493317798</v>
      </c>
      <c r="L30" s="148"/>
      <c r="M30" s="148"/>
      <c r="N30" s="148"/>
      <c r="O30" s="148">
        <f t="shared" si="9"/>
        <v>0</v>
      </c>
      <c r="P30" s="148" t="s">
        <v>104</v>
      </c>
      <c r="R30" s="144" t="s">
        <v>9</v>
      </c>
      <c r="S30" s="177">
        <f>124.32</f>
        <v>124.32</v>
      </c>
      <c r="T30" s="177">
        <v>60.7</v>
      </c>
      <c r="U30" s="177">
        <f>SUM(S30:T30)</f>
        <v>185.01999999999998</v>
      </c>
      <c r="V30" s="152">
        <f>S30/S34</f>
        <v>0.18909998022603167</v>
      </c>
      <c r="W30" s="152"/>
      <c r="X30" s="152"/>
    </row>
    <row r="31" spans="1:24" ht="11.25">
      <c r="A31" s="5" t="s">
        <v>28</v>
      </c>
      <c r="B31" s="9">
        <v>17659</v>
      </c>
      <c r="C31" s="9">
        <v>5117.212570354448</v>
      </c>
      <c r="D31" s="114">
        <v>12541.787429645552</v>
      </c>
      <c r="E31" s="162"/>
      <c r="F31" s="162"/>
      <c r="G31" s="162">
        <f t="shared" si="7"/>
        <v>12541.787429645552</v>
      </c>
      <c r="H31" s="162"/>
      <c r="I31" s="162">
        <f t="shared" si="8"/>
        <v>12541.787429645552</v>
      </c>
      <c r="J31" s="162"/>
      <c r="K31" s="148">
        <f>G31*$V$27</f>
        <v>8282.085689284519</v>
      </c>
      <c r="L31" s="148">
        <f>G31*$V$29</f>
        <v>1827.5759179837305</v>
      </c>
      <c r="M31" s="148">
        <f>G31*$V$30</f>
        <v>2371.6517549450664</v>
      </c>
      <c r="N31" s="148">
        <f>G31*$V$31</f>
        <v>60.47406743223826</v>
      </c>
      <c r="O31" s="148">
        <f t="shared" si="9"/>
        <v>0</v>
      </c>
      <c r="P31" s="148" t="s">
        <v>103</v>
      </c>
      <c r="R31" s="144" t="s">
        <v>10</v>
      </c>
      <c r="S31" s="177">
        <v>3.17</v>
      </c>
      <c r="T31" s="177">
        <v>1.2</v>
      </c>
      <c r="U31" s="177">
        <f>SUM(S31:T31)</f>
        <v>4.37</v>
      </c>
      <c r="V31" s="152">
        <f>S31/S34</f>
        <v>0.004821806123845885</v>
      </c>
      <c r="W31" s="152"/>
      <c r="X31" s="152"/>
    </row>
    <row r="32" spans="1:24" ht="11.25">
      <c r="A32" s="5" t="s">
        <v>29</v>
      </c>
      <c r="B32" s="9">
        <v>72412.945005333</v>
      </c>
      <c r="C32" s="9">
        <v>20983.772152311867</v>
      </c>
      <c r="D32" s="114">
        <v>51429.172853021126</v>
      </c>
      <c r="E32" s="162"/>
      <c r="F32" s="162"/>
      <c r="G32" s="162">
        <f t="shared" si="7"/>
        <v>51429.172853021126</v>
      </c>
      <c r="H32" s="162"/>
      <c r="I32" s="162">
        <f t="shared" si="8"/>
        <v>51429.172853021126</v>
      </c>
      <c r="J32" s="162"/>
      <c r="K32" s="148">
        <f>G32*$V$27</f>
        <v>33961.73144275526</v>
      </c>
      <c r="L32" s="148">
        <f>G32*$V$29</f>
        <v>7494.20434011138</v>
      </c>
      <c r="M32" s="148">
        <f>G32*$V$30</f>
        <v>9725.25556954746</v>
      </c>
      <c r="N32" s="148">
        <f>G32*$V$31</f>
        <v>247.9815006070258</v>
      </c>
      <c r="O32" s="148">
        <f t="shared" si="9"/>
        <v>0</v>
      </c>
      <c r="P32" s="148" t="s">
        <v>103</v>
      </c>
      <c r="R32" s="144" t="s">
        <v>91</v>
      </c>
      <c r="S32" s="177"/>
      <c r="T32" s="177">
        <v>3.2</v>
      </c>
      <c r="U32" s="177">
        <f>SUM(S32:T32)</f>
        <v>3.2</v>
      </c>
      <c r="V32" s="152">
        <f>S32/S34</f>
        <v>0</v>
      </c>
      <c r="W32" s="152"/>
      <c r="X32" s="152"/>
    </row>
    <row r="33" spans="1:24" ht="11.25">
      <c r="A33" s="5" t="s">
        <v>30</v>
      </c>
      <c r="B33" s="9">
        <v>10090.167442381706</v>
      </c>
      <c r="C33" s="9">
        <v>2923.9216078564386</v>
      </c>
      <c r="D33" s="114">
        <v>7166.245834525267</v>
      </c>
      <c r="E33" s="162"/>
      <c r="F33" s="162"/>
      <c r="G33" s="162">
        <f t="shared" si="7"/>
        <v>7166.245834525267</v>
      </c>
      <c r="H33" s="162"/>
      <c r="I33" s="162">
        <f t="shared" si="8"/>
        <v>7166.245834525267</v>
      </c>
      <c r="J33" s="162"/>
      <c r="K33" s="148">
        <f>G33*$V$27</f>
        <v>4732.296923780174</v>
      </c>
      <c r="L33" s="148">
        <f>G33*$V$29</f>
        <v>1044.257717091585</v>
      </c>
      <c r="M33" s="148">
        <f>G33*$V$30</f>
        <v>1355.1369456036098</v>
      </c>
      <c r="N33" s="148">
        <f>G33*$V$31</f>
        <v>34.554248049898995</v>
      </c>
      <c r="O33" s="148">
        <f t="shared" si="9"/>
        <v>0</v>
      </c>
      <c r="P33" s="148" t="s">
        <v>103</v>
      </c>
      <c r="R33" s="144"/>
      <c r="S33" s="152"/>
      <c r="T33" s="152"/>
      <c r="U33" s="152"/>
      <c r="V33" s="152"/>
      <c r="W33" s="152"/>
      <c r="X33" s="152"/>
    </row>
    <row r="34" spans="1:24" ht="11.25">
      <c r="A34" s="5" t="s">
        <v>31</v>
      </c>
      <c r="B34" s="9">
        <v>71118</v>
      </c>
      <c r="C34" s="9">
        <v>20608.523901606408</v>
      </c>
      <c r="D34" s="114">
        <v>50509.47609839359</v>
      </c>
      <c r="E34" s="162"/>
      <c r="F34" s="162"/>
      <c r="G34" s="162">
        <f t="shared" si="7"/>
        <v>50509.47609839359</v>
      </c>
      <c r="H34" s="162"/>
      <c r="I34" s="162">
        <f t="shared" si="8"/>
        <v>50509.47609839359</v>
      </c>
      <c r="J34" s="162"/>
      <c r="K34" s="148">
        <f>G34*$V$27</f>
        <v>33354.401158080094</v>
      </c>
      <c r="L34" s="148">
        <f>G34*$V$29</f>
        <v>7360.187107716573</v>
      </c>
      <c r="M34" s="148">
        <f>G34*$V$30</f>
        <v>9551.340931433448</v>
      </c>
      <c r="N34" s="148">
        <f>G34*$V$31</f>
        <v>243.54690116348155</v>
      </c>
      <c r="O34" s="148">
        <f t="shared" si="9"/>
        <v>0</v>
      </c>
      <c r="P34" s="148" t="s">
        <v>103</v>
      </c>
      <c r="R34" s="144" t="s">
        <v>97</v>
      </c>
      <c r="S34" s="178">
        <f>SUM(S27:S33)</f>
        <v>657.43</v>
      </c>
      <c r="T34" s="178">
        <f>SUM(T27:T33)</f>
        <v>268.23999999999995</v>
      </c>
      <c r="U34" s="178">
        <f>SUM(U27:U33)</f>
        <v>925.6700000000001</v>
      </c>
      <c r="V34" s="152">
        <f>SUM(V27:V32)</f>
        <v>1.0000000000000002</v>
      </c>
      <c r="W34" s="152"/>
      <c r="X34" s="152"/>
    </row>
    <row r="35" spans="1:24" ht="11.25">
      <c r="A35" s="5" t="s">
        <v>32</v>
      </c>
      <c r="B35" s="9">
        <v>693636.682225</v>
      </c>
      <c r="C35" s="9">
        <v>201001.54875931382</v>
      </c>
      <c r="D35" s="114">
        <v>492635.1334656862</v>
      </c>
      <c r="E35" s="162"/>
      <c r="F35" s="162"/>
      <c r="G35" s="162">
        <f t="shared" si="7"/>
        <v>492635.1334656862</v>
      </c>
      <c r="H35" s="162"/>
      <c r="I35" s="162">
        <f t="shared" si="8"/>
        <v>492635.1334656862</v>
      </c>
      <c r="J35" s="162"/>
      <c r="K35" s="148">
        <f>G35*$V$27</f>
        <v>325316.18095126934</v>
      </c>
      <c r="L35" s="148">
        <f>G35*$V$29</f>
        <v>71786.26741404065</v>
      </c>
      <c r="M35" s="148">
        <f>G35*$V$30</f>
        <v>93157.29399700972</v>
      </c>
      <c r="N35" s="148">
        <f>G35*$V$31</f>
        <v>2375.3911033664804</v>
      </c>
      <c r="O35" s="148">
        <f t="shared" si="9"/>
        <v>0</v>
      </c>
      <c r="P35" s="148" t="s">
        <v>103</v>
      </c>
      <c r="R35" s="144"/>
      <c r="S35" s="178"/>
      <c r="T35" s="178"/>
      <c r="U35" s="178"/>
      <c r="V35" s="152"/>
      <c r="W35" s="148"/>
      <c r="X35" s="152"/>
    </row>
    <row r="36" spans="1:24" ht="11.25">
      <c r="A36" s="5" t="s">
        <v>33</v>
      </c>
      <c r="B36" s="9">
        <v>13088.873785987262</v>
      </c>
      <c r="C36" s="9">
        <v>4194.984048408918</v>
      </c>
      <c r="D36" s="114">
        <v>8893.889737578344</v>
      </c>
      <c r="E36" s="162"/>
      <c r="F36" s="162"/>
      <c r="G36" s="162">
        <f t="shared" si="7"/>
        <v>8893.889737578344</v>
      </c>
      <c r="H36" s="162"/>
      <c r="I36" s="162">
        <f t="shared" si="8"/>
        <v>8893.889737578344</v>
      </c>
      <c r="J36" s="162"/>
      <c r="K36" s="148">
        <f>E36</f>
        <v>0</v>
      </c>
      <c r="L36" s="148">
        <v>0</v>
      </c>
      <c r="M36" s="171">
        <f>G36</f>
        <v>8893.889737578344</v>
      </c>
      <c r="N36" s="148">
        <v>0</v>
      </c>
      <c r="O36" s="148">
        <f t="shared" si="9"/>
        <v>0</v>
      </c>
      <c r="P36" s="148" t="s">
        <v>112</v>
      </c>
      <c r="R36" s="144"/>
      <c r="S36" s="152"/>
      <c r="T36" s="152"/>
      <c r="U36" s="152"/>
      <c r="V36" s="152"/>
      <c r="W36" s="179"/>
      <c r="X36" s="165"/>
    </row>
    <row r="37" spans="1:24" ht="11.25">
      <c r="A37" s="5" t="s">
        <v>25</v>
      </c>
      <c r="B37" s="9">
        <v>22228</v>
      </c>
      <c r="C37" s="9">
        <v>6441.214169196368</v>
      </c>
      <c r="D37" s="114">
        <v>15786.785830803632</v>
      </c>
      <c r="E37" s="162"/>
      <c r="F37" s="162"/>
      <c r="G37" s="162">
        <f t="shared" si="7"/>
        <v>15786.785830803632</v>
      </c>
      <c r="H37" s="162"/>
      <c r="I37" s="162">
        <f t="shared" si="8"/>
        <v>15786.785830803632</v>
      </c>
      <c r="J37" s="162"/>
      <c r="K37" s="148">
        <f>G37</f>
        <v>15786.785830803632</v>
      </c>
      <c r="L37" s="148">
        <f>E37*$V$29</f>
        <v>0</v>
      </c>
      <c r="M37" s="148">
        <f>E37*$V$30</f>
        <v>0</v>
      </c>
      <c r="N37" s="148">
        <f>E37*$V$31</f>
        <v>0</v>
      </c>
      <c r="O37" s="148">
        <f t="shared" si="9"/>
        <v>0</v>
      </c>
      <c r="P37" s="148" t="s">
        <v>104</v>
      </c>
      <c r="R37" s="144" t="s">
        <v>86</v>
      </c>
      <c r="S37" s="152">
        <f>S34/U34</f>
        <v>0.7102207050028627</v>
      </c>
      <c r="T37" s="152">
        <f>T34/U34</f>
        <v>0.2897792949971371</v>
      </c>
      <c r="U37" s="152">
        <f>SUM(S37:T37)</f>
        <v>0.9999999999999998</v>
      </c>
      <c r="V37" s="152"/>
      <c r="W37" s="166"/>
      <c r="X37" s="166"/>
    </row>
    <row r="38" spans="1:24" ht="11.25">
      <c r="A38" s="5" t="s">
        <v>34</v>
      </c>
      <c r="B38" s="9">
        <v>476864.0442101633</v>
      </c>
      <c r="C38" s="9">
        <v>138185.32654070482</v>
      </c>
      <c r="D38" s="114">
        <v>338678.7176694585</v>
      </c>
      <c r="E38" s="162"/>
      <c r="F38" s="162"/>
      <c r="G38" s="162">
        <f t="shared" si="7"/>
        <v>338678.7176694585</v>
      </c>
      <c r="H38" s="162"/>
      <c r="I38" s="162">
        <f t="shared" si="8"/>
        <v>338678.7176694585</v>
      </c>
      <c r="J38" s="162"/>
      <c r="K38" s="148">
        <f>G38*$V$27</f>
        <v>223649.63340434528</v>
      </c>
      <c r="L38" s="148">
        <f>G38*$V$29</f>
        <v>49351.902335966</v>
      </c>
      <c r="M38" s="148">
        <f>G38*$V$30</f>
        <v>64044.13881427236</v>
      </c>
      <c r="N38" s="148">
        <f>G38*$V$31</f>
        <v>1633.0431148748662</v>
      </c>
      <c r="O38" s="148">
        <f t="shared" si="9"/>
        <v>0</v>
      </c>
      <c r="P38" s="148" t="s">
        <v>103</v>
      </c>
      <c r="R38" s="176"/>
      <c r="S38" s="180"/>
      <c r="T38" s="181"/>
      <c r="U38" s="180"/>
      <c r="V38" s="180"/>
      <c r="W38" s="182"/>
      <c r="X38" s="180"/>
    </row>
    <row r="39" spans="1:18" ht="11.25">
      <c r="A39" s="5" t="s">
        <v>35</v>
      </c>
      <c r="B39" s="9">
        <v>0</v>
      </c>
      <c r="C39" s="9">
        <v>0</v>
      </c>
      <c r="D39" s="114">
        <v>0</v>
      </c>
      <c r="E39" s="162"/>
      <c r="F39" s="162"/>
      <c r="G39" s="162">
        <f t="shared" si="7"/>
        <v>0</v>
      </c>
      <c r="H39" s="162"/>
      <c r="I39" s="162">
        <f t="shared" si="8"/>
        <v>0</v>
      </c>
      <c r="J39" s="162"/>
      <c r="K39" s="148">
        <f>E39*$V$27</f>
        <v>0</v>
      </c>
      <c r="L39" s="148">
        <f>E39*$V$29</f>
        <v>0</v>
      </c>
      <c r="M39" s="148">
        <f>E39*$V$30</f>
        <v>0</v>
      </c>
      <c r="N39" s="148">
        <f>E39*$V$31</f>
        <v>0</v>
      </c>
      <c r="O39" s="148">
        <f t="shared" si="9"/>
        <v>0</v>
      </c>
      <c r="P39" s="148" t="s">
        <v>104</v>
      </c>
      <c r="R39" s="46" t="s">
        <v>330</v>
      </c>
    </row>
    <row r="40" spans="1:21" ht="11.25">
      <c r="A40" s="5" t="s">
        <v>36</v>
      </c>
      <c r="B40" s="9">
        <v>25178.51625055317</v>
      </c>
      <c r="C40" s="9">
        <v>7296.212688159263</v>
      </c>
      <c r="D40" s="114">
        <v>17882.303562393907</v>
      </c>
      <c r="E40" s="162"/>
      <c r="F40" s="162"/>
      <c r="G40" s="162">
        <f t="shared" si="7"/>
        <v>17882.303562393907</v>
      </c>
      <c r="H40" s="162"/>
      <c r="I40" s="162">
        <f t="shared" si="8"/>
        <v>17882.303562393907</v>
      </c>
      <c r="J40" s="162"/>
      <c r="K40" s="148">
        <f>G40*$V$27</f>
        <v>11808.745065752539</v>
      </c>
      <c r="L40" s="148">
        <f>G40*$V$29</f>
        <v>2605.790245771164</v>
      </c>
      <c r="M40" s="148">
        <f>G40*$V$30</f>
        <v>3381.5432500445836</v>
      </c>
      <c r="N40" s="148">
        <f>G40*$V$31</f>
        <v>86.22500082562202</v>
      </c>
      <c r="O40" s="148">
        <f t="shared" si="9"/>
        <v>0</v>
      </c>
      <c r="P40" s="148" t="s">
        <v>103</v>
      </c>
      <c r="R40" s="143" t="s">
        <v>331</v>
      </c>
      <c r="S40" s="168">
        <v>10752</v>
      </c>
      <c r="T40" s="168"/>
      <c r="U40" s="168"/>
    </row>
    <row r="41" spans="1:21" ht="11.25">
      <c r="A41" s="5" t="s">
        <v>37</v>
      </c>
      <c r="B41" s="9">
        <v>1836692.5324999997</v>
      </c>
      <c r="C41" s="9">
        <v>567757.5324999997</v>
      </c>
      <c r="D41" s="114">
        <v>1268935</v>
      </c>
      <c r="E41" s="162"/>
      <c r="F41" s="162"/>
      <c r="G41" s="162">
        <f t="shared" si="7"/>
        <v>1268935</v>
      </c>
      <c r="H41" s="162"/>
      <c r="I41" s="162">
        <f t="shared" si="8"/>
        <v>1268935</v>
      </c>
      <c r="J41" s="162"/>
      <c r="K41" s="171">
        <f>G41</f>
        <v>1268935</v>
      </c>
      <c r="L41" s="171">
        <f>E41</f>
        <v>0</v>
      </c>
      <c r="M41" s="148"/>
      <c r="N41" s="148"/>
      <c r="O41" s="148">
        <f t="shared" si="9"/>
        <v>0</v>
      </c>
      <c r="P41" s="148" t="s">
        <v>104</v>
      </c>
      <c r="R41" s="143" t="s">
        <v>332</v>
      </c>
      <c r="S41" s="168">
        <v>979</v>
      </c>
      <c r="T41" s="168"/>
      <c r="U41" s="168"/>
    </row>
    <row r="42" spans="1:21" ht="11.25">
      <c r="A42" s="5" t="s">
        <v>38</v>
      </c>
      <c r="B42" s="9">
        <v>741806.1124999999</v>
      </c>
      <c r="C42" s="9">
        <v>268975.11249999993</v>
      </c>
      <c r="D42" s="114">
        <v>472831</v>
      </c>
      <c r="E42" s="162"/>
      <c r="F42" s="162"/>
      <c r="G42" s="162">
        <f t="shared" si="7"/>
        <v>472831</v>
      </c>
      <c r="H42" s="162"/>
      <c r="I42" s="162">
        <f t="shared" si="8"/>
        <v>472831</v>
      </c>
      <c r="J42" s="162"/>
      <c r="K42" s="148"/>
      <c r="L42" s="148">
        <f>G42</f>
        <v>472831</v>
      </c>
      <c r="M42" s="148"/>
      <c r="N42" s="148">
        <f>E42</f>
        <v>0</v>
      </c>
      <c r="O42" s="148">
        <f t="shared" si="9"/>
        <v>0</v>
      </c>
      <c r="P42" s="148" t="s">
        <v>104</v>
      </c>
      <c r="R42" s="143" t="s">
        <v>84</v>
      </c>
      <c r="S42" s="168">
        <f>SUM(S40:S41)</f>
        <v>11731</v>
      </c>
      <c r="T42" s="169">
        <f>S42/S47</f>
        <v>0.5670436968290796</v>
      </c>
      <c r="U42" s="168"/>
    </row>
    <row r="43" spans="1:21" ht="11.25">
      <c r="A43" s="5" t="s">
        <v>39</v>
      </c>
      <c r="B43" s="9">
        <v>2823</v>
      </c>
      <c r="C43" s="9">
        <v>356</v>
      </c>
      <c r="D43" s="114">
        <v>2467</v>
      </c>
      <c r="E43" s="162"/>
      <c r="F43" s="162"/>
      <c r="G43" s="162">
        <f t="shared" si="7"/>
        <v>2467</v>
      </c>
      <c r="H43" s="162"/>
      <c r="I43" s="162">
        <f t="shared" si="8"/>
        <v>2467</v>
      </c>
      <c r="J43" s="162"/>
      <c r="K43" s="148"/>
      <c r="L43" s="148"/>
      <c r="M43" s="148"/>
      <c r="N43" s="148">
        <f>G43</f>
        <v>2467</v>
      </c>
      <c r="O43" s="148">
        <f t="shared" si="9"/>
        <v>0</v>
      </c>
      <c r="P43" s="148" t="s">
        <v>104</v>
      </c>
      <c r="R43" s="143" t="s">
        <v>90</v>
      </c>
      <c r="S43" s="168">
        <v>67</v>
      </c>
      <c r="T43" s="169">
        <f>S43/S47</f>
        <v>0.0032385924207269916</v>
      </c>
      <c r="U43" s="168"/>
    </row>
    <row r="44" spans="1:21" ht="11.25">
      <c r="A44" s="5" t="s">
        <v>40</v>
      </c>
      <c r="B44" s="9">
        <v>0</v>
      </c>
      <c r="C44" s="9">
        <v>0</v>
      </c>
      <c r="D44" s="114">
        <v>0</v>
      </c>
      <c r="E44" s="162"/>
      <c r="F44" s="162"/>
      <c r="G44" s="162">
        <f t="shared" si="7"/>
        <v>0</v>
      </c>
      <c r="H44" s="162"/>
      <c r="I44" s="162">
        <f t="shared" si="8"/>
        <v>0</v>
      </c>
      <c r="J44" s="162"/>
      <c r="K44" s="148">
        <f>E44*$V$27</f>
        <v>0</v>
      </c>
      <c r="L44" s="148">
        <f>E44*$V$29</f>
        <v>0</v>
      </c>
      <c r="M44" s="148">
        <f>E44*$V$30</f>
        <v>0</v>
      </c>
      <c r="N44" s="148">
        <f>E44*$V$31</f>
        <v>0</v>
      </c>
      <c r="O44" s="148">
        <f t="shared" si="9"/>
        <v>0</v>
      </c>
      <c r="P44" s="148" t="s">
        <v>104</v>
      </c>
      <c r="S44" s="168"/>
      <c r="T44" s="169"/>
      <c r="U44" s="168"/>
    </row>
    <row r="45" spans="1:21" ht="11.25">
      <c r="A45" s="5" t="s">
        <v>41</v>
      </c>
      <c r="B45" s="9">
        <v>191</v>
      </c>
      <c r="C45" s="9">
        <v>0</v>
      </c>
      <c r="D45" s="114">
        <v>191</v>
      </c>
      <c r="E45" s="162"/>
      <c r="F45" s="162"/>
      <c r="G45" s="162">
        <f t="shared" si="7"/>
        <v>191</v>
      </c>
      <c r="H45" s="162"/>
      <c r="I45" s="162">
        <f t="shared" si="8"/>
        <v>191</v>
      </c>
      <c r="J45" s="162"/>
      <c r="K45" s="148"/>
      <c r="L45" s="148"/>
      <c r="M45" s="148">
        <f>G45</f>
        <v>191</v>
      </c>
      <c r="N45" s="148">
        <v>0</v>
      </c>
      <c r="O45" s="148">
        <f t="shared" si="9"/>
        <v>0</v>
      </c>
      <c r="P45" s="148" t="s">
        <v>103</v>
      </c>
      <c r="R45" s="143" t="s">
        <v>9</v>
      </c>
      <c r="S45" s="168">
        <v>8752</v>
      </c>
      <c r="T45" s="169">
        <f>S45/S47</f>
        <v>0.42304717710750195</v>
      </c>
      <c r="U45" s="168"/>
    </row>
    <row r="46" spans="1:21" ht="11.25">
      <c r="A46" s="5" t="s">
        <v>42</v>
      </c>
      <c r="B46" s="9">
        <v>95557</v>
      </c>
      <c r="C46" s="9">
        <v>30622</v>
      </c>
      <c r="D46" s="128"/>
      <c r="E46" s="162"/>
      <c r="F46" s="162"/>
      <c r="G46" s="183">
        <f t="shared" si="7"/>
        <v>0</v>
      </c>
      <c r="H46" s="162"/>
      <c r="I46" s="183">
        <f t="shared" si="8"/>
        <v>0</v>
      </c>
      <c r="J46" s="162"/>
      <c r="K46" s="171">
        <v>0</v>
      </c>
      <c r="L46" s="148"/>
      <c r="M46" s="184">
        <f>G46</f>
        <v>0</v>
      </c>
      <c r="N46" s="171">
        <v>0</v>
      </c>
      <c r="O46" s="148">
        <f t="shared" si="9"/>
        <v>0</v>
      </c>
      <c r="P46" s="148" t="s">
        <v>105</v>
      </c>
      <c r="R46" s="143" t="s">
        <v>10</v>
      </c>
      <c r="S46" s="168">
        <v>138</v>
      </c>
      <c r="T46" s="169">
        <f>S46/S47</f>
        <v>0.006670533642691415</v>
      </c>
      <c r="U46" s="168"/>
    </row>
    <row r="47" spans="1:21" ht="11.25">
      <c r="A47" s="5" t="s">
        <v>43</v>
      </c>
      <c r="B47" s="9">
        <v>4123</v>
      </c>
      <c r="C47" s="9">
        <v>4123</v>
      </c>
      <c r="D47" s="114">
        <v>0</v>
      </c>
      <c r="E47" s="162"/>
      <c r="F47" s="162"/>
      <c r="G47" s="162">
        <f t="shared" si="7"/>
        <v>0</v>
      </c>
      <c r="H47" s="162"/>
      <c r="I47" s="162">
        <f t="shared" si="8"/>
        <v>0</v>
      </c>
      <c r="J47" s="162"/>
      <c r="K47" s="171">
        <v>0</v>
      </c>
      <c r="L47" s="171">
        <v>0</v>
      </c>
      <c r="M47" s="171">
        <v>0</v>
      </c>
      <c r="N47" s="171">
        <v>0</v>
      </c>
      <c r="O47" s="148">
        <f t="shared" si="9"/>
        <v>0</v>
      </c>
      <c r="P47" s="148" t="s">
        <v>104</v>
      </c>
      <c r="S47" s="168">
        <f>S42+S43+S45+S46</f>
        <v>20688</v>
      </c>
      <c r="T47" s="169">
        <f>SUM(T40:T46)</f>
        <v>1</v>
      </c>
      <c r="U47" s="168"/>
    </row>
    <row r="48" spans="1:21" ht="11.25">
      <c r="A48" s="5" t="s">
        <v>44</v>
      </c>
      <c r="B48" s="9">
        <v>26890.061712155988</v>
      </c>
      <c r="C48" s="9">
        <v>7557.061712155988</v>
      </c>
      <c r="D48" s="114">
        <v>19333</v>
      </c>
      <c r="E48" s="162"/>
      <c r="F48" s="162"/>
      <c r="G48" s="162">
        <f t="shared" si="7"/>
        <v>19333</v>
      </c>
      <c r="H48" s="162">
        <f>H23*0.004</f>
        <v>1659.0314804079999</v>
      </c>
      <c r="I48" s="162">
        <f t="shared" si="8"/>
        <v>20992.031480408</v>
      </c>
      <c r="J48" s="162"/>
      <c r="K48" s="148">
        <f>K23*0.004</f>
        <v>13410.4885256</v>
      </c>
      <c r="L48" s="148">
        <f>L23*0.004</f>
        <v>3155.5233072</v>
      </c>
      <c r="M48" s="148">
        <f>M23*0.004+367</f>
        <v>2704.4221876</v>
      </c>
      <c r="N48" s="148">
        <f>N23*0.004</f>
        <v>62.9962732</v>
      </c>
      <c r="O48" s="171">
        <f t="shared" si="9"/>
        <v>0.4302935999985493</v>
      </c>
      <c r="P48" s="148" t="s">
        <v>106</v>
      </c>
      <c r="S48" s="168"/>
      <c r="T48" s="168"/>
      <c r="U48" s="168"/>
    </row>
    <row r="49" spans="1:22" ht="11.25">
      <c r="A49" s="5" t="s">
        <v>45</v>
      </c>
      <c r="B49" s="9">
        <v>13166.185443311939</v>
      </c>
      <c r="C49" s="9">
        <v>3748.636057302956</v>
      </c>
      <c r="D49" s="114">
        <v>9417.549386008983</v>
      </c>
      <c r="E49" s="162"/>
      <c r="F49" s="162"/>
      <c r="G49" s="162">
        <f t="shared" si="7"/>
        <v>9417.549386008983</v>
      </c>
      <c r="H49" s="162"/>
      <c r="I49" s="162">
        <f t="shared" si="8"/>
        <v>9417.549386008983</v>
      </c>
      <c r="J49" s="162"/>
      <c r="K49" s="148">
        <f>G49*$W$14</f>
        <v>5355.389385578843</v>
      </c>
      <c r="L49" s="148">
        <f>G49*$V$15</f>
        <v>16.83655427533496</v>
      </c>
      <c r="M49" s="148">
        <f>G49*$V$16</f>
        <v>3982.5276491278805</v>
      </c>
      <c r="N49" s="148">
        <f>G49*$V$17</f>
        <v>62.79579702692499</v>
      </c>
      <c r="O49" s="148">
        <f t="shared" si="9"/>
        <v>0</v>
      </c>
      <c r="P49" s="148" t="s">
        <v>107</v>
      </c>
      <c r="R49" s="46" t="s">
        <v>430</v>
      </c>
      <c r="S49" s="168"/>
      <c r="T49" s="168"/>
      <c r="U49" s="168"/>
      <c r="V49" s="143" t="s">
        <v>431</v>
      </c>
    </row>
    <row r="50" spans="1:22" ht="11.25">
      <c r="A50" s="6" t="s">
        <v>46</v>
      </c>
      <c r="B50" s="9">
        <v>49199</v>
      </c>
      <c r="C50" s="9">
        <v>14256.851534564157</v>
      </c>
      <c r="D50" s="114">
        <v>34942.14846543584</v>
      </c>
      <c r="E50" s="162"/>
      <c r="F50" s="162"/>
      <c r="G50" s="162">
        <f t="shared" si="7"/>
        <v>34942.14846543584</v>
      </c>
      <c r="H50" s="162"/>
      <c r="I50" s="162">
        <f t="shared" si="8"/>
        <v>34942.14846543584</v>
      </c>
      <c r="J50" s="162"/>
      <c r="K50" s="148">
        <f>G50*$V$27</f>
        <v>23074.371925200125</v>
      </c>
      <c r="L50" s="148">
        <f>G50*$V$29</f>
        <v>5091.732690915769</v>
      </c>
      <c r="M50" s="148">
        <f>G50*$V$30</f>
        <v>6607.559583868981</v>
      </c>
      <c r="N50" s="148">
        <f>G50*$V$31</f>
        <v>168.48426545097064</v>
      </c>
      <c r="O50" s="148">
        <f t="shared" si="9"/>
        <v>0</v>
      </c>
      <c r="P50" s="148" t="s">
        <v>103</v>
      </c>
      <c r="R50" s="143" t="s">
        <v>87</v>
      </c>
      <c r="S50" s="168">
        <f>S12</f>
        <v>10227</v>
      </c>
      <c r="T50" s="185">
        <v>0.6</v>
      </c>
      <c r="U50" s="168">
        <f>S50*T50</f>
        <v>6136.2</v>
      </c>
      <c r="V50" s="168">
        <f>U50/2</f>
        <v>3068.1</v>
      </c>
    </row>
    <row r="51" spans="1:22" ht="11.25">
      <c r="A51" s="10" t="s">
        <v>47</v>
      </c>
      <c r="B51" s="9">
        <v>29105</v>
      </c>
      <c r="C51" s="9">
        <v>8434.026380891679</v>
      </c>
      <c r="D51" s="114">
        <v>20670.97361910832</v>
      </c>
      <c r="E51" s="162"/>
      <c r="F51" s="162"/>
      <c r="G51" s="162">
        <f t="shared" si="7"/>
        <v>20670.97361910832</v>
      </c>
      <c r="H51" s="162"/>
      <c r="I51" s="162">
        <f t="shared" si="8"/>
        <v>20670.97361910832</v>
      </c>
      <c r="J51" s="162"/>
      <c r="K51" s="148">
        <f>G51*$V$27</f>
        <v>13650.269210409759</v>
      </c>
      <c r="L51" s="148">
        <f>G51*$V$29</f>
        <v>3012.1522788898856</v>
      </c>
      <c r="M51" s="148">
        <f>G51*$V$30</f>
        <v>3908.8807026262057</v>
      </c>
      <c r="N51" s="148">
        <f>G51*$V$31</f>
        <v>99.67142718247324</v>
      </c>
      <c r="O51" s="148">
        <f t="shared" si="9"/>
        <v>0</v>
      </c>
      <c r="P51" s="148" t="s">
        <v>103</v>
      </c>
      <c r="R51" s="143" t="s">
        <v>11</v>
      </c>
      <c r="S51" s="168">
        <f>S13</f>
        <v>525</v>
      </c>
      <c r="T51" s="185">
        <v>0.6</v>
      </c>
      <c r="U51" s="168">
        <f>S51*T51</f>
        <v>315</v>
      </c>
      <c r="V51" s="168">
        <f>U51/2</f>
        <v>157.5</v>
      </c>
    </row>
    <row r="52" spans="1:22" s="187" customFormat="1" ht="11.25">
      <c r="A52" s="56" t="s">
        <v>48</v>
      </c>
      <c r="B52" s="57">
        <v>196943.23008715594</v>
      </c>
      <c r="C52" s="57">
        <v>56073.07421918816</v>
      </c>
      <c r="D52" s="114">
        <v>140870.15586796778</v>
      </c>
      <c r="E52" s="186"/>
      <c r="F52" s="186"/>
      <c r="G52" s="186">
        <f t="shared" si="7"/>
        <v>140870.15586796778</v>
      </c>
      <c r="H52" s="186"/>
      <c r="I52" s="162">
        <f t="shared" si="8"/>
        <v>140870.15586796778</v>
      </c>
      <c r="J52" s="186"/>
      <c r="K52" s="171">
        <f>G52*$Z$14</f>
        <v>101587.06277022751</v>
      </c>
      <c r="L52" s="171">
        <f>G52*$Y$15</f>
        <v>319.37474063203484</v>
      </c>
      <c r="M52" s="171">
        <f>G52*$Y$16</f>
        <v>37772.53689204822</v>
      </c>
      <c r="N52" s="171">
        <f>G52*$Y$17</f>
        <v>1191.1814650600215</v>
      </c>
      <c r="O52" s="171">
        <f t="shared" si="9"/>
        <v>0</v>
      </c>
      <c r="P52" s="171" t="s">
        <v>451</v>
      </c>
      <c r="R52" s="187" t="s">
        <v>332</v>
      </c>
      <c r="S52" s="188">
        <f>S14</f>
        <v>1017</v>
      </c>
      <c r="T52" s="189">
        <v>0.6</v>
      </c>
      <c r="U52" s="188">
        <f>S52*T52</f>
        <v>610.1999999999999</v>
      </c>
      <c r="V52" s="188">
        <f>U52/2</f>
        <v>305.09999999999997</v>
      </c>
    </row>
    <row r="53" spans="1:22" s="187" customFormat="1" ht="11.25">
      <c r="A53" s="56" t="s">
        <v>49</v>
      </c>
      <c r="B53" s="57">
        <v>0</v>
      </c>
      <c r="C53" s="57">
        <v>0</v>
      </c>
      <c r="D53" s="114">
        <v>0</v>
      </c>
      <c r="E53" s="186"/>
      <c r="F53" s="186"/>
      <c r="G53" s="186">
        <f t="shared" si="7"/>
        <v>0</v>
      </c>
      <c r="H53" s="186"/>
      <c r="I53" s="162">
        <f t="shared" si="8"/>
        <v>0</v>
      </c>
      <c r="J53" s="186"/>
      <c r="K53" s="171" t="s">
        <v>86</v>
      </c>
      <c r="L53" s="171" t="s">
        <v>86</v>
      </c>
      <c r="M53" s="171" t="s">
        <v>113</v>
      </c>
      <c r="N53" s="171" t="s">
        <v>86</v>
      </c>
      <c r="O53" s="171">
        <f t="shared" si="9"/>
        <v>0</v>
      </c>
      <c r="P53" s="171" t="s">
        <v>107</v>
      </c>
      <c r="R53" s="187" t="s">
        <v>96</v>
      </c>
      <c r="S53" s="188">
        <f>S15</f>
        <v>37</v>
      </c>
      <c r="T53" s="189">
        <v>0.6</v>
      </c>
      <c r="U53" s="188">
        <f>S53*T53</f>
        <v>22.2</v>
      </c>
      <c r="V53" s="188">
        <f>U53/2</f>
        <v>11.1</v>
      </c>
    </row>
    <row r="54" spans="1:22" s="187" customFormat="1" ht="11.25">
      <c r="A54" s="59" t="s">
        <v>50</v>
      </c>
      <c r="B54" s="57">
        <v>233283.68660290499</v>
      </c>
      <c r="C54" s="57">
        <v>67327.432852905</v>
      </c>
      <c r="D54" s="114">
        <v>165956.25375</v>
      </c>
      <c r="E54" s="186"/>
      <c r="F54" s="186"/>
      <c r="G54" s="186">
        <f t="shared" si="7"/>
        <v>165956.25375</v>
      </c>
      <c r="H54" s="186"/>
      <c r="I54" s="162">
        <f t="shared" si="8"/>
        <v>165956.25375</v>
      </c>
      <c r="J54" s="186"/>
      <c r="K54" s="171">
        <f>K23*0.035</f>
        <v>117341.77459900001</v>
      </c>
      <c r="L54" s="171">
        <f>L23*0.035</f>
        <v>27610.828938000002</v>
      </c>
      <c r="M54" s="171">
        <f>M23*0.035</f>
        <v>20452.444141500004</v>
      </c>
      <c r="N54" s="171">
        <f>N23*0.035</f>
        <v>551.2173905</v>
      </c>
      <c r="O54" s="171">
        <f t="shared" si="9"/>
        <v>0.011319000012008473</v>
      </c>
      <c r="P54" s="171" t="s">
        <v>106</v>
      </c>
      <c r="S54" s="188">
        <f>SUM(S50:S53)</f>
        <v>11806</v>
      </c>
      <c r="T54" s="189"/>
      <c r="V54" s="60">
        <f>SUM(V50:V53)</f>
        <v>3541.7999999999997</v>
      </c>
    </row>
    <row r="55" spans="1:16" s="187" customFormat="1" ht="11.25">
      <c r="A55" s="56" t="s">
        <v>51</v>
      </c>
      <c r="B55" s="57">
        <v>74714.77279791367</v>
      </c>
      <c r="C55" s="57">
        <v>21272.561633690908</v>
      </c>
      <c r="D55" s="114">
        <v>53442.21116422276</v>
      </c>
      <c r="E55" s="186"/>
      <c r="F55" s="186"/>
      <c r="G55" s="186">
        <f t="shared" si="7"/>
        <v>53442.21116422276</v>
      </c>
      <c r="H55" s="186"/>
      <c r="I55" s="162">
        <f t="shared" si="8"/>
        <v>53442.21116422276</v>
      </c>
      <c r="J55" s="186"/>
      <c r="K55" s="171">
        <f>G55*$Z$14</f>
        <v>38539.3004406702</v>
      </c>
      <c r="L55" s="171">
        <f>G55*$Y$15</f>
        <v>121.16187580124034</v>
      </c>
      <c r="M55" s="171">
        <f>G55*$Y$16</f>
        <v>14329.847797465613</v>
      </c>
      <c r="N55" s="171">
        <f>G55*$Y$17</f>
        <v>451.90105028570713</v>
      </c>
      <c r="O55" s="171">
        <f t="shared" si="9"/>
        <v>0</v>
      </c>
      <c r="P55" s="171" t="s">
        <v>451</v>
      </c>
    </row>
    <row r="56" spans="1:18" s="187" customFormat="1" ht="11.25">
      <c r="A56" s="56" t="s">
        <v>52</v>
      </c>
      <c r="B56" s="57">
        <v>11472.666666666666</v>
      </c>
      <c r="C56" s="57">
        <v>5781.397801893965</v>
      </c>
      <c r="D56" s="114">
        <v>5691.268864772701</v>
      </c>
      <c r="E56" s="186"/>
      <c r="F56" s="186"/>
      <c r="G56" s="186">
        <f t="shared" si="7"/>
        <v>5691.268864772701</v>
      </c>
      <c r="H56" s="186"/>
      <c r="I56" s="162">
        <f t="shared" si="8"/>
        <v>5691.268864772701</v>
      </c>
      <c r="J56" s="186"/>
      <c r="K56" s="171">
        <f>G56*$W$14</f>
        <v>3236.400428561554</v>
      </c>
      <c r="L56" s="171">
        <f>G56*$V$15</f>
        <v>10.174765558397272</v>
      </c>
      <c r="M56" s="171">
        <f>G56*$V$16</f>
        <v>2406.744545056565</v>
      </c>
      <c r="N56" s="171">
        <f>G56*$V$17</f>
        <v>37.949125596184416</v>
      </c>
      <c r="O56" s="171">
        <f t="shared" si="9"/>
        <v>0</v>
      </c>
      <c r="P56" s="171" t="s">
        <v>107</v>
      </c>
      <c r="R56" s="61" t="s">
        <v>7</v>
      </c>
    </row>
    <row r="57" spans="1:20" s="187" customFormat="1" ht="11.25">
      <c r="A57" s="56" t="s">
        <v>53</v>
      </c>
      <c r="B57" s="57">
        <v>25230.732255416948</v>
      </c>
      <c r="C57" s="57">
        <v>7311.343805236254</v>
      </c>
      <c r="D57" s="114">
        <v>17919.388450180693</v>
      </c>
      <c r="E57" s="186"/>
      <c r="F57" s="186"/>
      <c r="G57" s="186">
        <f t="shared" si="7"/>
        <v>17919.388450180693</v>
      </c>
      <c r="H57" s="186"/>
      <c r="I57" s="162">
        <f t="shared" si="8"/>
        <v>17919.388450180693</v>
      </c>
      <c r="J57" s="186"/>
      <c r="K57" s="171">
        <f aca="true" t="shared" si="10" ref="K57:K62">G57*$V$27</f>
        <v>11833.234415468487</v>
      </c>
      <c r="L57" s="171">
        <f aca="true" t="shared" si="11" ref="L57:L62">G57*$V$29</f>
        <v>2611.1942161558045</v>
      </c>
      <c r="M57" s="171">
        <f aca="true" t="shared" si="12" ref="M57:M62">G57*$V$30</f>
        <v>3388.5560015917495</v>
      </c>
      <c r="N57" s="171">
        <f aca="true" t="shared" si="13" ref="N57:N62">G57*$V$31</f>
        <v>86.40381696465448</v>
      </c>
      <c r="O57" s="171">
        <f t="shared" si="9"/>
        <v>0</v>
      </c>
      <c r="P57" s="171" t="s">
        <v>103</v>
      </c>
      <c r="R57" s="187" t="s">
        <v>434</v>
      </c>
      <c r="S57" s="188">
        <v>2660</v>
      </c>
      <c r="T57" s="187" t="s">
        <v>86</v>
      </c>
    </row>
    <row r="58" spans="1:20" s="187" customFormat="1" ht="11.25">
      <c r="A58" s="56" t="s">
        <v>54</v>
      </c>
      <c r="B58" s="57">
        <v>209404</v>
      </c>
      <c r="C58" s="57">
        <v>60680.94348958053</v>
      </c>
      <c r="D58" s="114">
        <v>148723.05651041947</v>
      </c>
      <c r="E58" s="186"/>
      <c r="F58" s="186"/>
      <c r="G58" s="186">
        <f t="shared" si="7"/>
        <v>148723.05651041947</v>
      </c>
      <c r="H58" s="186"/>
      <c r="I58" s="162">
        <f t="shared" si="8"/>
        <v>148723.05651041947</v>
      </c>
      <c r="J58" s="186"/>
      <c r="K58" s="171">
        <f t="shared" si="10"/>
        <v>98210.65018851211</v>
      </c>
      <c r="L58" s="171">
        <f t="shared" si="11"/>
        <v>21671.76553199304</v>
      </c>
      <c r="M58" s="171">
        <f t="shared" si="12"/>
        <v>28123.52704527531</v>
      </c>
      <c r="N58" s="171">
        <f t="shared" si="13"/>
        <v>717.1137446390181</v>
      </c>
      <c r="O58" s="171">
        <f aca="true" t="shared" si="14" ref="O58:O77">SUM(K58:N58)-G58</f>
        <v>0</v>
      </c>
      <c r="P58" s="171" t="s">
        <v>103</v>
      </c>
      <c r="R58" s="187" t="s">
        <v>435</v>
      </c>
      <c r="S58" s="188">
        <v>4154</v>
      </c>
      <c r="T58" s="187" t="s">
        <v>86</v>
      </c>
    </row>
    <row r="59" spans="1:19" s="187" customFormat="1" ht="11.25">
      <c r="A59" s="56" t="s">
        <v>55</v>
      </c>
      <c r="B59" s="57">
        <v>106890</v>
      </c>
      <c r="C59" s="57">
        <v>30974.508842244002</v>
      </c>
      <c r="D59" s="114">
        <v>75915.491157756</v>
      </c>
      <c r="E59" s="186"/>
      <c r="F59" s="186"/>
      <c r="G59" s="186">
        <f t="shared" si="7"/>
        <v>75915.491157756</v>
      </c>
      <c r="H59" s="186"/>
      <c r="I59" s="162">
        <f t="shared" si="8"/>
        <v>75915.491157756</v>
      </c>
      <c r="J59" s="186"/>
      <c r="K59" s="171">
        <f t="shared" si="10"/>
        <v>50131.49891429991</v>
      </c>
      <c r="L59" s="171">
        <f t="shared" si="11"/>
        <v>11062.324586515713</v>
      </c>
      <c r="M59" s="171">
        <f t="shared" si="12"/>
        <v>14355.617876781142</v>
      </c>
      <c r="N59" s="171">
        <f t="shared" si="13"/>
        <v>366.049780159236</v>
      </c>
      <c r="O59" s="171">
        <f t="shared" si="14"/>
        <v>0</v>
      </c>
      <c r="P59" s="171" t="s">
        <v>103</v>
      </c>
      <c r="R59" s="187" t="s">
        <v>84</v>
      </c>
      <c r="S59" s="188">
        <f>SUM(S57:S58)</f>
        <v>6814</v>
      </c>
    </row>
    <row r="60" spans="1:18" s="187" customFormat="1" ht="11.25">
      <c r="A60" s="56" t="s">
        <v>56</v>
      </c>
      <c r="B60" s="57">
        <v>14567</v>
      </c>
      <c r="C60" s="57">
        <v>4221.2149902232995</v>
      </c>
      <c r="D60" s="114">
        <v>10345.7850097767</v>
      </c>
      <c r="E60" s="186"/>
      <c r="F60" s="186"/>
      <c r="G60" s="186">
        <f t="shared" si="7"/>
        <v>10345.7850097767</v>
      </c>
      <c r="H60" s="186"/>
      <c r="I60" s="162">
        <f t="shared" si="8"/>
        <v>10345.7850097767</v>
      </c>
      <c r="J60" s="186"/>
      <c r="K60" s="171">
        <f t="shared" si="10"/>
        <v>6831.935117266412</v>
      </c>
      <c r="L60" s="171">
        <f t="shared" si="11"/>
        <v>1507.5767822226062</v>
      </c>
      <c r="M60" s="171">
        <f t="shared" si="12"/>
        <v>1956.3877407715488</v>
      </c>
      <c r="N60" s="171">
        <f t="shared" si="13"/>
        <v>49.88536951613425</v>
      </c>
      <c r="O60" s="171">
        <f t="shared" si="14"/>
        <v>0</v>
      </c>
      <c r="P60" s="171" t="s">
        <v>103</v>
      </c>
      <c r="R60" s="187" t="s">
        <v>436</v>
      </c>
    </row>
    <row r="61" spans="1:18" s="187" customFormat="1" ht="11.25">
      <c r="A61" s="56" t="s">
        <v>57</v>
      </c>
      <c r="B61" s="57">
        <v>5672</v>
      </c>
      <c r="C61" s="57">
        <v>1643.6281612237626</v>
      </c>
      <c r="D61" s="114">
        <v>4028.3718387762374</v>
      </c>
      <c r="E61" s="186"/>
      <c r="F61" s="186"/>
      <c r="G61" s="186">
        <f t="shared" si="7"/>
        <v>4028.3718387762374</v>
      </c>
      <c r="H61" s="186"/>
      <c r="I61" s="162">
        <f t="shared" si="8"/>
        <v>4028.3718387762374</v>
      </c>
      <c r="J61" s="186"/>
      <c r="K61" s="171">
        <f t="shared" si="10"/>
        <v>2660.172718139294</v>
      </c>
      <c r="L61" s="171">
        <f t="shared" si="11"/>
        <v>587.010057579915</v>
      </c>
      <c r="M61" s="171">
        <f t="shared" si="12"/>
        <v>761.7650350556893</v>
      </c>
      <c r="N61" s="171">
        <f t="shared" si="13"/>
        <v>19.42402800133957</v>
      </c>
      <c r="O61" s="171">
        <f t="shared" si="14"/>
        <v>0</v>
      </c>
      <c r="P61" s="171" t="s">
        <v>103</v>
      </c>
      <c r="R61" s="187" t="s">
        <v>443</v>
      </c>
    </row>
    <row r="62" spans="1:16" s="187" customFormat="1" ht="11.25">
      <c r="A62" s="56" t="s">
        <v>58</v>
      </c>
      <c r="B62" s="57">
        <v>55777</v>
      </c>
      <c r="C62" s="57">
        <v>16163.019737055329</v>
      </c>
      <c r="D62" s="114">
        <v>39613.98026294467</v>
      </c>
      <c r="E62" s="186"/>
      <c r="F62" s="186"/>
      <c r="G62" s="186">
        <f t="shared" si="7"/>
        <v>39613.98026294467</v>
      </c>
      <c r="H62" s="186">
        <f>H23*0.0087</f>
        <v>3608.3934698873995</v>
      </c>
      <c r="I62" s="162">
        <f t="shared" si="8"/>
        <v>43222.37373283207</v>
      </c>
      <c r="J62" s="186"/>
      <c r="K62" s="171">
        <f t="shared" si="10"/>
        <v>26159.459396977323</v>
      </c>
      <c r="L62" s="171">
        <f t="shared" si="11"/>
        <v>5772.507048948329</v>
      </c>
      <c r="M62" s="171">
        <f t="shared" si="12"/>
        <v>7491.002884397246</v>
      </c>
      <c r="N62" s="171">
        <f t="shared" si="13"/>
        <v>191.01093262177662</v>
      </c>
      <c r="O62" s="171">
        <f t="shared" si="14"/>
        <v>0</v>
      </c>
      <c r="P62" s="171" t="s">
        <v>103</v>
      </c>
    </row>
    <row r="63" spans="1:18" s="187" customFormat="1" ht="11.25">
      <c r="A63" s="56" t="s">
        <v>59</v>
      </c>
      <c r="B63" s="57">
        <v>29636.036624465793</v>
      </c>
      <c r="C63" s="57">
        <v>8437.881720894075</v>
      </c>
      <c r="D63" s="114">
        <v>21198.154903571718</v>
      </c>
      <c r="E63" s="186"/>
      <c r="F63" s="186">
        <f>V54</f>
        <v>3541.7999999999997</v>
      </c>
      <c r="G63" s="186">
        <f t="shared" si="7"/>
        <v>24739.954903571717</v>
      </c>
      <c r="H63" s="186"/>
      <c r="I63" s="162">
        <f t="shared" si="8"/>
        <v>24739.954903571717</v>
      </c>
      <c r="J63" s="186"/>
      <c r="K63" s="171">
        <f>G63*$Z$14</f>
        <v>17840.963802704384</v>
      </c>
      <c r="L63" s="171">
        <f>G63*$Y$15</f>
        <v>56.08935854363686</v>
      </c>
      <c r="M63" s="171">
        <f>G63*$Y$16</f>
        <v>6633.703594242024</v>
      </c>
      <c r="N63" s="171">
        <f>G63*$Y$17</f>
        <v>209.1981480816726</v>
      </c>
      <c r="O63" s="171">
        <f t="shared" si="14"/>
        <v>0</v>
      </c>
      <c r="P63" s="171" t="s">
        <v>451</v>
      </c>
      <c r="R63" s="61" t="s">
        <v>7</v>
      </c>
    </row>
    <row r="64" spans="1:26" ht="11.25">
      <c r="A64" s="5" t="s">
        <v>60</v>
      </c>
      <c r="B64" s="9">
        <v>9372.607236877675</v>
      </c>
      <c r="C64" s="9">
        <v>2715.98751738748</v>
      </c>
      <c r="D64" s="114">
        <v>6656.619719490195</v>
      </c>
      <c r="E64" s="162"/>
      <c r="F64" s="162"/>
      <c r="G64" s="162">
        <f t="shared" si="7"/>
        <v>6656.619719490195</v>
      </c>
      <c r="H64" s="162"/>
      <c r="I64" s="162">
        <f t="shared" si="8"/>
        <v>6656.619719490195</v>
      </c>
      <c r="J64" s="162"/>
      <c r="K64" s="148">
        <f>G64*$V$27</f>
        <v>4395.760590510737</v>
      </c>
      <c r="L64" s="148">
        <f>G64*$V$29</f>
        <v>969.9955419240995</v>
      </c>
      <c r="M64" s="148">
        <f>G64*$V$30</f>
        <v>1258.7666573278084</v>
      </c>
      <c r="N64" s="148">
        <f>G64*$V$31</f>
        <v>32.0969297275511</v>
      </c>
      <c r="O64" s="148">
        <f t="shared" si="14"/>
        <v>0</v>
      </c>
      <c r="P64" s="148" t="s">
        <v>103</v>
      </c>
      <c r="R64" s="187" t="s">
        <v>434</v>
      </c>
      <c r="S64" s="187">
        <v>216.72</v>
      </c>
      <c r="T64" s="187"/>
      <c r="U64" s="187"/>
      <c r="V64" s="187"/>
      <c r="W64" s="187"/>
      <c r="X64" s="187"/>
      <c r="Y64" s="187"/>
      <c r="Z64" s="187"/>
    </row>
    <row r="65" spans="1:26" s="193" customFormat="1" ht="11.25">
      <c r="A65" s="117" t="s">
        <v>61</v>
      </c>
      <c r="B65" s="118">
        <v>352416.18115400436</v>
      </c>
      <c r="C65" s="118">
        <v>99127.81578678038</v>
      </c>
      <c r="D65" s="118">
        <v>253288.36536722397</v>
      </c>
      <c r="E65" s="190"/>
      <c r="F65" s="190"/>
      <c r="G65" s="190">
        <f t="shared" si="7"/>
        <v>253288.36536722397</v>
      </c>
      <c r="H65" s="190"/>
      <c r="I65" s="190">
        <f t="shared" si="8"/>
        <v>253288.36536722397</v>
      </c>
      <c r="J65" s="190"/>
      <c r="K65" s="191">
        <v>160960</v>
      </c>
      <c r="L65" s="191">
        <v>73506</v>
      </c>
      <c r="M65" s="191">
        <f>17310</f>
        <v>17310</v>
      </c>
      <c r="N65" s="191">
        <v>1512</v>
      </c>
      <c r="O65" s="191">
        <f t="shared" si="14"/>
        <v>-0.3653672239743173</v>
      </c>
      <c r="P65" s="191" t="s">
        <v>103</v>
      </c>
      <c r="Q65" s="192"/>
      <c r="R65" s="187" t="s">
        <v>437</v>
      </c>
      <c r="S65" s="187"/>
      <c r="T65" s="187"/>
      <c r="U65" s="187"/>
      <c r="V65" s="187"/>
      <c r="W65" s="187"/>
      <c r="X65" s="187"/>
      <c r="Y65" s="187"/>
      <c r="Z65" s="187"/>
    </row>
    <row r="66" spans="1:26" s="193" customFormat="1" ht="11.25">
      <c r="A66" s="117" t="s">
        <v>62</v>
      </c>
      <c r="B66" s="118">
        <v>240979.3767164018</v>
      </c>
      <c r="C66" s="118">
        <v>66237.52218107047</v>
      </c>
      <c r="D66" s="118">
        <v>174741.85453533134</v>
      </c>
      <c r="E66" s="190"/>
      <c r="F66" s="190"/>
      <c r="G66" s="190">
        <f t="shared" si="7"/>
        <v>174741.85453533134</v>
      </c>
      <c r="H66" s="190"/>
      <c r="I66" s="190">
        <f t="shared" si="8"/>
        <v>174741.85453533134</v>
      </c>
      <c r="J66" s="190"/>
      <c r="K66" s="191">
        <f>123609-L66</f>
        <v>83595</v>
      </c>
      <c r="L66" s="191">
        <f>T92</f>
        <v>40014</v>
      </c>
      <c r="M66" s="191">
        <v>50476</v>
      </c>
      <c r="N66" s="191">
        <v>657</v>
      </c>
      <c r="O66" s="191">
        <f t="shared" si="14"/>
        <v>0.1454646686615888</v>
      </c>
      <c r="P66" s="191" t="s">
        <v>108</v>
      </c>
      <c r="Q66" s="192"/>
      <c r="R66" s="187" t="s">
        <v>438</v>
      </c>
      <c r="S66" s="187">
        <v>178.5</v>
      </c>
      <c r="T66" s="187"/>
      <c r="U66" s="187"/>
      <c r="V66" s="187"/>
      <c r="W66" s="187"/>
      <c r="X66" s="187"/>
      <c r="Y66" s="187"/>
      <c r="Z66" s="187"/>
    </row>
    <row r="67" spans="1:26" s="193" customFormat="1" ht="11.25">
      <c r="A67" s="117" t="s">
        <v>63</v>
      </c>
      <c r="B67" s="118">
        <v>0</v>
      </c>
      <c r="C67" s="118">
        <v>0</v>
      </c>
      <c r="D67" s="118">
        <v>0</v>
      </c>
      <c r="E67" s="190"/>
      <c r="F67" s="190"/>
      <c r="G67" s="190">
        <f t="shared" si="7"/>
        <v>0</v>
      </c>
      <c r="H67" s="190"/>
      <c r="I67" s="190">
        <f t="shared" si="8"/>
        <v>0</v>
      </c>
      <c r="J67" s="190"/>
      <c r="K67" s="194"/>
      <c r="L67" s="194"/>
      <c r="M67" s="194"/>
      <c r="N67" s="194"/>
      <c r="O67" s="191">
        <f t="shared" si="14"/>
        <v>0</v>
      </c>
      <c r="P67" s="195"/>
      <c r="R67" s="187" t="s">
        <v>9</v>
      </c>
      <c r="S67" s="187">
        <v>38.5</v>
      </c>
      <c r="T67" s="187"/>
      <c r="U67" s="187"/>
      <c r="V67" s="187"/>
      <c r="W67" s="187"/>
      <c r="X67" s="187"/>
      <c r="Y67" s="187"/>
      <c r="Z67" s="187"/>
    </row>
    <row r="68" spans="1:26" s="193" customFormat="1" ht="11.25">
      <c r="A68" s="117" t="s">
        <v>64</v>
      </c>
      <c r="B68" s="118">
        <v>2647.281840593113</v>
      </c>
      <c r="C68" s="118">
        <v>767.1274654257966</v>
      </c>
      <c r="D68" s="118">
        <v>1880.1543751673164</v>
      </c>
      <c r="E68" s="190"/>
      <c r="F68" s="190"/>
      <c r="G68" s="190">
        <f t="shared" si="7"/>
        <v>1880.1543751673164</v>
      </c>
      <c r="H68" s="190"/>
      <c r="I68" s="190">
        <f t="shared" si="8"/>
        <v>1880.1543751673164</v>
      </c>
      <c r="J68" s="190"/>
      <c r="K68" s="191">
        <f>G68*$V$27</f>
        <v>1241.5773853264056</v>
      </c>
      <c r="L68" s="191">
        <f>G68*$V$29</f>
        <v>273.9740947949271</v>
      </c>
      <c r="M68" s="191">
        <f>G68*$V$30</f>
        <v>355.5371551660265</v>
      </c>
      <c r="N68" s="191">
        <f>G68*$V$31</f>
        <v>9.065739879957398</v>
      </c>
      <c r="O68" s="191">
        <f t="shared" si="14"/>
        <v>0</v>
      </c>
      <c r="P68" s="191" t="s">
        <v>103</v>
      </c>
      <c r="R68" s="187" t="s">
        <v>439</v>
      </c>
      <c r="S68" s="187">
        <f>SUM(S66:S67)</f>
        <v>217</v>
      </c>
      <c r="T68" s="187"/>
      <c r="U68" s="187"/>
      <c r="V68" s="187"/>
      <c r="W68" s="187"/>
      <c r="X68" s="187"/>
      <c r="Y68" s="187"/>
      <c r="Z68" s="187"/>
    </row>
    <row r="69" spans="1:26" s="193" customFormat="1" ht="11.25">
      <c r="A69" s="117" t="s">
        <v>65</v>
      </c>
      <c r="B69" s="118">
        <v>10042.523619302838</v>
      </c>
      <c r="C69" s="118">
        <v>2859.1629284298688</v>
      </c>
      <c r="D69" s="118">
        <v>7183.360690872969</v>
      </c>
      <c r="E69" s="190"/>
      <c r="F69" s="190"/>
      <c r="G69" s="190">
        <f t="shared" si="7"/>
        <v>7183.360690872969</v>
      </c>
      <c r="H69" s="190"/>
      <c r="I69" s="190">
        <f t="shared" si="8"/>
        <v>7183.360690872969</v>
      </c>
      <c r="J69" s="190"/>
      <c r="K69" s="191">
        <f>G69*$W$14</f>
        <v>4084.8942776809035</v>
      </c>
      <c r="L69" s="191">
        <f>G69*$V$15</f>
        <v>12.842305061958825</v>
      </c>
      <c r="M69" s="191">
        <f>G69*$V$16</f>
        <v>3037.7257811422605</v>
      </c>
      <c r="N69" s="191">
        <f>G69*$V$17</f>
        <v>47.898326987846424</v>
      </c>
      <c r="O69" s="191">
        <f t="shared" si="14"/>
        <v>0</v>
      </c>
      <c r="P69" s="191" t="s">
        <v>107</v>
      </c>
      <c r="R69" s="187" t="s">
        <v>444</v>
      </c>
      <c r="S69" s="187"/>
      <c r="T69" s="187"/>
      <c r="U69" s="187"/>
      <c r="V69" s="187"/>
      <c r="W69" s="187"/>
      <c r="X69" s="187"/>
      <c r="Y69" s="187"/>
      <c r="Z69" s="187"/>
    </row>
    <row r="70" spans="1:26" s="193" customFormat="1" ht="11.25">
      <c r="A70" s="117" t="s">
        <v>66</v>
      </c>
      <c r="B70" s="118">
        <v>14108.910104515384</v>
      </c>
      <c r="C70" s="118">
        <v>4235.333904927125</v>
      </c>
      <c r="D70" s="118">
        <v>9873.576199588259</v>
      </c>
      <c r="E70" s="190"/>
      <c r="F70" s="190"/>
      <c r="G70" s="190">
        <f t="shared" si="7"/>
        <v>9873.576199588259</v>
      </c>
      <c r="H70" s="190"/>
      <c r="I70" s="190">
        <f t="shared" si="8"/>
        <v>9873.576199588259</v>
      </c>
      <c r="J70" s="190"/>
      <c r="K70" s="191">
        <f>G70*$V$27</f>
        <v>6520.107648402487</v>
      </c>
      <c r="L70" s="191">
        <f>G70*$V$29</f>
        <v>1438.767016899982</v>
      </c>
      <c r="M70" s="191">
        <f>G70*$V$30</f>
        <v>1867.0930641023565</v>
      </c>
      <c r="N70" s="191">
        <f>G70*$V$31</f>
        <v>47.60847018343364</v>
      </c>
      <c r="O70" s="191">
        <f t="shared" si="14"/>
        <v>0</v>
      </c>
      <c r="P70" s="191" t="s">
        <v>103</v>
      </c>
      <c r="R70" s="187"/>
      <c r="S70" s="187"/>
      <c r="T70" s="187"/>
      <c r="U70" s="187"/>
      <c r="V70" s="187"/>
      <c r="W70" s="187"/>
      <c r="X70" s="187"/>
      <c r="Y70" s="187"/>
      <c r="Z70" s="187"/>
    </row>
    <row r="71" spans="1:26" s="193" customFormat="1" ht="11.25">
      <c r="A71" s="117" t="s">
        <v>67</v>
      </c>
      <c r="B71" s="118"/>
      <c r="C71" s="118">
        <v>0</v>
      </c>
      <c r="D71" s="118">
        <v>0</v>
      </c>
      <c r="E71" s="190"/>
      <c r="F71" s="190"/>
      <c r="G71" s="190">
        <f t="shared" si="7"/>
        <v>0</v>
      </c>
      <c r="H71" s="190"/>
      <c r="I71" s="190">
        <f t="shared" si="8"/>
        <v>0</v>
      </c>
      <c r="J71" s="190"/>
      <c r="K71" s="191">
        <f>E71</f>
        <v>0</v>
      </c>
      <c r="L71" s="191">
        <v>0</v>
      </c>
      <c r="M71" s="191">
        <v>0</v>
      </c>
      <c r="N71" s="191">
        <v>0</v>
      </c>
      <c r="O71" s="191">
        <f t="shared" si="14"/>
        <v>0</v>
      </c>
      <c r="P71" s="191" t="s">
        <v>103</v>
      </c>
      <c r="R71" s="61" t="s">
        <v>7</v>
      </c>
      <c r="S71" s="187"/>
      <c r="T71" s="187"/>
      <c r="U71" s="187"/>
      <c r="V71" s="187"/>
      <c r="W71" s="187"/>
      <c r="X71" s="187"/>
      <c r="Y71" s="187"/>
      <c r="Z71" s="187"/>
    </row>
    <row r="72" spans="1:19" s="187" customFormat="1" ht="11.25">
      <c r="A72" s="56" t="s">
        <v>68</v>
      </c>
      <c r="B72" s="57">
        <v>1011</v>
      </c>
      <c r="C72" s="57">
        <v>0</v>
      </c>
      <c r="D72" s="114">
        <v>1011</v>
      </c>
      <c r="E72" s="186"/>
      <c r="F72" s="186"/>
      <c r="G72" s="186">
        <f t="shared" si="7"/>
        <v>1011</v>
      </c>
      <c r="H72" s="186"/>
      <c r="I72" s="162">
        <f t="shared" si="8"/>
        <v>1011</v>
      </c>
      <c r="J72" s="186"/>
      <c r="K72" s="171">
        <f>G72*$W$14</f>
        <v>574.9158774642443</v>
      </c>
      <c r="L72" s="171">
        <f>G72*$V$15</f>
        <v>1.8074507151140318</v>
      </c>
      <c r="M72" s="171">
        <f>G72*$V$16</f>
        <v>427.53536915345956</v>
      </c>
      <c r="N72" s="171">
        <f>G72*$V$17</f>
        <v>6.7413026671820635</v>
      </c>
      <c r="O72" s="171">
        <f t="shared" si="14"/>
        <v>0</v>
      </c>
      <c r="P72" s="171" t="s">
        <v>107</v>
      </c>
      <c r="R72" s="187" t="s">
        <v>434</v>
      </c>
      <c r="S72" s="188">
        <v>65</v>
      </c>
    </row>
    <row r="73" spans="1:26" ht="11.25">
      <c r="A73" s="5" t="s">
        <v>69</v>
      </c>
      <c r="B73" s="9">
        <v>118516.0056847019</v>
      </c>
      <c r="C73" s="9">
        <v>33167.0680029797</v>
      </c>
      <c r="D73" s="114">
        <v>85348.9376817222</v>
      </c>
      <c r="E73" s="162"/>
      <c r="F73" s="162"/>
      <c r="G73" s="162">
        <f t="shared" si="7"/>
        <v>85348.9376817222</v>
      </c>
      <c r="H73" s="162">
        <f>H23*0.018</f>
        <v>7465.641661835999</v>
      </c>
      <c r="I73" s="162">
        <f t="shared" si="8"/>
        <v>92814.57934355819</v>
      </c>
      <c r="J73" s="162"/>
      <c r="K73" s="148">
        <f>K23*0.018</f>
        <v>60347.19836519999</v>
      </c>
      <c r="L73" s="148">
        <f>L23*0.018</f>
        <v>14199.854882399999</v>
      </c>
      <c r="M73" s="148">
        <f>M23*0.018</f>
        <v>10518.399844200001</v>
      </c>
      <c r="N73" s="148">
        <f>N23*0.018</f>
        <v>283.48322939999997</v>
      </c>
      <c r="O73" s="148">
        <f t="shared" si="14"/>
        <v>-0.0013605222047772259</v>
      </c>
      <c r="P73" s="148" t="s">
        <v>106</v>
      </c>
      <c r="R73" s="187" t="s">
        <v>434</v>
      </c>
      <c r="S73" s="187">
        <v>1260</v>
      </c>
      <c r="T73" s="187"/>
      <c r="U73" s="187"/>
      <c r="V73" s="187"/>
      <c r="W73" s="187"/>
      <c r="X73" s="187"/>
      <c r="Y73" s="187"/>
      <c r="Z73" s="187"/>
    </row>
    <row r="74" spans="1:19" ht="11.25">
      <c r="A74" s="5" t="s">
        <v>70</v>
      </c>
      <c r="B74" s="9">
        <v>44615.3321079277</v>
      </c>
      <c r="C74" s="9">
        <v>12928.599484298433</v>
      </c>
      <c r="D74" s="114">
        <v>31686.73262362927</v>
      </c>
      <c r="E74" s="162"/>
      <c r="F74" s="162"/>
      <c r="G74" s="162">
        <f t="shared" si="7"/>
        <v>31686.73262362927</v>
      </c>
      <c r="H74" s="162"/>
      <c r="I74" s="162">
        <f t="shared" si="8"/>
        <v>31686.73262362927</v>
      </c>
      <c r="J74" s="162"/>
      <c r="K74" s="148">
        <f>G74*$V$27</f>
        <v>20924.627870986133</v>
      </c>
      <c r="L74" s="148">
        <f>G74*$V$29</f>
        <v>4617.35695867801</v>
      </c>
      <c r="M74" s="148">
        <f>G74*$V$30</f>
        <v>5991.960512555847</v>
      </c>
      <c r="N74" s="148">
        <f>G74*$V$31</f>
        <v>152.78728140928277</v>
      </c>
      <c r="O74" s="148">
        <f t="shared" si="14"/>
        <v>0</v>
      </c>
      <c r="P74" s="148" t="s">
        <v>103</v>
      </c>
      <c r="R74" s="143" t="s">
        <v>439</v>
      </c>
      <c r="S74" s="168">
        <f>SUM(S72:S73)</f>
        <v>1325</v>
      </c>
    </row>
    <row r="75" spans="1:18" ht="11.25">
      <c r="A75" s="5" t="s">
        <v>71</v>
      </c>
      <c r="B75" s="9">
        <v>7527</v>
      </c>
      <c r="C75" s="9">
        <v>2145</v>
      </c>
      <c r="D75" s="114">
        <v>5382</v>
      </c>
      <c r="E75" s="162"/>
      <c r="F75" s="162"/>
      <c r="G75" s="162">
        <f t="shared" si="7"/>
        <v>5382</v>
      </c>
      <c r="H75" s="162"/>
      <c r="I75" s="162">
        <f t="shared" si="8"/>
        <v>5382</v>
      </c>
      <c r="J75" s="162"/>
      <c r="K75" s="171">
        <f>G75*T42</f>
        <v>3051.8291763341067</v>
      </c>
      <c r="L75" s="171">
        <f>G75*T43</f>
        <v>17.43010440835267</v>
      </c>
      <c r="M75" s="171">
        <f>G75*T45</f>
        <v>2276.8399071925755</v>
      </c>
      <c r="N75" s="171">
        <f>G75*T46</f>
        <v>35.900812064965194</v>
      </c>
      <c r="O75" s="148">
        <f t="shared" si="14"/>
        <v>0</v>
      </c>
      <c r="P75" s="144" t="s">
        <v>109</v>
      </c>
      <c r="R75" s="143" t="s">
        <v>447</v>
      </c>
    </row>
    <row r="76" spans="1:18" ht="11.25">
      <c r="A76" s="5" t="s">
        <v>72</v>
      </c>
      <c r="B76" s="9">
        <v>92005.99285751894</v>
      </c>
      <c r="C76" s="9">
        <v>26661.43174576349</v>
      </c>
      <c r="D76" s="114">
        <v>65344.56111175545</v>
      </c>
      <c r="E76" s="162"/>
      <c r="F76" s="162"/>
      <c r="G76" s="162">
        <f t="shared" si="7"/>
        <v>65344.56111175545</v>
      </c>
      <c r="H76" s="162"/>
      <c r="I76" s="162">
        <f t="shared" si="8"/>
        <v>65344.56111175545</v>
      </c>
      <c r="J76" s="162"/>
      <c r="K76" s="148">
        <f>G76*$V$27</f>
        <v>43150.887183513856</v>
      </c>
      <c r="L76" s="148">
        <f>G76*$V$29</f>
        <v>9521.939909201243</v>
      </c>
      <c r="M76" s="148">
        <f>G76*$V$30</f>
        <v>12356.655214111674</v>
      </c>
      <c r="N76" s="148">
        <f>G76*$V$31</f>
        <v>315.07880492868406</v>
      </c>
      <c r="O76" s="148">
        <f t="shared" si="14"/>
        <v>0</v>
      </c>
      <c r="P76" s="148" t="s">
        <v>103</v>
      </c>
      <c r="R76" s="143" t="s">
        <v>446</v>
      </c>
    </row>
    <row r="77" spans="1:16" ht="11.25">
      <c r="A77" s="5" t="s">
        <v>73</v>
      </c>
      <c r="B77" s="9">
        <v>590</v>
      </c>
      <c r="C77" s="9">
        <v>170.969784048311</v>
      </c>
      <c r="D77" s="114">
        <v>419.030215951689</v>
      </c>
      <c r="E77" s="162"/>
      <c r="F77" s="162"/>
      <c r="G77" s="162">
        <f t="shared" si="7"/>
        <v>419.030215951689</v>
      </c>
      <c r="H77" s="162"/>
      <c r="I77" s="162">
        <f t="shared" si="8"/>
        <v>419.030215951689</v>
      </c>
      <c r="J77" s="162"/>
      <c r="K77" s="148">
        <f>G77*$V$27</f>
        <v>276.7104907796515</v>
      </c>
      <c r="L77" s="148">
        <f>G77*$V$29</f>
        <v>61.06063716011106</v>
      </c>
      <c r="M77" s="148">
        <f>G77*$V$30</f>
        <v>79.23860555057416</v>
      </c>
      <c r="N77" s="148">
        <f>G77*$V$31</f>
        <v>2.0204824613523176</v>
      </c>
      <c r="O77" s="148">
        <f t="shared" si="14"/>
        <v>0</v>
      </c>
      <c r="P77" s="148" t="s">
        <v>103</v>
      </c>
    </row>
    <row r="78" spans="1:18" ht="11.25">
      <c r="A78" s="5" t="s">
        <v>74</v>
      </c>
      <c r="B78" s="9">
        <v>9335</v>
      </c>
      <c r="C78" s="9">
        <v>1941.68</v>
      </c>
      <c r="D78" s="114">
        <v>7393.32</v>
      </c>
      <c r="E78" s="162"/>
      <c r="F78" s="162"/>
      <c r="G78" s="162">
        <f t="shared" si="7"/>
        <v>7393.32</v>
      </c>
      <c r="H78" s="162"/>
      <c r="I78" s="162">
        <f t="shared" si="8"/>
        <v>7393.32</v>
      </c>
      <c r="J78" s="162"/>
      <c r="K78" s="148">
        <f>G78</f>
        <v>7393.32</v>
      </c>
      <c r="L78" s="164"/>
      <c r="M78" s="164"/>
      <c r="N78" s="164"/>
      <c r="O78" s="164"/>
      <c r="R78" s="143" t="s">
        <v>448</v>
      </c>
    </row>
    <row r="79" spans="1:19" ht="11.25">
      <c r="A79" s="5" t="s">
        <v>75</v>
      </c>
      <c r="B79" s="9">
        <f>SUM(B26:B78)</f>
        <v>6498453.9281786075</v>
      </c>
      <c r="C79" s="9">
        <f>SUM(C26:C78)</f>
        <v>1969994.0460141487</v>
      </c>
      <c r="D79" s="114">
        <f>SUM(D26:D78)</f>
        <v>4463524.882164461</v>
      </c>
      <c r="E79" s="162"/>
      <c r="F79" s="162">
        <f>SUM(F26:F78)</f>
        <v>3541.7999999999997</v>
      </c>
      <c r="G79" s="162">
        <f>SUM(G26:G78)</f>
        <v>4467066.682164461</v>
      </c>
      <c r="H79" s="162">
        <f>SUM(H26:H78)</f>
        <v>12733.066612131399</v>
      </c>
      <c r="I79" s="162">
        <f>SUM(I26:I78)</f>
        <v>4479799.748776592</v>
      </c>
      <c r="J79" s="162"/>
      <c r="K79" s="162">
        <f>SUM(K26:K78)</f>
        <v>3064697.6691389056</v>
      </c>
      <c r="L79" s="162">
        <f>SUM(L26:L78)</f>
        <v>881361.1238073579</v>
      </c>
      <c r="M79" s="162">
        <f>SUM(M26:M78)</f>
        <v>505175.3394183148</v>
      </c>
      <c r="N79" s="162">
        <f>SUM(N26:N78)</f>
        <v>15832.770149403845</v>
      </c>
      <c r="R79" s="143" t="s">
        <v>87</v>
      </c>
      <c r="S79" s="168">
        <f>S59+S66</f>
        <v>6992.5</v>
      </c>
    </row>
    <row r="80" spans="1:19" ht="11.25">
      <c r="A80" s="5"/>
      <c r="B80" s="9"/>
      <c r="C80" s="9"/>
      <c r="D80" s="114"/>
      <c r="E80" s="162"/>
      <c r="F80" s="162"/>
      <c r="G80" s="162"/>
      <c r="H80" s="162"/>
      <c r="I80" s="162"/>
      <c r="J80" s="162"/>
      <c r="K80" s="148"/>
      <c r="L80" s="148"/>
      <c r="M80" s="148"/>
      <c r="N80" s="148"/>
      <c r="O80" s="148"/>
      <c r="R80" s="143" t="s">
        <v>9</v>
      </c>
      <c r="S80" s="168">
        <f>S67+S74</f>
        <v>1363.5</v>
      </c>
    </row>
    <row r="81" spans="1:19" ht="11.25">
      <c r="A81" s="5" t="s">
        <v>76</v>
      </c>
      <c r="B81" s="9">
        <v>166794.60986038763</v>
      </c>
      <c r="C81" s="9">
        <v>-46353.10735972063</v>
      </c>
      <c r="D81" s="114">
        <v>213147.3678355394</v>
      </c>
      <c r="E81" s="162"/>
      <c r="F81" s="162"/>
      <c r="G81" s="162">
        <f>G23-G79</f>
        <v>274540.56783553865</v>
      </c>
      <c r="H81" s="162"/>
      <c r="I81" s="162">
        <f>I23-I79</f>
        <v>676565.3713254072</v>
      </c>
      <c r="J81" s="162"/>
      <c r="K81" s="162">
        <f>K23-K79</f>
        <v>287924.46226109425</v>
      </c>
      <c r="L81" s="162">
        <f>L23-L79</f>
        <v>-92480.29700735782</v>
      </c>
      <c r="M81" s="162">
        <f>M23-M79</f>
        <v>79180.20748168527</v>
      </c>
      <c r="N81" s="162">
        <f>N23-N79</f>
        <v>-83.7018494038457</v>
      </c>
      <c r="R81" s="143" t="s">
        <v>11</v>
      </c>
      <c r="S81" s="168">
        <f>-S74</f>
        <v>-1325</v>
      </c>
    </row>
    <row r="82" spans="1:19" ht="11.25">
      <c r="A82" s="5"/>
      <c r="B82" s="5"/>
      <c r="C82" s="5"/>
      <c r="D82" s="112"/>
      <c r="E82" s="162"/>
      <c r="F82" s="162"/>
      <c r="G82" s="162"/>
      <c r="H82" s="162"/>
      <c r="I82" s="162"/>
      <c r="J82" s="162"/>
      <c r="K82" s="152"/>
      <c r="L82" s="152"/>
      <c r="M82" s="152"/>
      <c r="N82" s="152"/>
      <c r="O82" s="152"/>
      <c r="R82" s="143" t="s">
        <v>177</v>
      </c>
      <c r="S82" s="168">
        <f>-S59+-S68</f>
        <v>-7031</v>
      </c>
    </row>
    <row r="83" spans="1:19" ht="11.25">
      <c r="A83" s="5" t="s">
        <v>77</v>
      </c>
      <c r="B83" s="11">
        <v>0.9749754853238435</v>
      </c>
      <c r="C83" s="11">
        <v>1.0240965485960931</v>
      </c>
      <c r="D83" s="115">
        <v>0.9550474434938618</v>
      </c>
      <c r="E83" s="162"/>
      <c r="F83" s="162"/>
      <c r="G83" s="169">
        <f>G79/G23</f>
        <v>0.9420996819516128</v>
      </c>
      <c r="H83" s="169"/>
      <c r="I83" s="169">
        <f>I79/I23</f>
        <v>0.8687902513559739</v>
      </c>
      <c r="J83" s="169"/>
      <c r="K83" s="169">
        <f>K79/K23</f>
        <v>0.9141196201133285</v>
      </c>
      <c r="L83" s="169">
        <f>L79/L23</f>
        <v>1.1172297435374277</v>
      </c>
      <c r="M83" s="169">
        <f>M79/M23</f>
        <v>0.864499947161047</v>
      </c>
      <c r="N83" s="169">
        <f>N79/N23</f>
        <v>1.0053147175318202</v>
      </c>
      <c r="S83" s="47">
        <f>SUM(S79:S82)</f>
        <v>0</v>
      </c>
    </row>
    <row r="84" spans="1:16" ht="11.25">
      <c r="A84" s="5"/>
      <c r="B84" s="5"/>
      <c r="C84" s="5"/>
      <c r="D84" s="115"/>
      <c r="E84" s="162"/>
      <c r="F84" s="162"/>
      <c r="G84" s="162"/>
      <c r="H84" s="162"/>
      <c r="I84" s="162"/>
      <c r="J84" s="162"/>
      <c r="K84" s="169"/>
      <c r="L84" s="169"/>
      <c r="M84" s="169"/>
      <c r="N84" s="169"/>
      <c r="O84" s="171"/>
      <c r="P84" s="148"/>
    </row>
    <row r="85" spans="1:23" ht="11.25">
      <c r="A85" s="5" t="s">
        <v>78</v>
      </c>
      <c r="B85" s="6">
        <v>4070888.7296851845</v>
      </c>
      <c r="C85" s="6">
        <v>1148075.020181186</v>
      </c>
      <c r="D85" s="112">
        <v>2922813.7095039985</v>
      </c>
      <c r="E85" s="162"/>
      <c r="F85" s="162"/>
      <c r="G85" s="162">
        <f>D85</f>
        <v>2922813.7095039985</v>
      </c>
      <c r="H85" s="162"/>
      <c r="I85" s="162">
        <f>G85</f>
        <v>2922813.7095039985</v>
      </c>
      <c r="J85" s="162"/>
      <c r="K85" s="148">
        <f>K93</f>
        <v>1722909.5989305908</v>
      </c>
      <c r="L85" s="148">
        <f>L93</f>
        <v>504112.5494063808</v>
      </c>
      <c r="M85" s="148">
        <f>M93</f>
        <v>687753.7707068936</v>
      </c>
      <c r="N85" s="148">
        <f>N93</f>
        <v>8038.080956135075</v>
      </c>
      <c r="R85" s="143" t="s">
        <v>456</v>
      </c>
      <c r="S85" s="196" t="s">
        <v>458</v>
      </c>
      <c r="T85" s="196" t="s">
        <v>459</v>
      </c>
      <c r="U85" s="196" t="s">
        <v>9</v>
      </c>
      <c r="V85" s="196" t="s">
        <v>460</v>
      </c>
      <c r="W85" s="196"/>
    </row>
    <row r="86" spans="4:25" ht="11.25">
      <c r="D86" s="121"/>
      <c r="K86" s="152"/>
      <c r="L86" s="152"/>
      <c r="M86" s="152"/>
      <c r="N86" s="152"/>
      <c r="O86" s="152"/>
      <c r="R86" s="143" t="s">
        <v>457</v>
      </c>
      <c r="S86" s="168">
        <v>156557</v>
      </c>
      <c r="T86" s="168">
        <v>73506</v>
      </c>
      <c r="U86" s="168">
        <v>17310</v>
      </c>
      <c r="V86" s="188">
        <v>1512</v>
      </c>
      <c r="W86" s="188"/>
      <c r="Y86" s="168"/>
    </row>
    <row r="87" spans="4:25" ht="11.25">
      <c r="D87" s="121"/>
      <c r="F87" s="162"/>
      <c r="G87" s="168">
        <v>1610592</v>
      </c>
      <c r="I87" s="168">
        <f aca="true" t="shared" si="15" ref="I87:I92">SUM(K87:N87)</f>
        <v>1610592</v>
      </c>
      <c r="K87" s="148">
        <v>974863</v>
      </c>
      <c r="L87" s="148">
        <v>451619</v>
      </c>
      <c r="M87" s="148">
        <v>181868</v>
      </c>
      <c r="N87" s="148">
        <v>2242</v>
      </c>
      <c r="O87" s="148"/>
      <c r="S87" s="168">
        <v>4402</v>
      </c>
      <c r="T87" s="168"/>
      <c r="U87" s="168"/>
      <c r="V87" s="188"/>
      <c r="W87" s="188"/>
      <c r="Y87" s="168"/>
    </row>
    <row r="88" spans="4:25" ht="11.25">
      <c r="D88" s="121"/>
      <c r="F88" s="162"/>
      <c r="G88" s="168">
        <v>934484</v>
      </c>
      <c r="I88" s="168">
        <f t="shared" si="15"/>
        <v>934485</v>
      </c>
      <c r="K88" s="144">
        <v>500229</v>
      </c>
      <c r="M88" s="144">
        <v>430314</v>
      </c>
      <c r="N88" s="144">
        <v>3942</v>
      </c>
      <c r="S88" s="47">
        <f>SUM(S86:S87)</f>
        <v>160959</v>
      </c>
      <c r="T88" s="47">
        <f>SUM(T86:T87)</f>
        <v>73506</v>
      </c>
      <c r="U88" s="47">
        <f>SUM(U86:U87)</f>
        <v>17310</v>
      </c>
      <c r="V88" s="60">
        <f>SUM(V86:V87)</f>
        <v>1512</v>
      </c>
      <c r="W88" s="123">
        <f>SUM(S88:V88)</f>
        <v>253287</v>
      </c>
      <c r="X88" s="119"/>
      <c r="Y88" s="168"/>
    </row>
    <row r="89" spans="4:25" ht="11.25">
      <c r="D89" s="121"/>
      <c r="G89" s="168">
        <v>6353</v>
      </c>
      <c r="I89" s="168">
        <f t="shared" si="15"/>
        <v>6353.000000000001</v>
      </c>
      <c r="K89" s="148">
        <f>G89*$V$27</f>
        <v>4195.262491824225</v>
      </c>
      <c r="L89" s="148">
        <f>G89*$V$29</f>
        <v>925.7523994950034</v>
      </c>
      <c r="M89" s="148">
        <f>G89*$V$30</f>
        <v>1201.352174375979</v>
      </c>
      <c r="N89" s="148">
        <f>G89*$V$31</f>
        <v>30.632934304792904</v>
      </c>
      <c r="R89" s="143" t="s">
        <v>461</v>
      </c>
      <c r="S89" s="168"/>
      <c r="T89" s="168"/>
      <c r="U89" s="168"/>
      <c r="V89" s="188"/>
      <c r="W89" s="188"/>
      <c r="Y89" s="168"/>
    </row>
    <row r="90" spans="4:25" ht="11.25">
      <c r="D90" s="121"/>
      <c r="G90" s="168">
        <v>16285</v>
      </c>
      <c r="I90" s="168">
        <f t="shared" si="15"/>
        <v>16285</v>
      </c>
      <c r="K90" s="171">
        <f>G90*$W$14</f>
        <v>9260.638045999227</v>
      </c>
      <c r="L90" s="171">
        <f>G90*$V$15</f>
        <v>29.114080015461926</v>
      </c>
      <c r="M90" s="171">
        <f>G90*$V$16</f>
        <v>6886.660224197913</v>
      </c>
      <c r="N90" s="171">
        <f>G90*$V$17</f>
        <v>108.58764978739852</v>
      </c>
      <c r="R90" s="143" t="s">
        <v>332</v>
      </c>
      <c r="S90" s="168">
        <v>26924</v>
      </c>
      <c r="T90" s="168">
        <v>40014</v>
      </c>
      <c r="U90" s="168">
        <v>50476</v>
      </c>
      <c r="V90" s="188">
        <v>657</v>
      </c>
      <c r="W90" s="188"/>
      <c r="Y90" s="168"/>
    </row>
    <row r="91" spans="4:25" ht="11.25">
      <c r="D91" s="121"/>
      <c r="G91" s="168">
        <f>349040+4628</f>
        <v>353668</v>
      </c>
      <c r="I91" s="168">
        <f t="shared" si="15"/>
        <v>353668</v>
      </c>
      <c r="K91" s="148">
        <f>G91*$V$27</f>
        <v>233547.94505878954</v>
      </c>
      <c r="L91" s="148">
        <f>G91*$V$29</f>
        <v>51536.12460642198</v>
      </c>
      <c r="M91" s="148">
        <f>G91*$V$30</f>
        <v>66878.61180658017</v>
      </c>
      <c r="N91" s="148">
        <f>G91*$V$31</f>
        <v>1705.3185282083264</v>
      </c>
      <c r="R91" s="143" t="s">
        <v>462</v>
      </c>
      <c r="S91" s="168">
        <v>56671</v>
      </c>
      <c r="T91" s="168"/>
      <c r="U91" s="168"/>
      <c r="V91" s="188"/>
      <c r="W91" s="188"/>
      <c r="Y91" s="168"/>
    </row>
    <row r="92" spans="4:25" ht="11.25">
      <c r="D92" s="121"/>
      <c r="G92" s="168">
        <v>1431</v>
      </c>
      <c r="I92" s="168">
        <f t="shared" si="15"/>
        <v>1431</v>
      </c>
      <c r="K92" s="171">
        <f>G92*$W$14</f>
        <v>813.7533339775803</v>
      </c>
      <c r="L92" s="171">
        <f>G92*$V$15</f>
        <v>2.5583204483958255</v>
      </c>
      <c r="M92" s="171">
        <f>G92*$V$16</f>
        <v>605.1465017394665</v>
      </c>
      <c r="N92" s="171">
        <f>G92*$V$17</f>
        <v>9.541843834557401</v>
      </c>
      <c r="S92" s="47">
        <f>SUM(S90:S91)</f>
        <v>83595</v>
      </c>
      <c r="T92" s="47">
        <f>SUM(T90:T91)</f>
        <v>40014</v>
      </c>
      <c r="U92" s="47">
        <f>SUM(U90:U91)</f>
        <v>50476</v>
      </c>
      <c r="V92" s="60">
        <f>SUM(V90:V91)</f>
        <v>657</v>
      </c>
      <c r="W92" s="123">
        <f>SUM(S92:V92)</f>
        <v>174742</v>
      </c>
      <c r="X92" s="119"/>
      <c r="Y92" s="168"/>
    </row>
    <row r="93" spans="4:25" ht="11.25">
      <c r="D93" s="121"/>
      <c r="G93" s="168">
        <f>SUM(G87:G92)</f>
        <v>2922813</v>
      </c>
      <c r="I93" s="168">
        <f>SUM(I87:I92)</f>
        <v>2922814</v>
      </c>
      <c r="K93" s="148">
        <f>SUM(K87:K92)</f>
        <v>1722909.5989305908</v>
      </c>
      <c r="L93" s="148">
        <f>SUM(L87:L92)</f>
        <v>504112.5494063808</v>
      </c>
      <c r="M93" s="148">
        <f>SUM(M87:M92)</f>
        <v>687753.7707068936</v>
      </c>
      <c r="N93" s="148">
        <f>SUM(N87:N92)</f>
        <v>8038.080956135075</v>
      </c>
      <c r="R93" s="143" t="s">
        <v>463</v>
      </c>
      <c r="S93" s="168"/>
      <c r="T93" s="168"/>
      <c r="U93" s="168"/>
      <c r="V93" s="188"/>
      <c r="W93" s="188"/>
      <c r="Y93" s="168"/>
    </row>
    <row r="94" spans="4:24" ht="11.25">
      <c r="D94" s="121"/>
      <c r="G94" s="168"/>
      <c r="R94" s="143" t="s">
        <v>464</v>
      </c>
      <c r="S94" s="47">
        <f>1516</f>
        <v>1516</v>
      </c>
      <c r="T94" s="47"/>
      <c r="U94" s="47">
        <f>356+9</f>
        <v>365</v>
      </c>
      <c r="V94" s="60">
        <v>9</v>
      </c>
      <c r="W94" s="123">
        <f>SUM(S94:V94)</f>
        <v>1890</v>
      </c>
      <c r="X94" s="119"/>
    </row>
    <row r="95" spans="4:24" ht="6.75" customHeight="1">
      <c r="D95" s="121"/>
      <c r="G95" s="168"/>
      <c r="S95" s="168"/>
      <c r="T95" s="168"/>
      <c r="U95" s="168"/>
      <c r="V95" s="188"/>
      <c r="W95" s="188"/>
      <c r="X95" s="168"/>
    </row>
    <row r="96" spans="4:24" ht="11.25">
      <c r="D96" s="121"/>
      <c r="G96" s="168"/>
      <c r="I96" s="168">
        <f>SUM(K96:N96)</f>
        <v>2918184</v>
      </c>
      <c r="K96" s="148">
        <f>S134</f>
        <v>1486503</v>
      </c>
      <c r="L96" s="148">
        <f>T134</f>
        <v>650591</v>
      </c>
      <c r="M96" s="148">
        <f>U134</f>
        <v>773310</v>
      </c>
      <c r="N96" s="148">
        <f>V134</f>
        <v>7780</v>
      </c>
      <c r="R96" s="143" t="s">
        <v>472</v>
      </c>
      <c r="S96" s="168"/>
      <c r="T96" s="168"/>
      <c r="U96" s="168"/>
      <c r="V96" s="188"/>
      <c r="W96" s="188"/>
      <c r="X96" s="168"/>
    </row>
    <row r="97" spans="4:24" ht="11.25">
      <c r="D97" s="121"/>
      <c r="G97" s="168"/>
      <c r="R97" s="143" t="s">
        <v>477</v>
      </c>
      <c r="S97" s="168">
        <v>1346</v>
      </c>
      <c r="T97" s="168"/>
      <c r="U97" s="168">
        <f>998</f>
        <v>998</v>
      </c>
      <c r="V97" s="188">
        <v>16</v>
      </c>
      <c r="W97" s="188"/>
      <c r="X97" s="168"/>
    </row>
    <row r="98" spans="4:24" ht="11.25">
      <c r="D98" s="121"/>
      <c r="G98" s="168"/>
      <c r="I98" s="168">
        <f>I93-I96</f>
        <v>4630</v>
      </c>
      <c r="R98" s="143" t="s">
        <v>478</v>
      </c>
      <c r="S98" s="168">
        <v>2284</v>
      </c>
      <c r="T98" s="168"/>
      <c r="U98" s="168">
        <f>1693</f>
        <v>1693</v>
      </c>
      <c r="V98" s="188">
        <v>27</v>
      </c>
      <c r="W98" s="188"/>
      <c r="X98" s="168"/>
    </row>
    <row r="99" spans="4:24" ht="11.25">
      <c r="D99" s="121"/>
      <c r="G99" s="168"/>
      <c r="R99" s="143" t="s">
        <v>479</v>
      </c>
      <c r="S99" s="168">
        <v>467</v>
      </c>
      <c r="T99" s="168"/>
      <c r="U99" s="168">
        <f>346</f>
        <v>346</v>
      </c>
      <c r="V99" s="188">
        <v>5</v>
      </c>
      <c r="W99" s="188"/>
      <c r="X99" s="168"/>
    </row>
    <row r="100" spans="4:26" ht="11.25">
      <c r="D100" s="121"/>
      <c r="G100" s="168"/>
      <c r="S100" s="47">
        <f>SUM(S97:S99)</f>
        <v>4097</v>
      </c>
      <c r="T100" s="47">
        <f>SUM(T97:T99)</f>
        <v>0</v>
      </c>
      <c r="U100" s="47">
        <f>SUM(U97:U99)</f>
        <v>3037</v>
      </c>
      <c r="V100" s="60">
        <f>SUM(V97:V99)</f>
        <v>48</v>
      </c>
      <c r="W100" s="123">
        <f>SUM(S100:V100)</f>
        <v>7182</v>
      </c>
      <c r="X100" s="119"/>
      <c r="Y100" s="162">
        <f>D65</f>
        <v>253288.36536722397</v>
      </c>
      <c r="Z100" s="143" t="s">
        <v>457</v>
      </c>
    </row>
    <row r="101" spans="4:26" ht="11.25">
      <c r="D101" s="121"/>
      <c r="R101" s="143" t="s">
        <v>465</v>
      </c>
      <c r="S101" s="168"/>
      <c r="T101" s="168"/>
      <c r="U101" s="168"/>
      <c r="V101" s="188"/>
      <c r="W101" s="188"/>
      <c r="Y101" s="162">
        <f>D66</f>
        <v>174741.85453533134</v>
      </c>
      <c r="Z101" s="143" t="s">
        <v>470</v>
      </c>
    </row>
    <row r="102" spans="4:26" ht="11.25">
      <c r="D102" s="121"/>
      <c r="G102" s="162"/>
      <c r="R102" s="143" t="s">
        <v>466</v>
      </c>
      <c r="S102" s="168">
        <v>1532</v>
      </c>
      <c r="T102" s="168"/>
      <c r="U102" s="168">
        <v>1136</v>
      </c>
      <c r="V102" s="188">
        <v>18</v>
      </c>
      <c r="W102" s="188"/>
      <c r="X102" s="168"/>
      <c r="Y102" s="162">
        <f>D67</f>
        <v>0</v>
      </c>
      <c r="Z102" s="143" t="s">
        <v>471</v>
      </c>
    </row>
    <row r="103" spans="4:26" ht="11.25">
      <c r="D103" s="121"/>
      <c r="R103" s="143" t="s">
        <v>467</v>
      </c>
      <c r="S103" s="168">
        <v>2831</v>
      </c>
      <c r="T103" s="168"/>
      <c r="U103" s="168">
        <v>664</v>
      </c>
      <c r="V103" s="188">
        <v>17</v>
      </c>
      <c r="W103" s="188"/>
      <c r="Y103" s="162">
        <f>D68</f>
        <v>1880.1543751673164</v>
      </c>
      <c r="Z103" s="143" t="s">
        <v>463</v>
      </c>
    </row>
    <row r="104" spans="4:26" ht="11.25">
      <c r="D104" s="121"/>
      <c r="R104" s="143" t="s">
        <v>468</v>
      </c>
      <c r="U104" s="143">
        <v>3675</v>
      </c>
      <c r="V104" s="187"/>
      <c r="W104" s="187"/>
      <c r="Y104" s="162">
        <f>D69</f>
        <v>7183.360690872969</v>
      </c>
      <c r="Z104" s="162" t="s">
        <v>466</v>
      </c>
    </row>
    <row r="105" spans="4:26" ht="11.25">
      <c r="D105" s="121"/>
      <c r="R105" s="143" t="s">
        <v>481</v>
      </c>
      <c r="V105" s="187"/>
      <c r="W105" s="187"/>
      <c r="Y105" s="162"/>
      <c r="Z105" s="162"/>
    </row>
    <row r="106" spans="4:26" ht="11.25">
      <c r="D106" s="121"/>
      <c r="S106" s="47">
        <f>SUM(S102:S105)</f>
        <v>4363</v>
      </c>
      <c r="T106" s="47">
        <f>SUM(T102:T105)</f>
        <v>0</v>
      </c>
      <c r="U106" s="47">
        <f>SUM(U102:U105)</f>
        <v>5475</v>
      </c>
      <c r="V106" s="60">
        <f>SUM(V102:V105)</f>
        <v>35</v>
      </c>
      <c r="W106" s="123">
        <f>SUM(S106:V106)</f>
        <v>9873</v>
      </c>
      <c r="X106" s="119"/>
      <c r="Y106" s="162">
        <f>D70</f>
        <v>9873.576199588259</v>
      </c>
      <c r="Z106" s="143" t="s">
        <v>469</v>
      </c>
    </row>
    <row r="107" spans="4:25" ht="11.25">
      <c r="D107" s="121"/>
      <c r="R107" s="168">
        <f>S107+T107+234465</f>
        <v>602515</v>
      </c>
      <c r="S107" s="120">
        <f>S88+S92+S94+S100+S106</f>
        <v>254530</v>
      </c>
      <c r="T107" s="120">
        <f>T88+T92+T94+T100+T106</f>
        <v>113520</v>
      </c>
      <c r="U107" s="120">
        <f>U88+U92+U94+U100+U106</f>
        <v>76663</v>
      </c>
      <c r="V107" s="122">
        <f>V88+V92+V94+V100+V106</f>
        <v>2261</v>
      </c>
      <c r="W107" s="122">
        <f>W88+W92+W94+W100+W106</f>
        <v>446974</v>
      </c>
      <c r="X107" s="47"/>
      <c r="Y107" s="162">
        <f>SUM(Y100:Y106)</f>
        <v>446967.31116818386</v>
      </c>
    </row>
    <row r="108" spans="4:25" ht="6" customHeight="1">
      <c r="D108" s="121"/>
      <c r="R108" s="168"/>
      <c r="S108" s="120"/>
      <c r="T108" s="120"/>
      <c r="U108" s="120"/>
      <c r="V108" s="122"/>
      <c r="W108" s="122"/>
      <c r="X108" s="47"/>
      <c r="Y108" s="162"/>
    </row>
    <row r="109" spans="4:25" ht="11.25">
      <c r="D109" s="121"/>
      <c r="R109" s="168"/>
      <c r="S109" s="120"/>
      <c r="T109" s="120"/>
      <c r="U109" s="120"/>
      <c r="V109" s="122"/>
      <c r="W109" s="122"/>
      <c r="X109" s="124" t="s">
        <v>482</v>
      </c>
      <c r="Y109" s="162">
        <f>W107-Y107</f>
        <v>6.688831816136371</v>
      </c>
    </row>
    <row r="110" spans="4:23" ht="6" customHeight="1">
      <c r="D110" s="121"/>
      <c r="V110" s="188"/>
      <c r="W110" s="188"/>
    </row>
    <row r="111" spans="4:23" ht="11.25">
      <c r="D111" s="121"/>
      <c r="R111" s="143" t="s">
        <v>473</v>
      </c>
      <c r="S111" s="196" t="s">
        <v>458</v>
      </c>
      <c r="T111" s="196" t="s">
        <v>459</v>
      </c>
      <c r="U111" s="196" t="s">
        <v>9</v>
      </c>
      <c r="V111" s="197" t="s">
        <v>460</v>
      </c>
      <c r="W111" s="197"/>
    </row>
    <row r="112" spans="4:24" ht="11.25">
      <c r="D112" s="121"/>
      <c r="R112" s="143" t="s">
        <v>457</v>
      </c>
      <c r="S112" s="168">
        <v>961397</v>
      </c>
      <c r="T112" s="168">
        <v>451619</v>
      </c>
      <c r="U112" s="168">
        <v>181868</v>
      </c>
      <c r="V112" s="188">
        <v>2242</v>
      </c>
      <c r="W112" s="188"/>
      <c r="X112" s="168"/>
    </row>
    <row r="113" spans="4:24" ht="11.25">
      <c r="D113" s="121"/>
      <c r="R113" s="143" t="s">
        <v>474</v>
      </c>
      <c r="S113" s="168">
        <v>13466</v>
      </c>
      <c r="T113" s="168"/>
      <c r="U113" s="168"/>
      <c r="V113" s="188"/>
      <c r="W113" s="188"/>
      <c r="X113" s="168"/>
    </row>
    <row r="114" spans="4:24" ht="11.25">
      <c r="D114" s="121"/>
      <c r="S114" s="47">
        <f>SUM(S112:S113)</f>
        <v>974863</v>
      </c>
      <c r="T114" s="47">
        <f>SUM(T112:T113)</f>
        <v>451619</v>
      </c>
      <c r="U114" s="47">
        <f>SUM(U112:U113)</f>
        <v>181868</v>
      </c>
      <c r="V114" s="60">
        <f>SUM(V112:V113)</f>
        <v>2242</v>
      </c>
      <c r="W114" s="123">
        <f>SUM(S114:V114)</f>
        <v>1610592</v>
      </c>
      <c r="X114" s="119"/>
    </row>
    <row r="115" spans="4:24" ht="11.25">
      <c r="D115" s="121"/>
      <c r="R115" s="143" t="s">
        <v>475</v>
      </c>
      <c r="S115" s="168"/>
      <c r="T115" s="168"/>
      <c r="U115" s="168"/>
      <c r="V115" s="188"/>
      <c r="W115" s="188"/>
      <c r="X115" s="168"/>
    </row>
    <row r="116" spans="4:24" ht="11.25">
      <c r="D116" s="121"/>
      <c r="R116" s="143" t="s">
        <v>332</v>
      </c>
      <c r="S116" s="168">
        <v>131137</v>
      </c>
      <c r="T116" s="168">
        <v>198972</v>
      </c>
      <c r="U116" s="168"/>
      <c r="V116" s="188"/>
      <c r="W116" s="188"/>
      <c r="X116" s="168"/>
    </row>
    <row r="117" spans="4:24" ht="11.25">
      <c r="D117" s="121"/>
      <c r="R117" s="143" t="s">
        <v>476</v>
      </c>
      <c r="S117" s="168">
        <v>170120</v>
      </c>
      <c r="T117" s="168"/>
      <c r="U117" s="168">
        <v>430314</v>
      </c>
      <c r="V117" s="188">
        <v>3942</v>
      </c>
      <c r="W117" s="188"/>
      <c r="X117" s="168"/>
    </row>
    <row r="118" spans="4:24" ht="11.25">
      <c r="D118" s="121"/>
      <c r="S118" s="47">
        <f>SUM(S116:S117)</f>
        <v>301257</v>
      </c>
      <c r="T118" s="47">
        <f>SUM(T116:T117)</f>
        <v>198972</v>
      </c>
      <c r="U118" s="47">
        <f>SUM(U116:U117)</f>
        <v>430314</v>
      </c>
      <c r="V118" s="60">
        <f>SUM(V116:V117)</f>
        <v>3942</v>
      </c>
      <c r="W118" s="123">
        <f>SUM(S118:V118)</f>
        <v>934485</v>
      </c>
      <c r="X118" s="119"/>
    </row>
    <row r="119" spans="4:24" ht="11.25">
      <c r="D119" s="121"/>
      <c r="R119" s="143" t="s">
        <v>463</v>
      </c>
      <c r="S119" s="168"/>
      <c r="T119" s="168"/>
      <c r="U119" s="168"/>
      <c r="V119" s="188"/>
      <c r="W119" s="188"/>
      <c r="X119" s="168"/>
    </row>
    <row r="120" spans="4:24" ht="11.25">
      <c r="D120" s="121"/>
      <c r="R120" s="143" t="s">
        <v>464</v>
      </c>
      <c r="S120" s="47">
        <v>5121</v>
      </c>
      <c r="T120" s="47"/>
      <c r="U120" s="47">
        <v>1201</v>
      </c>
      <c r="V120" s="60">
        <v>31</v>
      </c>
      <c r="W120" s="123">
        <f>SUM(S120:V120)</f>
        <v>6353</v>
      </c>
      <c r="X120" s="119"/>
    </row>
    <row r="121" spans="4:24" ht="11.25">
      <c r="D121" s="121"/>
      <c r="S121" s="168"/>
      <c r="T121" s="168"/>
      <c r="U121" s="168"/>
      <c r="V121" s="188"/>
      <c r="W121" s="188"/>
      <c r="X121" s="168"/>
    </row>
    <row r="122" spans="4:24" ht="11.25">
      <c r="D122" s="121"/>
      <c r="R122" s="143" t="s">
        <v>472</v>
      </c>
      <c r="S122" s="168"/>
      <c r="T122" s="168"/>
      <c r="U122" s="168"/>
      <c r="V122" s="188"/>
      <c r="W122" s="188"/>
      <c r="X122" s="168"/>
    </row>
    <row r="123" spans="4:25" ht="11.25">
      <c r="D123" s="121"/>
      <c r="R123" s="143" t="s">
        <v>477</v>
      </c>
      <c r="S123" s="168">
        <v>2406</v>
      </c>
      <c r="T123" s="168"/>
      <c r="U123" s="168">
        <v>1784</v>
      </c>
      <c r="V123" s="188">
        <v>28</v>
      </c>
      <c r="W123" s="188"/>
      <c r="X123" s="168"/>
      <c r="Y123" s="168">
        <f>I87</f>
        <v>1610592</v>
      </c>
    </row>
    <row r="124" spans="4:25" ht="11.25">
      <c r="D124" s="121"/>
      <c r="R124" s="143" t="s">
        <v>478</v>
      </c>
      <c r="S124" s="168">
        <v>6883</v>
      </c>
      <c r="T124" s="168"/>
      <c r="U124" s="168">
        <v>5103</v>
      </c>
      <c r="V124" s="188">
        <v>81</v>
      </c>
      <c r="W124" s="188"/>
      <c r="X124" s="168"/>
      <c r="Y124" s="168">
        <f aca="true" t="shared" si="16" ref="Y124:Y129">I88</f>
        <v>934485</v>
      </c>
    </row>
    <row r="125" spans="4:25" ht="11.25">
      <c r="D125" s="121"/>
      <c r="R125" s="143" t="s">
        <v>479</v>
      </c>
      <c r="S125" s="168">
        <v>816</v>
      </c>
      <c r="T125" s="168"/>
      <c r="U125" s="168">
        <v>605</v>
      </c>
      <c r="V125" s="188">
        <v>10</v>
      </c>
      <c r="W125" s="188"/>
      <c r="X125" s="168"/>
      <c r="Y125" s="168">
        <f t="shared" si="16"/>
        <v>6353.000000000001</v>
      </c>
    </row>
    <row r="126" spans="4:26" ht="11.25">
      <c r="D126" s="121"/>
      <c r="S126" s="47">
        <f>SUM(S123:S125)</f>
        <v>10105</v>
      </c>
      <c r="T126" s="47">
        <f>SUM(T123:T125)</f>
        <v>0</v>
      </c>
      <c r="U126" s="47">
        <f>SUM(U123:U125)</f>
        <v>7492</v>
      </c>
      <c r="V126" s="60">
        <f>SUM(V123:V125)</f>
        <v>119</v>
      </c>
      <c r="W126" s="123">
        <f>SUM(S126:V126)</f>
        <v>17716</v>
      </c>
      <c r="X126" s="119"/>
      <c r="Y126" s="168">
        <f>I90+I92</f>
        <v>17716</v>
      </c>
      <c r="Z126" s="168"/>
    </row>
    <row r="127" spans="4:26" ht="11.25">
      <c r="D127" s="121"/>
      <c r="R127" s="143" t="s">
        <v>465</v>
      </c>
      <c r="S127" s="168"/>
      <c r="T127" s="168"/>
      <c r="U127" s="168"/>
      <c r="V127" s="188"/>
      <c r="W127" s="188"/>
      <c r="X127" s="168"/>
      <c r="Y127" s="168">
        <f t="shared" si="16"/>
        <v>353668</v>
      </c>
      <c r="Z127" s="168">
        <f>W132-Y127</f>
        <v>-4630</v>
      </c>
    </row>
    <row r="128" spans="4:25" ht="11.25">
      <c r="D128" s="121"/>
      <c r="R128" s="143" t="s">
        <v>466</v>
      </c>
      <c r="S128" s="168">
        <v>48638</v>
      </c>
      <c r="T128" s="168"/>
      <c r="U128" s="168">
        <v>36058</v>
      </c>
      <c r="V128" s="188">
        <v>570</v>
      </c>
      <c r="W128" s="188"/>
      <c r="X128" s="168"/>
      <c r="Y128" s="168"/>
    </row>
    <row r="129" spans="4:25" ht="11.25">
      <c r="D129" s="121"/>
      <c r="R129" s="143" t="s">
        <v>467</v>
      </c>
      <c r="S129" s="168">
        <v>132297</v>
      </c>
      <c r="T129" s="168"/>
      <c r="U129" s="168">
        <v>31036</v>
      </c>
      <c r="V129" s="188">
        <v>791</v>
      </c>
      <c r="W129" s="188"/>
      <c r="X129" s="168"/>
      <c r="Y129" s="168">
        <f t="shared" si="16"/>
        <v>2922814</v>
      </c>
    </row>
    <row r="130" spans="4:24" ht="11.25">
      <c r="D130" s="121"/>
      <c r="R130" s="143" t="s">
        <v>468</v>
      </c>
      <c r="S130" s="168"/>
      <c r="T130" s="168"/>
      <c r="U130" s="168">
        <v>82005</v>
      </c>
      <c r="V130" s="188"/>
      <c r="W130" s="188"/>
      <c r="X130" s="168"/>
    </row>
    <row r="131" spans="4:24" ht="11.25">
      <c r="D131" s="121"/>
      <c r="R131" s="143" t="s">
        <v>480</v>
      </c>
      <c r="S131" s="168">
        <v>14222</v>
      </c>
      <c r="T131" s="168"/>
      <c r="U131" s="168">
        <v>3336</v>
      </c>
      <c r="V131" s="188">
        <v>85</v>
      </c>
      <c r="W131" s="188"/>
      <c r="X131" s="168"/>
    </row>
    <row r="132" spans="4:24" ht="11.25">
      <c r="D132" s="121"/>
      <c r="S132" s="47">
        <f>SUM(S128:S131)</f>
        <v>195157</v>
      </c>
      <c r="T132" s="47">
        <f>SUM(T128:T131)</f>
        <v>0</v>
      </c>
      <c r="U132" s="47">
        <f>SUM(U128:U131)</f>
        <v>152435</v>
      </c>
      <c r="V132" s="60">
        <f>SUM(V128:V131)</f>
        <v>1446</v>
      </c>
      <c r="W132" s="123">
        <f>SUM(S132:V132)</f>
        <v>349038</v>
      </c>
      <c r="X132" s="119"/>
    </row>
    <row r="133" spans="4:24" ht="6" customHeight="1">
      <c r="D133" s="121"/>
      <c r="S133" s="168"/>
      <c r="T133" s="168"/>
      <c r="U133" s="168"/>
      <c r="V133" s="188"/>
      <c r="W133" s="188"/>
      <c r="X133" s="168"/>
    </row>
    <row r="134" spans="4:25" ht="11.25">
      <c r="D134" s="121"/>
      <c r="S134" s="47">
        <f>S114+S118+S120+S126+S132</f>
        <v>1486503</v>
      </c>
      <c r="T134" s="47">
        <f>T114+T118+T120+T126+T132</f>
        <v>650591</v>
      </c>
      <c r="U134" s="47">
        <f>U114+U118+U120+U126+U132</f>
        <v>773310</v>
      </c>
      <c r="V134" s="60">
        <f>V114+V118+V120+V126+V132</f>
        <v>7780</v>
      </c>
      <c r="W134" s="123">
        <f>SUM(S134:V134)</f>
        <v>2918184</v>
      </c>
      <c r="X134" s="119">
        <f>I85</f>
        <v>2922813.7095039985</v>
      </c>
      <c r="Y134" s="162">
        <f>I85</f>
        <v>2922813.7095039985</v>
      </c>
    </row>
    <row r="135" spans="4:24" ht="6" customHeight="1">
      <c r="D135" s="121"/>
      <c r="S135" s="168"/>
      <c r="T135" s="168"/>
      <c r="U135" s="168"/>
      <c r="V135" s="188"/>
      <c r="W135" s="188"/>
      <c r="X135" s="168"/>
    </row>
    <row r="136" spans="4:24" ht="11.25">
      <c r="D136" s="121"/>
      <c r="S136" s="168"/>
      <c r="T136" s="168">
        <f>S134+T134</f>
        <v>2137094</v>
      </c>
      <c r="U136" s="168"/>
      <c r="V136" s="188"/>
      <c r="W136" s="198" t="s">
        <v>482</v>
      </c>
      <c r="X136" s="168">
        <f>W134-X134</f>
        <v>-4629.709503998514</v>
      </c>
    </row>
    <row r="137" spans="4:24" ht="11.25">
      <c r="D137" s="121"/>
      <c r="S137" s="168"/>
      <c r="T137" s="168"/>
      <c r="U137" s="168"/>
      <c r="V137" s="188"/>
      <c r="W137" s="188"/>
      <c r="X137" s="168"/>
    </row>
    <row r="138" spans="4:24" ht="11.25">
      <c r="D138" s="121"/>
      <c r="S138" s="168"/>
      <c r="T138" s="168"/>
      <c r="U138" s="168"/>
      <c r="V138" s="168"/>
      <c r="W138" s="168"/>
      <c r="X138" s="168"/>
    </row>
    <row r="139" spans="4:24" ht="11.25">
      <c r="D139" s="121"/>
      <c r="S139" s="168"/>
      <c r="T139" s="168"/>
      <c r="U139" s="168"/>
      <c r="V139" s="168"/>
      <c r="W139" s="168"/>
      <c r="X139" s="168"/>
    </row>
    <row r="140" spans="4:24" ht="11.25">
      <c r="D140" s="121"/>
      <c r="S140" s="168"/>
      <c r="T140" s="168"/>
      <c r="U140" s="168"/>
      <c r="V140" s="168"/>
      <c r="W140" s="168"/>
      <c r="X140" s="168"/>
    </row>
    <row r="141" spans="4:24" ht="11.25">
      <c r="D141" s="121"/>
      <c r="S141" s="168"/>
      <c r="T141" s="168"/>
      <c r="U141" s="168"/>
      <c r="V141" s="168"/>
      <c r="W141" s="168"/>
      <c r="X141" s="168"/>
    </row>
    <row r="142" spans="4:24" ht="11.25">
      <c r="D142" s="121"/>
      <c r="S142" s="168"/>
      <c r="T142" s="168"/>
      <c r="U142" s="168"/>
      <c r="V142" s="168"/>
      <c r="W142" s="168"/>
      <c r="X142" s="168"/>
    </row>
    <row r="143" ht="11.25">
      <c r="D143" s="121"/>
    </row>
    <row r="144" ht="11.25">
      <c r="D144" s="121"/>
    </row>
    <row r="145" ht="11.25">
      <c r="D145" s="121"/>
    </row>
    <row r="146" ht="11.25">
      <c r="D146" s="121"/>
    </row>
    <row r="147" ht="11.25">
      <c r="D147" s="121"/>
    </row>
    <row r="148" ht="11.25">
      <c r="D148" s="121"/>
    </row>
    <row r="149" ht="11.25">
      <c r="D149" s="121"/>
    </row>
    <row r="150" ht="11.25">
      <c r="D150" s="121"/>
    </row>
    <row r="151" ht="11.25">
      <c r="D151" s="121"/>
    </row>
    <row r="152" ht="11.25">
      <c r="D152" s="121"/>
    </row>
    <row r="153" ht="11.25">
      <c r="D153" s="121"/>
    </row>
    <row r="154" ht="11.25">
      <c r="D154" s="121"/>
    </row>
    <row r="155" ht="11.25">
      <c r="D155" s="121"/>
    </row>
    <row r="156" ht="11.25">
      <c r="D156" s="121"/>
    </row>
    <row r="157" ht="11.25">
      <c r="D157" s="121"/>
    </row>
    <row r="158" ht="11.25">
      <c r="D158" s="121"/>
    </row>
    <row r="159" ht="11.25">
      <c r="D159" s="121"/>
    </row>
    <row r="160" ht="11.25">
      <c r="D160" s="121"/>
    </row>
    <row r="161" ht="11.25">
      <c r="D161" s="121"/>
    </row>
    <row r="162" ht="11.25">
      <c r="D162" s="121"/>
    </row>
    <row r="163" ht="11.25">
      <c r="D163" s="121"/>
    </row>
    <row r="164" ht="11.25">
      <c r="D164" s="121"/>
    </row>
    <row r="165" ht="11.25">
      <c r="D165" s="121"/>
    </row>
    <row r="166" ht="11.25">
      <c r="D166" s="121"/>
    </row>
    <row r="167" ht="11.25">
      <c r="D167" s="121"/>
    </row>
    <row r="168" ht="11.25">
      <c r="D168" s="121"/>
    </row>
    <row r="169" ht="11.25">
      <c r="D169" s="121"/>
    </row>
    <row r="170" ht="11.25">
      <c r="D170" s="121"/>
    </row>
    <row r="171" ht="11.25">
      <c r="D171" s="121"/>
    </row>
    <row r="172" ht="11.25">
      <c r="D172" s="121"/>
    </row>
    <row r="173" ht="11.25">
      <c r="D173" s="121"/>
    </row>
    <row r="174" ht="11.25">
      <c r="D174" s="121"/>
    </row>
    <row r="175" ht="11.25">
      <c r="D175" s="121"/>
    </row>
    <row r="176" ht="11.25">
      <c r="D176" s="121"/>
    </row>
    <row r="177" ht="11.25">
      <c r="D177" s="121"/>
    </row>
    <row r="178" ht="11.25">
      <c r="D178" s="121"/>
    </row>
    <row r="179" ht="11.25">
      <c r="D179" s="121"/>
    </row>
    <row r="180" ht="11.25">
      <c r="D180" s="121"/>
    </row>
    <row r="181" ht="11.25">
      <c r="D181" s="121"/>
    </row>
    <row r="182" ht="11.25">
      <c r="D182" s="121"/>
    </row>
    <row r="183" ht="11.25">
      <c r="D183" s="121"/>
    </row>
    <row r="184" ht="11.25">
      <c r="D184" s="121"/>
    </row>
    <row r="185" ht="11.25">
      <c r="D185" s="121"/>
    </row>
    <row r="186" ht="11.25">
      <c r="D186" s="121"/>
    </row>
    <row r="187" ht="11.25">
      <c r="D187" s="121"/>
    </row>
    <row r="188" ht="11.25">
      <c r="D188" s="121"/>
    </row>
    <row r="189" ht="11.25">
      <c r="D189" s="121"/>
    </row>
    <row r="190" ht="11.25">
      <c r="D190" s="121"/>
    </row>
    <row r="191" ht="11.25">
      <c r="D191" s="121"/>
    </row>
    <row r="192" ht="11.25">
      <c r="D192" s="121"/>
    </row>
    <row r="193" ht="11.25">
      <c r="D193" s="121"/>
    </row>
    <row r="194" ht="11.25">
      <c r="D194" s="121"/>
    </row>
    <row r="195" ht="11.25">
      <c r="D195" s="121"/>
    </row>
    <row r="196" ht="11.25">
      <c r="D196" s="121"/>
    </row>
    <row r="197" ht="11.25">
      <c r="D197" s="121"/>
    </row>
    <row r="198" ht="11.25">
      <c r="D198" s="121"/>
    </row>
    <row r="199" ht="11.25">
      <c r="D199" s="121"/>
    </row>
    <row r="200" ht="11.25">
      <c r="D200" s="121"/>
    </row>
    <row r="201" ht="11.25">
      <c r="D201" s="121"/>
    </row>
    <row r="202" ht="11.25">
      <c r="D202" s="121"/>
    </row>
    <row r="203" ht="11.25">
      <c r="D203" s="121"/>
    </row>
    <row r="204" ht="11.25">
      <c r="D204" s="121"/>
    </row>
    <row r="205" ht="11.25">
      <c r="D205" s="121"/>
    </row>
    <row r="206" ht="11.25">
      <c r="D206" s="121"/>
    </row>
    <row r="207" ht="11.25">
      <c r="D207" s="121"/>
    </row>
    <row r="208" ht="11.25">
      <c r="D208" s="121"/>
    </row>
    <row r="209" ht="11.25">
      <c r="D209" s="121"/>
    </row>
    <row r="210" ht="11.25">
      <c r="D210" s="121"/>
    </row>
    <row r="211" ht="11.25">
      <c r="D211" s="121"/>
    </row>
    <row r="212" ht="11.25">
      <c r="D212" s="121"/>
    </row>
    <row r="213" ht="11.25">
      <c r="D213" s="121"/>
    </row>
    <row r="214" ht="11.25">
      <c r="D214" s="121"/>
    </row>
    <row r="215" ht="11.25">
      <c r="D215" s="121"/>
    </row>
    <row r="216" ht="11.25">
      <c r="D216" s="121"/>
    </row>
    <row r="217" ht="11.25">
      <c r="D217" s="121"/>
    </row>
    <row r="218" ht="11.25">
      <c r="D218" s="121"/>
    </row>
    <row r="219" ht="11.25">
      <c r="D219" s="121"/>
    </row>
    <row r="220" ht="11.25">
      <c r="D220" s="121"/>
    </row>
    <row r="221" ht="11.25">
      <c r="D221" s="121"/>
    </row>
    <row r="222" ht="11.25">
      <c r="D222" s="121"/>
    </row>
    <row r="223" ht="11.25">
      <c r="D223" s="121"/>
    </row>
    <row r="224" ht="11.25">
      <c r="D224" s="121"/>
    </row>
    <row r="225" ht="11.25">
      <c r="D225" s="121"/>
    </row>
    <row r="226" ht="11.25">
      <c r="D226" s="121"/>
    </row>
    <row r="227" ht="11.25">
      <c r="D227" s="121"/>
    </row>
    <row r="228" ht="11.25">
      <c r="D228" s="121"/>
    </row>
    <row r="229" ht="11.25">
      <c r="D229" s="121"/>
    </row>
    <row r="230" ht="11.25">
      <c r="D230" s="121"/>
    </row>
    <row r="231" ht="11.25">
      <c r="D231" s="121"/>
    </row>
    <row r="232" ht="11.25">
      <c r="D232" s="121"/>
    </row>
    <row r="233" ht="11.25">
      <c r="D233" s="121"/>
    </row>
    <row r="234" ht="11.25">
      <c r="D234" s="121"/>
    </row>
    <row r="235" ht="11.25">
      <c r="D235" s="121"/>
    </row>
    <row r="236" ht="11.25">
      <c r="D236" s="121"/>
    </row>
    <row r="237" ht="11.25">
      <c r="D237" s="121"/>
    </row>
    <row r="238" ht="11.25">
      <c r="D238" s="121"/>
    </row>
    <row r="239" ht="11.25">
      <c r="D239" s="121"/>
    </row>
    <row r="240" ht="11.25">
      <c r="D240" s="121"/>
    </row>
    <row r="241" ht="11.25">
      <c r="D241" s="121"/>
    </row>
    <row r="242" ht="11.25">
      <c r="D242" s="121"/>
    </row>
    <row r="243" ht="11.25">
      <c r="D243" s="121"/>
    </row>
    <row r="244" ht="11.25">
      <c r="D244" s="121"/>
    </row>
    <row r="245" ht="11.25">
      <c r="D245" s="121"/>
    </row>
    <row r="246" ht="11.25">
      <c r="D246" s="121"/>
    </row>
    <row r="247" ht="11.25">
      <c r="D247" s="121"/>
    </row>
    <row r="248" ht="11.25">
      <c r="D248" s="121"/>
    </row>
    <row r="249" ht="11.25">
      <c r="D249" s="121"/>
    </row>
    <row r="250" ht="11.25">
      <c r="D250" s="121"/>
    </row>
    <row r="251" ht="11.25">
      <c r="D251" s="121"/>
    </row>
    <row r="252" ht="11.25">
      <c r="D252" s="121"/>
    </row>
    <row r="253" ht="11.25">
      <c r="D253" s="121"/>
    </row>
    <row r="254" ht="11.25">
      <c r="D254" s="121"/>
    </row>
    <row r="255" ht="11.25">
      <c r="D255" s="121"/>
    </row>
    <row r="256" ht="11.25">
      <c r="D256" s="121"/>
    </row>
    <row r="257" ht="11.25">
      <c r="D257" s="121"/>
    </row>
    <row r="258" ht="11.25">
      <c r="D258" s="121"/>
    </row>
    <row r="259" ht="11.25">
      <c r="D259" s="121"/>
    </row>
    <row r="260" ht="11.25">
      <c r="D260" s="121"/>
    </row>
    <row r="261" ht="11.25">
      <c r="D261" s="121"/>
    </row>
    <row r="262" ht="11.25">
      <c r="D262" s="121"/>
    </row>
    <row r="263" ht="11.25">
      <c r="D263" s="121"/>
    </row>
    <row r="264" ht="11.25">
      <c r="D264" s="121"/>
    </row>
    <row r="265" ht="11.25">
      <c r="D265" s="121"/>
    </row>
    <row r="266" ht="11.25">
      <c r="D266" s="121"/>
    </row>
    <row r="267" ht="11.25">
      <c r="D267" s="121"/>
    </row>
    <row r="268" ht="11.25">
      <c r="D268" s="121"/>
    </row>
    <row r="269" ht="11.25">
      <c r="D269" s="121"/>
    </row>
    <row r="270" ht="11.25">
      <c r="D270" s="121"/>
    </row>
    <row r="271" ht="11.25">
      <c r="D271" s="121"/>
    </row>
    <row r="272" ht="11.25">
      <c r="D272" s="121"/>
    </row>
    <row r="273" ht="11.25">
      <c r="D273" s="121"/>
    </row>
    <row r="274" ht="11.25">
      <c r="D274" s="121"/>
    </row>
    <row r="275" ht="11.25">
      <c r="D275" s="121"/>
    </row>
    <row r="276" ht="11.25">
      <c r="D276" s="121"/>
    </row>
    <row r="277" ht="11.25">
      <c r="D277" s="121"/>
    </row>
    <row r="278" ht="11.25">
      <c r="D278" s="121"/>
    </row>
    <row r="279" ht="11.25">
      <c r="D279" s="121"/>
    </row>
    <row r="280" ht="11.25">
      <c r="D280" s="121"/>
    </row>
    <row r="281" ht="11.25">
      <c r="D281" s="121"/>
    </row>
    <row r="282" ht="11.25">
      <c r="D282" s="121"/>
    </row>
    <row r="283" ht="11.25">
      <c r="D283" s="121"/>
    </row>
    <row r="284" ht="11.25">
      <c r="D284" s="121"/>
    </row>
    <row r="285" ht="11.25">
      <c r="D285" s="121"/>
    </row>
    <row r="286" ht="11.25">
      <c r="D286" s="121"/>
    </row>
    <row r="287" ht="11.25">
      <c r="D287" s="121"/>
    </row>
    <row r="288" ht="11.25">
      <c r="D288" s="121"/>
    </row>
    <row r="289" ht="11.25">
      <c r="D289" s="121"/>
    </row>
    <row r="290" ht="11.25">
      <c r="D290" s="121"/>
    </row>
    <row r="291" ht="11.25">
      <c r="D291" s="121"/>
    </row>
    <row r="292" ht="11.25">
      <c r="D292" s="121"/>
    </row>
  </sheetData>
  <sheetProtection/>
  <printOptions/>
  <pageMargins left="0.25" right="0.25" top="0.75" bottom="0.75" header="0.3" footer="0.3"/>
  <pageSetup fitToHeight="2" fitToWidth="2" horizontalDpi="600" verticalDpi="600" orientation="portrait" pageOrder="overThenDown" scale="82" r:id="rId1"/>
  <headerFooter>
    <oddFooter>&amp;CPage &amp;P of &amp;N</oddFooter>
  </headerFooter>
  <rowBreaks count="1" manualBreakCount="1">
    <brk id="62" max="25" man="1"/>
  </rowBreaks>
  <colBreaks count="2" manualBreakCount="2">
    <brk id="17" max="135" man="1"/>
    <brk id="26" max="65535" man="1"/>
  </colBreaks>
</worksheet>
</file>

<file path=xl/worksheets/sheet3.xml><?xml version="1.0" encoding="utf-8"?>
<worksheet xmlns="http://schemas.openxmlformats.org/spreadsheetml/2006/main" xmlns:r="http://schemas.openxmlformats.org/officeDocument/2006/relationships">
  <sheetPr>
    <tabColor rgb="FF00B0F0"/>
  </sheetPr>
  <dimension ref="A1:CU869"/>
  <sheetViews>
    <sheetView view="pageBreakPreview" zoomScale="85" zoomScaleSheetLayoutView="85" zoomScalePageLayoutView="0" workbookViewId="0" topLeftCell="A1">
      <selection activeCell="L19" sqref="L19:L20"/>
    </sheetView>
  </sheetViews>
  <sheetFormatPr defaultColWidth="9.140625" defaultRowHeight="12.75"/>
  <cols>
    <col min="1" max="1" width="3.8515625" style="0" customWidth="1"/>
  </cols>
  <sheetData>
    <row r="1" spans="1:99" ht="14.25">
      <c r="A1" s="12"/>
      <c r="B1" s="12"/>
      <c r="C1" s="12"/>
      <c r="D1" s="12"/>
      <c r="E1" s="12"/>
      <c r="F1" s="12"/>
      <c r="G1" s="58" t="s">
        <v>9</v>
      </c>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row>
    <row r="2" spans="1:99" ht="13.5">
      <c r="A2" s="12"/>
      <c r="B2" s="12" t="s">
        <v>86</v>
      </c>
      <c r="C2" s="12"/>
      <c r="D2" s="12"/>
      <c r="E2" s="12"/>
      <c r="F2" s="12"/>
      <c r="G2" s="12" t="s">
        <v>114</v>
      </c>
      <c r="H2" s="12"/>
      <c r="I2" s="12"/>
      <c r="J2" s="12"/>
      <c r="K2" s="14"/>
      <c r="L2" s="14"/>
      <c r="M2" s="14"/>
      <c r="N2" s="14"/>
      <c r="O2" s="14"/>
      <c r="P2" s="14"/>
      <c r="Q2" s="14"/>
      <c r="R2" s="14"/>
      <c r="S2" s="14"/>
      <c r="T2" s="14"/>
      <c r="U2" s="14"/>
      <c r="V2" s="14"/>
      <c r="W2" s="14"/>
      <c r="X2" s="14"/>
      <c r="Y2" s="14"/>
      <c r="Z2" s="14"/>
      <c r="AA2" s="14"/>
      <c r="AB2" s="14"/>
      <c r="AC2" s="14"/>
      <c r="AD2" s="14"/>
      <c r="AE2" s="15" t="s">
        <v>115</v>
      </c>
      <c r="AF2" s="15" t="s">
        <v>116</v>
      </c>
      <c r="AG2" s="14"/>
      <c r="AH2" s="14"/>
      <c r="AI2" s="14" t="s">
        <v>117</v>
      </c>
      <c r="AJ2" s="14"/>
      <c r="AK2" s="14"/>
      <c r="AL2" s="14"/>
      <c r="AM2" s="14"/>
      <c r="AN2" s="14"/>
      <c r="AO2" s="14"/>
      <c r="AP2" s="14"/>
      <c r="AQ2" s="14"/>
      <c r="AR2" s="14"/>
      <c r="AS2" s="12"/>
      <c r="AT2" s="12"/>
      <c r="AU2" s="12"/>
      <c r="AV2" s="12"/>
      <c r="AW2" s="12"/>
      <c r="AX2" s="12"/>
      <c r="AY2" s="12"/>
      <c r="AZ2" s="12"/>
      <c r="BA2" s="12"/>
      <c r="BB2" s="12"/>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row>
    <row r="3" spans="1:99" ht="14.25">
      <c r="A3" s="12"/>
      <c r="B3" s="16" t="s">
        <v>118</v>
      </c>
      <c r="C3" s="12"/>
      <c r="D3" s="12"/>
      <c r="E3" s="12"/>
      <c r="F3" s="12"/>
      <c r="G3" s="12"/>
      <c r="H3" s="12"/>
      <c r="I3" s="12"/>
      <c r="J3" s="12"/>
      <c r="K3" s="14"/>
      <c r="L3" s="14"/>
      <c r="M3" s="14"/>
      <c r="N3" s="14"/>
      <c r="O3" s="14"/>
      <c r="P3" s="14"/>
      <c r="Q3" s="14"/>
      <c r="R3" s="14"/>
      <c r="S3" s="14"/>
      <c r="T3" s="14"/>
      <c r="U3" s="14"/>
      <c r="V3" s="14"/>
      <c r="W3" s="14"/>
      <c r="X3" s="14"/>
      <c r="Y3" s="14"/>
      <c r="Z3" s="14"/>
      <c r="AA3" s="14"/>
      <c r="AB3" s="14"/>
      <c r="AC3" s="14"/>
      <c r="AD3" s="14"/>
      <c r="AE3" s="15"/>
      <c r="AF3" s="15"/>
      <c r="AG3" s="14"/>
      <c r="AH3" s="14"/>
      <c r="AI3" s="14"/>
      <c r="AJ3" s="14"/>
      <c r="AK3" s="14"/>
      <c r="AL3" s="14"/>
      <c r="AM3" s="14"/>
      <c r="AN3" s="14"/>
      <c r="AO3" s="14"/>
      <c r="AP3" s="14"/>
      <c r="AQ3" s="14"/>
      <c r="AR3" s="14"/>
      <c r="AS3" s="12"/>
      <c r="AT3" s="12"/>
      <c r="AU3" s="12"/>
      <c r="AV3" s="12"/>
      <c r="AW3" s="12"/>
      <c r="AX3" s="12"/>
      <c r="AY3" s="12"/>
      <c r="AZ3" s="12"/>
      <c r="BA3" s="12"/>
      <c r="BB3" s="12"/>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row>
    <row r="4" spans="1:99" ht="13.5">
      <c r="A4" s="12"/>
      <c r="B4" s="17"/>
      <c r="C4" s="14"/>
      <c r="D4" s="14"/>
      <c r="E4" s="18"/>
      <c r="F4" s="14"/>
      <c r="G4" s="14"/>
      <c r="H4" s="14"/>
      <c r="I4" s="14"/>
      <c r="J4" s="14"/>
      <c r="K4" s="14"/>
      <c r="L4" s="14"/>
      <c r="M4" s="14"/>
      <c r="N4" s="14" t="s">
        <v>119</v>
      </c>
      <c r="O4" s="14"/>
      <c r="P4" s="14"/>
      <c r="Q4" s="14"/>
      <c r="R4" s="14"/>
      <c r="S4" s="14"/>
      <c r="T4" s="14"/>
      <c r="U4" s="15" t="s">
        <v>120</v>
      </c>
      <c r="V4" s="15" t="s">
        <v>121</v>
      </c>
      <c r="W4" s="15" t="s">
        <v>122</v>
      </c>
      <c r="X4" s="15" t="s">
        <v>123</v>
      </c>
      <c r="Y4" s="15" t="s">
        <v>124</v>
      </c>
      <c r="Z4" s="14"/>
      <c r="AA4" s="15" t="s">
        <v>125</v>
      </c>
      <c r="AB4" s="14" t="s">
        <v>126</v>
      </c>
      <c r="AC4" s="15" t="s">
        <v>127</v>
      </c>
      <c r="AD4" s="15" t="s">
        <v>128</v>
      </c>
      <c r="AE4" s="15" t="s">
        <v>129</v>
      </c>
      <c r="AF4" s="14"/>
      <c r="AG4" s="14"/>
      <c r="AH4" s="14"/>
      <c r="AI4" s="14" t="s">
        <v>130</v>
      </c>
      <c r="AJ4" s="14"/>
      <c r="AK4" s="14"/>
      <c r="AL4" s="14"/>
      <c r="AM4" s="14"/>
      <c r="AN4" s="14"/>
      <c r="AO4" s="14"/>
      <c r="AP4" s="14"/>
      <c r="AQ4" s="14"/>
      <c r="AR4" s="14"/>
      <c r="AS4" s="12"/>
      <c r="AT4" s="12"/>
      <c r="AU4" s="12"/>
      <c r="AV4" s="12"/>
      <c r="AW4" s="12"/>
      <c r="AX4" s="12"/>
      <c r="AY4" s="12"/>
      <c r="AZ4" s="12"/>
      <c r="BA4" s="12"/>
      <c r="BB4" s="12"/>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row>
    <row r="5" spans="1:99" ht="13.5">
      <c r="A5" s="12"/>
      <c r="B5" s="19" t="s">
        <v>131</v>
      </c>
      <c r="C5" s="19" t="s">
        <v>132</v>
      </c>
      <c r="D5" s="14"/>
      <c r="E5" s="18">
        <f>E7+E6</f>
        <v>628470.5162581451</v>
      </c>
      <c r="F5" s="19" t="s">
        <v>133</v>
      </c>
      <c r="G5" s="14"/>
      <c r="H5" s="14"/>
      <c r="I5" s="14"/>
      <c r="J5" s="19"/>
      <c r="K5" s="14"/>
      <c r="L5" s="20"/>
      <c r="M5" s="14"/>
      <c r="N5" s="19" t="s">
        <v>134</v>
      </c>
      <c r="O5" s="14"/>
      <c r="P5" s="14"/>
      <c r="Q5" s="19" t="s">
        <v>135</v>
      </c>
      <c r="R5" s="14"/>
      <c r="S5" s="14"/>
      <c r="T5" s="14"/>
      <c r="U5" s="21">
        <f>$E$8*1.25</f>
        <v>631469.1742728935</v>
      </c>
      <c r="V5" s="22">
        <f>100*(+U5/$E$9)</f>
        <v>81.65796049099242</v>
      </c>
      <c r="W5" s="23">
        <f>EXP(5.7226-(0.68367*LN(+V5)))</f>
        <v>15.070149756164671</v>
      </c>
      <c r="X5" s="23">
        <f>(+W5*V5)/100</f>
        <v>12.305976933822338</v>
      </c>
      <c r="Y5" s="22">
        <f>100*((((X5/100)-((X5/100)-0.03574)*$E$21)-0.03574-0.00619)/0.344)</f>
        <v>14.953792954426579</v>
      </c>
      <c r="Z5" s="14">
        <f>$E$20</f>
        <v>0.25</v>
      </c>
      <c r="AA5" s="22">
        <f>Y5+Z5</f>
        <v>15.203792954426579</v>
      </c>
      <c r="AB5" s="22">
        <f>100*($E$17*$E$19+($E$18*(AA5/100))/(1-$E$21))</f>
        <v>16.081629958569618</v>
      </c>
      <c r="AC5" s="23">
        <f>AB5/V5</f>
        <v>0.1969389127756082</v>
      </c>
      <c r="AD5" s="21">
        <f>$E$8/(1-AC5)</f>
        <v>629062.1566092125</v>
      </c>
      <c r="AE5" s="14" t="str">
        <f>IF(AD5=$U$5,"yes","not yet")</f>
        <v>not yet</v>
      </c>
      <c r="AF5" s="22">
        <f>100*(1-AC5)</f>
        <v>80.30610872243918</v>
      </c>
      <c r="AG5" s="14"/>
      <c r="AH5" s="14"/>
      <c r="AI5" s="14">
        <v>0</v>
      </c>
      <c r="AJ5" s="14">
        <v>1</v>
      </c>
      <c r="AK5" s="14"/>
      <c r="AL5" s="14"/>
      <c r="AM5" s="14"/>
      <c r="AN5" s="14"/>
      <c r="AO5" s="14"/>
      <c r="AP5" s="14"/>
      <c r="AQ5" s="14"/>
      <c r="AR5" s="14"/>
      <c r="AS5" s="12"/>
      <c r="AT5" s="12"/>
      <c r="AU5" s="12"/>
      <c r="AV5" s="12"/>
      <c r="AW5" s="12"/>
      <c r="AX5" s="12"/>
      <c r="AY5" s="12"/>
      <c r="AZ5" s="12"/>
      <c r="BA5" s="12"/>
      <c r="BB5" s="12"/>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row>
    <row r="6" spans="1:99" ht="13.5">
      <c r="A6" s="12"/>
      <c r="B6" s="19" t="s">
        <v>131</v>
      </c>
      <c r="C6" s="19" t="s">
        <v>136</v>
      </c>
      <c r="D6" s="14"/>
      <c r="E6" s="18">
        <f>(+E8-((H15/100)*E7))/H25</f>
        <v>44114.96935814498</v>
      </c>
      <c r="F6" s="24" t="s">
        <v>133</v>
      </c>
      <c r="G6" s="14"/>
      <c r="H6" s="36">
        <f>E6/E7</f>
        <v>0.07549336973384513</v>
      </c>
      <c r="I6" s="25"/>
      <c r="J6" s="26"/>
      <c r="K6" s="14"/>
      <c r="L6" s="20"/>
      <c r="M6" s="14"/>
      <c r="N6" s="19" t="s">
        <v>137</v>
      </c>
      <c r="O6" s="14"/>
      <c r="P6" s="14"/>
      <c r="Q6" s="19" t="s">
        <v>138</v>
      </c>
      <c r="R6" s="14"/>
      <c r="S6" s="14"/>
      <c r="T6" s="14"/>
      <c r="U6" s="21">
        <f>$E$8*1.25</f>
        <v>631469.1742728935</v>
      </c>
      <c r="V6" s="22">
        <f>100*(+U6/$E$9)</f>
        <v>81.65796049099242</v>
      </c>
      <c r="W6" s="23">
        <f>EXP(5.70827-(0.68367*LN(+V6)))</f>
        <v>14.855734464870412</v>
      </c>
      <c r="X6" s="23">
        <f>(+W6*V6)/100</f>
        <v>12.130889779970625</v>
      </c>
      <c r="Y6" s="22">
        <f>100*((((X6/100)-((X6/100)-0.03574)*$E$21)-0.03574-0.00619)/0.344)</f>
        <v>14.617869926687824</v>
      </c>
      <c r="Z6" s="14">
        <f>$E$20</f>
        <v>0.25</v>
      </c>
      <c r="AA6" s="22">
        <f>Y6+Z6</f>
        <v>14.867869926687824</v>
      </c>
      <c r="AB6" s="22">
        <f>100*($E$17*$E$19+($E$18*(AA6/100))/(1-$E$21))</f>
        <v>15.776245387898022</v>
      </c>
      <c r="AC6" s="23">
        <f>AB6/V6</f>
        <v>0.19319911118326644</v>
      </c>
      <c r="AD6" s="21">
        <f>$E$8/(1-AC6)</f>
        <v>626146.2356086551</v>
      </c>
      <c r="AE6" s="14" t="str">
        <f>IF(AD6=$U$6,"yes","not yet")</f>
        <v>not yet</v>
      </c>
      <c r="AF6" s="22">
        <f>100*(1-AC6)</f>
        <v>80.68008888167336</v>
      </c>
      <c r="AG6" s="14"/>
      <c r="AH6" s="14"/>
      <c r="AI6" s="14">
        <v>50</v>
      </c>
      <c r="AJ6" s="14">
        <v>2</v>
      </c>
      <c r="AK6" s="14"/>
      <c r="AL6" s="14"/>
      <c r="AM6" s="14"/>
      <c r="AN6" s="14"/>
      <c r="AO6" s="14"/>
      <c r="AP6" s="14"/>
      <c r="AQ6" s="14"/>
      <c r="AR6" s="14"/>
      <c r="AS6" s="12"/>
      <c r="AT6" s="12"/>
      <c r="AU6" s="12"/>
      <c r="AV6" s="12"/>
      <c r="AW6" s="12"/>
      <c r="AX6" s="12"/>
      <c r="AY6" s="12"/>
      <c r="AZ6" s="12"/>
      <c r="BA6" s="12"/>
      <c r="BB6" s="12"/>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row>
    <row r="7" spans="1:99" ht="13.5">
      <c r="A7" s="12"/>
      <c r="B7" s="27" t="s">
        <v>139</v>
      </c>
      <c r="C7" s="19" t="s">
        <v>106</v>
      </c>
      <c r="D7" s="27" t="s">
        <v>140</v>
      </c>
      <c r="E7" s="18">
        <f>'Pro forma Lewis County'!M23</f>
        <v>584355.5469000001</v>
      </c>
      <c r="F7" s="19" t="s">
        <v>141</v>
      </c>
      <c r="G7" s="14"/>
      <c r="H7" s="14">
        <f>E7/E8</f>
        <v>1.1567380695440468</v>
      </c>
      <c r="I7" s="14"/>
      <c r="J7" s="19"/>
      <c r="K7" s="14"/>
      <c r="L7" s="20"/>
      <c r="M7" s="14"/>
      <c r="N7" s="19" t="s">
        <v>142</v>
      </c>
      <c r="O7" s="14"/>
      <c r="P7" s="14"/>
      <c r="Q7" s="19" t="s">
        <v>143</v>
      </c>
      <c r="R7" s="14"/>
      <c r="S7" s="14"/>
      <c r="T7" s="14"/>
      <c r="U7" s="21">
        <f>$E$8*1.25</f>
        <v>631469.1742728935</v>
      </c>
      <c r="V7" s="22">
        <f>100*(+U7/$E$9)</f>
        <v>81.65796049099242</v>
      </c>
      <c r="W7" s="23">
        <f>EXP(5.6985-(0.68367*LN(V7)))</f>
        <v>14.711300647231536</v>
      </c>
      <c r="X7" s="23">
        <f>(+W7*V7)/100</f>
        <v>12.01294807022744</v>
      </c>
      <c r="Y7" s="22">
        <f>100*((((X7/100)-((X7/100)-0.03574)*$E$21)-0.03574-0.00619)/0.344)</f>
        <v>14.39158641380846</v>
      </c>
      <c r="Z7" s="14">
        <f>$E$20</f>
        <v>0.25</v>
      </c>
      <c r="AA7" s="22">
        <f>Y7+Z7</f>
        <v>14.64158641380846</v>
      </c>
      <c r="AB7" s="22">
        <f>100*($E$17*$E$19+($E$18*(AA7/100))/(1-$E$21))</f>
        <v>15.570533103462239</v>
      </c>
      <c r="AC7" s="23">
        <f>AB7/V7</f>
        <v>0.19067991668956516</v>
      </c>
      <c r="AD7" s="21">
        <f>$E$8/(1-AC7)</f>
        <v>624197.2117532913</v>
      </c>
      <c r="AE7" s="14" t="str">
        <f>IF(AD7=$U$7,"yes","not yet")</f>
        <v>not yet</v>
      </c>
      <c r="AF7" s="22">
        <f>100*(1-AC7)</f>
        <v>80.93200833104348</v>
      </c>
      <c r="AG7" s="14"/>
      <c r="AH7" s="14"/>
      <c r="AI7" s="14">
        <v>125</v>
      </c>
      <c r="AJ7" s="14">
        <v>3</v>
      </c>
      <c r="AK7" s="14"/>
      <c r="AL7" s="14"/>
      <c r="AM7" s="14"/>
      <c r="AN7" s="14"/>
      <c r="AO7" s="14"/>
      <c r="AP7" s="14"/>
      <c r="AQ7" s="14"/>
      <c r="AR7" s="14"/>
      <c r="AS7" s="12"/>
      <c r="AT7" s="12"/>
      <c r="AU7" s="12"/>
      <c r="AV7" s="12"/>
      <c r="AW7" s="12"/>
      <c r="AX7" s="12"/>
      <c r="AY7" s="12"/>
      <c r="AZ7" s="12"/>
      <c r="BA7" s="12"/>
      <c r="BB7" s="12"/>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row>
    <row r="8" spans="1:99" ht="13.5">
      <c r="A8" s="12"/>
      <c r="B8" s="27" t="s">
        <v>139</v>
      </c>
      <c r="C8" s="19" t="s">
        <v>144</v>
      </c>
      <c r="D8" s="27" t="s">
        <v>140</v>
      </c>
      <c r="E8" s="18">
        <f>'Pro forma Lewis County'!M79</f>
        <v>505175.3394183148</v>
      </c>
      <c r="F8" s="19" t="s">
        <v>141</v>
      </c>
      <c r="G8" s="14"/>
      <c r="H8" s="14"/>
      <c r="I8" s="14"/>
      <c r="J8" s="18"/>
      <c r="K8" s="14"/>
      <c r="L8" s="20"/>
      <c r="M8" s="14"/>
      <c r="N8" s="19" t="s">
        <v>145</v>
      </c>
      <c r="O8" s="14"/>
      <c r="P8" s="14"/>
      <c r="Q8" s="19" t="s">
        <v>146</v>
      </c>
      <c r="R8" s="14"/>
      <c r="S8" s="14"/>
      <c r="T8" s="14"/>
      <c r="U8" s="21">
        <f>$E$8*1.25</f>
        <v>631469.1742728935</v>
      </c>
      <c r="V8" s="22">
        <f>100*(+U8/$E$9)</f>
        <v>81.65796049099242</v>
      </c>
      <c r="W8" s="23">
        <f>EXP(5.6922-(0.68367*LN(V8)))</f>
        <v>14.618910786793611</v>
      </c>
      <c r="X8" s="23">
        <f>(+W8*V8)/100</f>
        <v>11.937504394493358</v>
      </c>
      <c r="Y8" s="22">
        <f>100*((((X8/100)-((X8/100)-0.03574)*$E$21)-0.03574-0.00619)/0.344)</f>
        <v>14.246839826644234</v>
      </c>
      <c r="Z8" s="14">
        <f>$E$20</f>
        <v>0.25</v>
      </c>
      <c r="AA8" s="22">
        <f>Y8+Z8</f>
        <v>14.496839826644234</v>
      </c>
      <c r="AB8" s="22">
        <f>100*($E$17*$E$19+($E$18*(AA8/100))/(1-$E$21))</f>
        <v>15.438945296949305</v>
      </c>
      <c r="AC8" s="23">
        <f>AB8/V8</f>
        <v>0.18906846563541535</v>
      </c>
      <c r="AD8" s="21">
        <f>$E$8/(1-AC8)</f>
        <v>622956.8317554097</v>
      </c>
      <c r="AE8" s="14" t="str">
        <f>IF(AD8=$U$8,"yes","not yet")</f>
        <v>not yet</v>
      </c>
      <c r="AF8" s="22">
        <f>100*(1-AC8)</f>
        <v>81.09315343645846</v>
      </c>
      <c r="AG8" s="14"/>
      <c r="AH8" s="14"/>
      <c r="AI8" s="14">
        <v>401</v>
      </c>
      <c r="AJ8" s="14">
        <v>4</v>
      </c>
      <c r="AK8" s="14"/>
      <c r="AL8" s="14"/>
      <c r="AM8" s="14"/>
      <c r="AN8" s="14"/>
      <c r="AO8" s="14"/>
      <c r="AP8" s="14"/>
      <c r="AQ8" s="14"/>
      <c r="AR8" s="14"/>
      <c r="AS8" s="12"/>
      <c r="AT8" s="12"/>
      <c r="AU8" s="12"/>
      <c r="AV8" s="12"/>
      <c r="AW8" s="12"/>
      <c r="AX8" s="12"/>
      <c r="AY8" s="12"/>
      <c r="AZ8" s="12"/>
      <c r="BA8" s="12"/>
      <c r="BB8" s="12"/>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row>
    <row r="9" spans="1:99" ht="13.5">
      <c r="A9" s="12"/>
      <c r="B9" s="27" t="s">
        <v>139</v>
      </c>
      <c r="C9" s="19" t="s">
        <v>147</v>
      </c>
      <c r="D9" s="14"/>
      <c r="E9" s="18">
        <f>'Pro forma Lewis County'!M96</f>
        <v>773310</v>
      </c>
      <c r="F9" s="19" t="s">
        <v>141</v>
      </c>
      <c r="G9" s="14"/>
      <c r="H9" s="14"/>
      <c r="I9" s="14"/>
      <c r="J9" s="19"/>
      <c r="K9" s="14"/>
      <c r="L9" s="20"/>
      <c r="M9" s="14"/>
      <c r="N9" s="14"/>
      <c r="O9" s="14"/>
      <c r="P9" s="14"/>
      <c r="Q9" s="14"/>
      <c r="R9" s="14"/>
      <c r="S9" s="14"/>
      <c r="T9" s="14"/>
      <c r="U9" s="14"/>
      <c r="V9" s="14"/>
      <c r="W9" s="14"/>
      <c r="X9" s="14"/>
      <c r="Y9" s="14"/>
      <c r="Z9" s="14"/>
      <c r="AA9" s="22"/>
      <c r="AB9" s="14"/>
      <c r="AC9" s="14"/>
      <c r="AD9" s="14"/>
      <c r="AE9" s="14"/>
      <c r="AF9" s="14"/>
      <c r="AG9" s="14"/>
      <c r="AH9" s="14"/>
      <c r="AI9" s="14"/>
      <c r="AJ9" s="14"/>
      <c r="AK9" s="14"/>
      <c r="AL9" s="14"/>
      <c r="AM9" s="14"/>
      <c r="AN9" s="14"/>
      <c r="AO9" s="14"/>
      <c r="AP9" s="14"/>
      <c r="AQ9" s="14"/>
      <c r="AR9" s="14"/>
      <c r="AS9" s="12"/>
      <c r="AT9" s="12"/>
      <c r="AU9" s="12"/>
      <c r="AV9" s="12"/>
      <c r="AW9" s="12"/>
      <c r="AX9" s="12"/>
      <c r="AY9" s="12"/>
      <c r="AZ9" s="12"/>
      <c r="BA9" s="12"/>
      <c r="BB9" s="12"/>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row>
    <row r="10" spans="1:99" ht="13.5">
      <c r="A10" s="12"/>
      <c r="B10" s="17"/>
      <c r="C10" s="19" t="s">
        <v>148</v>
      </c>
      <c r="D10" s="14"/>
      <c r="E10" s="22">
        <f>V5</f>
        <v>81.65796049099242</v>
      </c>
      <c r="F10" s="19" t="s">
        <v>149</v>
      </c>
      <c r="G10" s="14"/>
      <c r="H10" s="22"/>
      <c r="I10" s="22"/>
      <c r="J10" s="17"/>
      <c r="K10" s="14"/>
      <c r="L10" s="14"/>
      <c r="M10" s="14"/>
      <c r="N10" s="14"/>
      <c r="O10" s="14"/>
      <c r="P10" s="14"/>
      <c r="Q10" s="14"/>
      <c r="R10" s="14"/>
      <c r="S10" s="14"/>
      <c r="T10" s="14"/>
      <c r="U10" s="14"/>
      <c r="V10" s="28" t="s">
        <v>150</v>
      </c>
      <c r="W10" s="28" t="s">
        <v>122</v>
      </c>
      <c r="X10" s="28" t="s">
        <v>123</v>
      </c>
      <c r="Y10" s="28" t="s">
        <v>124</v>
      </c>
      <c r="Z10" s="14"/>
      <c r="AA10" s="22"/>
      <c r="AB10" s="14"/>
      <c r="AC10" s="14"/>
      <c r="AD10" s="14"/>
      <c r="AE10" s="14"/>
      <c r="AF10" s="14"/>
      <c r="AG10" s="14"/>
      <c r="AH10" s="14"/>
      <c r="AI10" s="14" t="s">
        <v>151</v>
      </c>
      <c r="AJ10" s="14"/>
      <c r="AK10" s="14"/>
      <c r="AL10" s="14"/>
      <c r="AM10" s="14"/>
      <c r="AN10" s="14"/>
      <c r="AO10" s="14"/>
      <c r="AP10" s="14"/>
      <c r="AQ10" s="14"/>
      <c r="AR10" s="14"/>
      <c r="AS10" s="12"/>
      <c r="AT10" s="12"/>
      <c r="AU10" s="12"/>
      <c r="AV10" s="12"/>
      <c r="AW10" s="12"/>
      <c r="AX10" s="12"/>
      <c r="AY10" s="12"/>
      <c r="AZ10" s="12"/>
      <c r="BA10" s="12"/>
      <c r="BB10" s="12"/>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row>
    <row r="11" spans="1:99" ht="13.5">
      <c r="A11" s="12"/>
      <c r="B11" s="17"/>
      <c r="C11" s="19" t="s">
        <v>152</v>
      </c>
      <c r="D11" s="14"/>
      <c r="E11" s="22">
        <f>HLOOKUP($AJ$34,$AJ$28:$AR$32,($E$12)+1)</f>
        <v>81.05287659541452</v>
      </c>
      <c r="F11" s="19" t="s">
        <v>149</v>
      </c>
      <c r="G11" s="14"/>
      <c r="H11" s="14"/>
      <c r="I11" s="14"/>
      <c r="J11" s="17"/>
      <c r="K11" s="14"/>
      <c r="L11" s="14"/>
      <c r="M11" s="14"/>
      <c r="N11" s="14"/>
      <c r="O11" s="14"/>
      <c r="P11" s="14"/>
      <c r="Q11" s="14"/>
      <c r="R11" s="14"/>
      <c r="S11" s="14"/>
      <c r="T11" s="14"/>
      <c r="U11" s="14"/>
      <c r="V11" s="22">
        <f>100*(+AD5/$E$9)</f>
        <v>81.34669881537967</v>
      </c>
      <c r="W11" s="29">
        <f>EXP(5.7226-(0.68367*LN(+V11)))</f>
        <v>15.10954895009457</v>
      </c>
      <c r="X11" s="23">
        <f>(+W11*V11)/100</f>
        <v>12.291119276795792</v>
      </c>
      <c r="Y11" s="22">
        <f>100*((((X11/100)-((X11/100)-0.03574)*$E$21)-0.03574-0.00619)/0.344)</f>
        <v>14.925286984550064</v>
      </c>
      <c r="Z11" s="14">
        <f>$E$20</f>
        <v>0.25</v>
      </c>
      <c r="AA11" s="22">
        <f>Y11+Z11</f>
        <v>15.175286984550064</v>
      </c>
      <c r="AB11" s="22">
        <f>100*($E$17*$E$19+($E$18*(AA11/100))/(1-$E$21))</f>
        <v>16.055715440500062</v>
      </c>
      <c r="AC11" s="23">
        <f>AB11/V11</f>
        <v>0.19737390298946608</v>
      </c>
      <c r="AD11" s="21">
        <f>$E$8/(1-AC11)</f>
        <v>629403.0823317283</v>
      </c>
      <c r="AE11" s="14" t="str">
        <f>IF(AD11=AD5,"yes","not yet")</f>
        <v>not yet</v>
      </c>
      <c r="AF11" s="22">
        <f>100*(1-AC11)</f>
        <v>80.26260970105339</v>
      </c>
      <c r="AG11" s="14"/>
      <c r="AH11" s="14"/>
      <c r="AI11" s="14"/>
      <c r="AJ11" s="14"/>
      <c r="AK11" s="14"/>
      <c r="AL11" s="14"/>
      <c r="AM11" s="14"/>
      <c r="AN11" s="14"/>
      <c r="AO11" s="14"/>
      <c r="AP11" s="14"/>
      <c r="AQ11" s="14"/>
      <c r="AR11" s="14"/>
      <c r="AS11" s="12"/>
      <c r="AT11" s="12"/>
      <c r="AU11" s="12"/>
      <c r="AV11" s="12"/>
      <c r="AW11" s="12"/>
      <c r="AX11" s="12"/>
      <c r="AY11" s="12"/>
      <c r="AZ11" s="12"/>
      <c r="BA11" s="12"/>
      <c r="BB11" s="12"/>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row>
    <row r="12" spans="1:99" ht="13.5">
      <c r="A12" s="12"/>
      <c r="B12" s="17"/>
      <c r="C12" s="19" t="s">
        <v>153</v>
      </c>
      <c r="D12" s="14"/>
      <c r="E12" s="14">
        <f>VLOOKUP(E10,AI5:AJ8,2)</f>
        <v>2</v>
      </c>
      <c r="F12" s="19" t="s">
        <v>149</v>
      </c>
      <c r="G12" s="14"/>
      <c r="H12" s="14"/>
      <c r="I12" s="14"/>
      <c r="J12" s="17"/>
      <c r="K12" s="14"/>
      <c r="L12" s="14"/>
      <c r="M12" s="14"/>
      <c r="N12" s="14"/>
      <c r="O12" s="14"/>
      <c r="P12" s="14"/>
      <c r="Q12" s="14"/>
      <c r="R12" s="14"/>
      <c r="S12" s="14"/>
      <c r="T12" s="14"/>
      <c r="U12" s="14"/>
      <c r="V12" s="22">
        <f>100*(+AD6/$E$9)</f>
        <v>80.96962868819169</v>
      </c>
      <c r="W12" s="29">
        <f>EXP(5.70827-(0.68367*LN(+V12)))</f>
        <v>14.941959657590882</v>
      </c>
      <c r="X12" s="23">
        <f>(+W12*V12)/100</f>
        <v>12.098449253490735</v>
      </c>
      <c r="Y12" s="22">
        <f>100*((((X12/100)-((X12/100)-0.03574)*$E$21)-0.03574-0.00619)/0.344)</f>
        <v>14.555629381697338</v>
      </c>
      <c r="Z12" s="14">
        <f>$E$20</f>
        <v>0.25</v>
      </c>
      <c r="AA12" s="22">
        <f>Y12+Z12</f>
        <v>14.805629381697338</v>
      </c>
      <c r="AB12" s="22">
        <f>100*($E$17*$E$19+($E$18*(AA12/100))/(1-$E$21))</f>
        <v>15.71966307427031</v>
      </c>
      <c r="AC12" s="23">
        <f>AB12/V12</f>
        <v>0.19414270917315948</v>
      </c>
      <c r="AD12" s="21">
        <f>$E$8/(1-AC12)</f>
        <v>626879.4055334358</v>
      </c>
      <c r="AE12" s="14" t="str">
        <f>IF(AD12=AD6,"yes","not yet")</f>
        <v>not yet</v>
      </c>
      <c r="AF12" s="22">
        <f>100*(1-AC12)</f>
        <v>80.58572908268405</v>
      </c>
      <c r="AG12" s="14"/>
      <c r="AH12" s="14"/>
      <c r="AI12" s="14"/>
      <c r="AJ12" s="14"/>
      <c r="AK12" s="14"/>
      <c r="AL12" s="14"/>
      <c r="AM12" s="14"/>
      <c r="AN12" s="14"/>
      <c r="AO12" s="14"/>
      <c r="AP12" s="14"/>
      <c r="AQ12" s="14"/>
      <c r="AR12" s="14"/>
      <c r="AS12" s="12"/>
      <c r="AT12" s="12"/>
      <c r="AU12" s="12"/>
      <c r="AV12" s="12"/>
      <c r="AW12" s="12"/>
      <c r="AX12" s="12"/>
      <c r="AY12" s="12"/>
      <c r="AZ12" s="12"/>
      <c r="BA12" s="12"/>
      <c r="BB12" s="12"/>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row>
    <row r="13" spans="1:99" ht="13.5">
      <c r="A13" s="12"/>
      <c r="B13" s="17"/>
      <c r="C13" s="14"/>
      <c r="D13" s="14"/>
      <c r="E13" s="14"/>
      <c r="F13" s="14"/>
      <c r="G13" s="14"/>
      <c r="H13" s="14"/>
      <c r="I13" s="14"/>
      <c r="J13" s="17"/>
      <c r="K13" s="14"/>
      <c r="L13" s="14"/>
      <c r="M13" s="14"/>
      <c r="N13" s="14"/>
      <c r="O13" s="14"/>
      <c r="P13" s="14"/>
      <c r="Q13" s="14"/>
      <c r="R13" s="14"/>
      <c r="S13" s="14"/>
      <c r="T13" s="14"/>
      <c r="U13" s="14"/>
      <c r="V13" s="22">
        <f>100*(+AD7/$E$9)</f>
        <v>80.71759213682628</v>
      </c>
      <c r="W13" s="29">
        <f>EXP(5.6985-(0.68367*LN(V13)))</f>
        <v>14.82825879621248</v>
      </c>
      <c r="X13" s="23">
        <f>(+W13*V13)/100</f>
        <v>11.969013456119859</v>
      </c>
      <c r="Y13" s="22">
        <f>100*((((X13/100)-((X13/100)-0.03574)*$E$21)-0.03574-0.00619)/0.344)</f>
        <v>14.30729325883461</v>
      </c>
      <c r="Z13" s="14">
        <f>$E$20</f>
        <v>0.25</v>
      </c>
      <c r="AA13" s="22">
        <f>Y13+Z13</f>
        <v>14.55729325883461</v>
      </c>
      <c r="AB13" s="22">
        <f>100*($E$17*$E$19+($E$18*(AA13/100))/(1-$E$21))</f>
        <v>15.493902962576922</v>
      </c>
      <c r="AC13" s="23">
        <f>AB13/V13</f>
        <v>0.1919519964905896</v>
      </c>
      <c r="AD13" s="21">
        <f>$E$8/(1-AC13)</f>
        <v>625179.8621174758</v>
      </c>
      <c r="AE13" s="14" t="str">
        <f>IF(AD13=AD7,"yes","not yet")</f>
        <v>not yet</v>
      </c>
      <c r="AF13" s="22">
        <f>100*(1-AC13)</f>
        <v>80.80480035094104</v>
      </c>
      <c r="AG13" s="14"/>
      <c r="AH13" s="14"/>
      <c r="AI13" s="14"/>
      <c r="AJ13" s="14">
        <v>1</v>
      </c>
      <c r="AK13" s="14">
        <v>2</v>
      </c>
      <c r="AL13" s="14">
        <v>3</v>
      </c>
      <c r="AM13" s="14">
        <v>4</v>
      </c>
      <c r="AN13" s="14">
        <v>5</v>
      </c>
      <c r="AO13" s="14">
        <v>6</v>
      </c>
      <c r="AP13" s="14">
        <v>7</v>
      </c>
      <c r="AQ13" s="14">
        <v>8</v>
      </c>
      <c r="AR13" s="14">
        <v>9</v>
      </c>
      <c r="AS13" s="12"/>
      <c r="AT13" s="12"/>
      <c r="AU13" s="12"/>
      <c r="AV13" s="12"/>
      <c r="AW13" s="12"/>
      <c r="AX13" s="12"/>
      <c r="AY13" s="12"/>
      <c r="AZ13" s="12"/>
      <c r="BA13" s="12"/>
      <c r="BB13" s="12"/>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row>
    <row r="14" spans="1:99" ht="13.5">
      <c r="A14" s="12"/>
      <c r="B14" s="17"/>
      <c r="C14" s="19" t="s">
        <v>154</v>
      </c>
      <c r="D14" s="14"/>
      <c r="E14" s="14"/>
      <c r="F14" s="14"/>
      <c r="G14" s="14"/>
      <c r="H14" s="14"/>
      <c r="I14" s="14"/>
      <c r="J14" s="17"/>
      <c r="K14" s="14"/>
      <c r="L14" s="14"/>
      <c r="M14" s="14"/>
      <c r="N14" s="14"/>
      <c r="O14" s="14"/>
      <c r="P14" s="14"/>
      <c r="Q14" s="14"/>
      <c r="R14" s="14"/>
      <c r="S14" s="14"/>
      <c r="T14" s="14"/>
      <c r="U14" s="14"/>
      <c r="V14" s="22">
        <f>100*(+AD8/$E$9)</f>
        <v>80.55719333196386</v>
      </c>
      <c r="W14" s="29">
        <f>EXP(5.6922-(0.68367*LN(V14)))</f>
        <v>14.755186556798396</v>
      </c>
      <c r="X14" s="23">
        <f>(+W14*V14)/100</f>
        <v>11.886364161052024</v>
      </c>
      <c r="Y14" s="22">
        <f>100*((((X14/100)-((X14/100)-0.03574)*$E$21)-0.03574-0.00619)/0.344)</f>
        <v>14.14872193690214</v>
      </c>
      <c r="Z14" s="14">
        <f>$E$20</f>
        <v>0.25</v>
      </c>
      <c r="AA14" s="22">
        <f>Y14+Z14</f>
        <v>14.39872193690214</v>
      </c>
      <c r="AB14" s="22">
        <f>100*($E$17*$E$19+($E$18*(AA14/100))/(1-$E$21))</f>
        <v>15.349747215365584</v>
      </c>
      <c r="AC14" s="23">
        <f>AB14/V14</f>
        <v>0.19054471215390567</v>
      </c>
      <c r="AD14" s="21">
        <f>$E$8/(1-AC14)</f>
        <v>624092.9511530552</v>
      </c>
      <c r="AE14" s="14" t="str">
        <f>IF(AD14=AD8,"yes","not yet")</f>
        <v>not yet</v>
      </c>
      <c r="AF14" s="22">
        <f>100*(1-AC14)</f>
        <v>80.94552878460944</v>
      </c>
      <c r="AG14" s="14"/>
      <c r="AH14" s="14"/>
      <c r="AI14" s="14"/>
      <c r="AJ14" s="14" t="str">
        <f>AE5</f>
        <v>not yet</v>
      </c>
      <c r="AK14" s="14" t="str">
        <f>AE11</f>
        <v>not yet</v>
      </c>
      <c r="AL14" s="14" t="str">
        <f>AE17</f>
        <v>not yet</v>
      </c>
      <c r="AM14" s="14" t="str">
        <f>AE23</f>
        <v>not yet</v>
      </c>
      <c r="AN14" s="14" t="str">
        <f>AE29</f>
        <v>not yet</v>
      </c>
      <c r="AO14" s="14" t="str">
        <f>AE35</f>
        <v>not yet</v>
      </c>
      <c r="AP14" s="14" t="str">
        <f>AE41</f>
        <v>yes</v>
      </c>
      <c r="AQ14" s="14" t="str">
        <f>AE47</f>
        <v>yes</v>
      </c>
      <c r="AR14" s="14" t="str">
        <f>AE53</f>
        <v>yes</v>
      </c>
      <c r="AS14" s="12"/>
      <c r="AT14" s="12"/>
      <c r="AU14" s="12"/>
      <c r="AV14" s="12"/>
      <c r="AW14" s="12"/>
      <c r="AX14" s="12"/>
      <c r="AY14" s="12"/>
      <c r="AZ14" s="12"/>
      <c r="BA14" s="12"/>
      <c r="BB14" s="12"/>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row>
    <row r="15" spans="1:99" ht="13.5">
      <c r="A15" s="12"/>
      <c r="B15" s="17"/>
      <c r="C15" s="19" t="s">
        <v>155</v>
      </c>
      <c r="D15" s="14"/>
      <c r="E15" s="27" t="s">
        <v>131</v>
      </c>
      <c r="F15" s="19" t="s">
        <v>156</v>
      </c>
      <c r="G15" s="14"/>
      <c r="H15" s="22">
        <f>HLOOKUP($AJ$25,$AJ$19:$AR$23,($E$12)+1)</f>
        <v>80.59720478113124</v>
      </c>
      <c r="I15" s="19" t="s">
        <v>133</v>
      </c>
      <c r="J15" s="12"/>
      <c r="K15" s="30"/>
      <c r="L15" s="14"/>
      <c r="M15" s="14"/>
      <c r="N15" s="14"/>
      <c r="O15" s="14"/>
      <c r="P15" s="14"/>
      <c r="Q15" s="14"/>
      <c r="R15" s="14"/>
      <c r="S15" s="14"/>
      <c r="T15" s="14"/>
      <c r="U15" s="14"/>
      <c r="V15" s="14"/>
      <c r="W15" s="14"/>
      <c r="X15" s="14"/>
      <c r="Y15" s="14"/>
      <c r="Z15" s="14"/>
      <c r="AA15" s="22"/>
      <c r="AB15" s="14"/>
      <c r="AC15" s="14"/>
      <c r="AD15" s="14"/>
      <c r="AE15" s="14"/>
      <c r="AF15" s="14"/>
      <c r="AG15" s="14"/>
      <c r="AH15" s="14"/>
      <c r="AI15" s="14"/>
      <c r="AJ15" s="14" t="str">
        <f>AE6</f>
        <v>not yet</v>
      </c>
      <c r="AK15" s="14" t="str">
        <f>AE12</f>
        <v>not yet</v>
      </c>
      <c r="AL15" s="14" t="str">
        <f>AE18</f>
        <v>not yet</v>
      </c>
      <c r="AM15" s="14" t="str">
        <f>AE24</f>
        <v>not yet</v>
      </c>
      <c r="AN15" s="14" t="str">
        <f>AE30</f>
        <v>not yet</v>
      </c>
      <c r="AO15" s="14" t="str">
        <f>AE36</f>
        <v>not yet</v>
      </c>
      <c r="AP15" s="14" t="str">
        <f>AE42</f>
        <v>yes</v>
      </c>
      <c r="AQ15" s="14" t="str">
        <f>AE48</f>
        <v>yes</v>
      </c>
      <c r="AR15" s="14" t="str">
        <f>AE54</f>
        <v>yes</v>
      </c>
      <c r="AS15" s="12"/>
      <c r="AT15" s="12"/>
      <c r="AU15" s="12"/>
      <c r="AV15" s="12"/>
      <c r="AW15" s="12"/>
      <c r="AX15" s="12"/>
      <c r="AY15" s="12"/>
      <c r="AZ15" s="12"/>
      <c r="BA15" s="12"/>
      <c r="BB15" s="12"/>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row>
    <row r="16" spans="1:99" ht="13.5">
      <c r="A16" s="12"/>
      <c r="B16" s="17"/>
      <c r="C16" s="31"/>
      <c r="D16" s="31"/>
      <c r="E16" s="32"/>
      <c r="F16" s="14"/>
      <c r="G16" s="14"/>
      <c r="H16" s="31"/>
      <c r="I16" s="17"/>
      <c r="J16" s="12"/>
      <c r="K16" s="14"/>
      <c r="L16" s="14"/>
      <c r="M16" s="14"/>
      <c r="N16" s="14"/>
      <c r="O16" s="14"/>
      <c r="P16" s="14"/>
      <c r="Q16" s="14"/>
      <c r="R16" s="14"/>
      <c r="S16" s="14"/>
      <c r="T16" s="14"/>
      <c r="U16" s="14"/>
      <c r="V16" s="19" t="s">
        <v>157</v>
      </c>
      <c r="W16" s="28" t="s">
        <v>122</v>
      </c>
      <c r="X16" s="28" t="s">
        <v>123</v>
      </c>
      <c r="Y16" s="28" t="s">
        <v>124</v>
      </c>
      <c r="Z16" s="14"/>
      <c r="AA16" s="22"/>
      <c r="AB16" s="14"/>
      <c r="AC16" s="14"/>
      <c r="AD16" s="14"/>
      <c r="AE16" s="14"/>
      <c r="AF16" s="14"/>
      <c r="AG16" s="14"/>
      <c r="AH16" s="14"/>
      <c r="AI16" s="14"/>
      <c r="AJ16" s="14" t="str">
        <f>AE7</f>
        <v>not yet</v>
      </c>
      <c r="AK16" s="14" t="str">
        <f>AE13</f>
        <v>not yet</v>
      </c>
      <c r="AL16" s="14" t="str">
        <f>AE19</f>
        <v>not yet</v>
      </c>
      <c r="AM16" s="14" t="str">
        <f>AE25</f>
        <v>not yet</v>
      </c>
      <c r="AN16" s="14" t="str">
        <f>AE31</f>
        <v>not yet</v>
      </c>
      <c r="AO16" s="14" t="str">
        <f>AE37</f>
        <v>not yet</v>
      </c>
      <c r="AP16" s="14" t="str">
        <f>AE43</f>
        <v>yes</v>
      </c>
      <c r="AQ16" s="14" t="str">
        <f>AE49</f>
        <v>yes</v>
      </c>
      <c r="AR16" s="14" t="str">
        <f>AE55</f>
        <v>yes</v>
      </c>
      <c r="AS16" s="12"/>
      <c r="AT16" s="12"/>
      <c r="AU16" s="12"/>
      <c r="AV16" s="12"/>
      <c r="AW16" s="12"/>
      <c r="AX16" s="12"/>
      <c r="AY16" s="12"/>
      <c r="AZ16" s="12"/>
      <c r="BA16" s="12"/>
      <c r="BB16" s="12"/>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row>
    <row r="17" spans="1:99" ht="13.5">
      <c r="A17" s="12"/>
      <c r="B17" s="27" t="s">
        <v>139</v>
      </c>
      <c r="C17" s="19" t="s">
        <v>158</v>
      </c>
      <c r="D17" s="14"/>
      <c r="E17" s="20">
        <v>0.4</v>
      </c>
      <c r="F17" s="19" t="s">
        <v>159</v>
      </c>
      <c r="G17" s="14"/>
      <c r="H17" s="14"/>
      <c r="I17" s="17"/>
      <c r="J17" s="12"/>
      <c r="K17" s="14"/>
      <c r="L17" s="14"/>
      <c r="M17" s="14"/>
      <c r="N17" s="14"/>
      <c r="O17" s="14"/>
      <c r="P17" s="14"/>
      <c r="Q17" s="14"/>
      <c r="R17" s="14"/>
      <c r="S17" s="14"/>
      <c r="T17" s="14"/>
      <c r="U17" s="14"/>
      <c r="V17" s="22">
        <f>100*(+AD11/$E$9)</f>
        <v>81.3907853683165</v>
      </c>
      <c r="W17" s="29">
        <f>EXP(5.7226-(0.68367*LN(+V17)))</f>
        <v>15.103953099100936</v>
      </c>
      <c r="X17" s="23">
        <f>(+W17*V17)/100</f>
        <v>12.293226049020431</v>
      </c>
      <c r="Y17" s="22">
        <f>100*((((X17/100)-((X17/100)-0.03574)*$E$21)-0.03574-0.00619)/0.344)</f>
        <v>14.9293290475392</v>
      </c>
      <c r="Z17" s="14">
        <f>$E$20</f>
        <v>0.25</v>
      </c>
      <c r="AA17" s="22">
        <f>Y17+Z17</f>
        <v>15.1793290475392</v>
      </c>
      <c r="AB17" s="22">
        <f>100*($E$17*$E$19+($E$18*(AA17/100))/(1-$E$21))</f>
        <v>16.05939004321746</v>
      </c>
      <c r="AC17" s="23">
        <f>AB17/V17</f>
        <v>0.19731214007266476</v>
      </c>
      <c r="AD17" s="21">
        <f>$E$8/(1-AC17)</f>
        <v>629354.6528336017</v>
      </c>
      <c r="AE17" s="14" t="str">
        <f>IF(AD17=AD11,"yes","not yet")</f>
        <v>not yet</v>
      </c>
      <c r="AF17" s="22">
        <f>100*(1-AC17)</f>
        <v>80.26878599273353</v>
      </c>
      <c r="AG17" s="14"/>
      <c r="AH17" s="14"/>
      <c r="AI17" s="14"/>
      <c r="AJ17" s="14" t="str">
        <f>AE8</f>
        <v>not yet</v>
      </c>
      <c r="AK17" s="14" t="str">
        <f>AE14</f>
        <v>not yet</v>
      </c>
      <c r="AL17" s="14" t="str">
        <f>AE20</f>
        <v>not yet</v>
      </c>
      <c r="AM17" s="14" t="str">
        <f>AE26</f>
        <v>not yet</v>
      </c>
      <c r="AN17" s="14" t="str">
        <f>AE32</f>
        <v>not yet</v>
      </c>
      <c r="AO17" s="14" t="str">
        <f>AE38</f>
        <v>not yet</v>
      </c>
      <c r="AP17" s="14" t="str">
        <f>AE44</f>
        <v>yes</v>
      </c>
      <c r="AQ17" s="14" t="str">
        <f>AE50</f>
        <v>yes</v>
      </c>
      <c r="AR17" s="14" t="str">
        <f>AE56</f>
        <v>yes</v>
      </c>
      <c r="AS17" s="12"/>
      <c r="AT17" s="12"/>
      <c r="AU17" s="12"/>
      <c r="AV17" s="12"/>
      <c r="AW17" s="12"/>
      <c r="AX17" s="12"/>
      <c r="AY17" s="12"/>
      <c r="AZ17" s="12"/>
      <c r="BA17" s="12"/>
      <c r="BB17" s="12"/>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row>
    <row r="18" spans="1:99" ht="13.5">
      <c r="A18" s="12"/>
      <c r="B18" s="27" t="s">
        <v>139</v>
      </c>
      <c r="C18" s="19" t="s">
        <v>160</v>
      </c>
      <c r="D18" s="14"/>
      <c r="E18" s="20">
        <v>0.6</v>
      </c>
      <c r="F18" s="19" t="s">
        <v>161</v>
      </c>
      <c r="G18" s="14"/>
      <c r="H18" s="33">
        <v>0.018</v>
      </c>
      <c r="I18" s="19" t="s">
        <v>139</v>
      </c>
      <c r="J18" s="12"/>
      <c r="K18" s="14"/>
      <c r="L18" s="14"/>
      <c r="M18" s="14"/>
      <c r="N18" s="14"/>
      <c r="O18" s="14"/>
      <c r="P18" s="14"/>
      <c r="Q18" s="14"/>
      <c r="R18" s="14"/>
      <c r="S18" s="14"/>
      <c r="T18" s="14"/>
      <c r="U18" s="14"/>
      <c r="V18" s="22">
        <f>100*(+AD12/$E$9)</f>
        <v>81.0644380046082</v>
      </c>
      <c r="W18" s="29">
        <f>EXP(5.70827-(0.68367*LN(+V18)))</f>
        <v>14.93001001014187</v>
      </c>
      <c r="X18" s="23">
        <f>(+W18*V18)/100</f>
        <v>12.102928708753257</v>
      </c>
      <c r="Y18" s="22">
        <f>100*((((X18/100)-((X18/100)-0.03574)*$E$21)-0.03574-0.00619)/0.344)</f>
        <v>14.56422368539869</v>
      </c>
      <c r="Z18" s="14">
        <f>$E$20</f>
        <v>0.25</v>
      </c>
      <c r="AA18" s="22">
        <f>Y18+Z18</f>
        <v>14.81422368539869</v>
      </c>
      <c r="AB18" s="22">
        <f>100*($E$17*$E$19+($E$18*(AA18/100))/(1-$E$21))</f>
        <v>15.727476077635174</v>
      </c>
      <c r="AC18" s="23">
        <f>AB18/V18</f>
        <v>0.19401202876088683</v>
      </c>
      <c r="AD18" s="21">
        <f>$E$8/(1-AC18)</f>
        <v>626777.7652334764</v>
      </c>
      <c r="AE18" s="14" t="str">
        <f>IF(AD18=AD12,"yes","not yet")</f>
        <v>not yet</v>
      </c>
      <c r="AF18" s="22">
        <f>100*(1-AC18)</f>
        <v>80.59879712391131</v>
      </c>
      <c r="AG18" s="14"/>
      <c r="AH18" s="14"/>
      <c r="AI18" s="14"/>
      <c r="AJ18" s="14"/>
      <c r="AK18" s="14"/>
      <c r="AL18" s="14"/>
      <c r="AM18" s="14"/>
      <c r="AN18" s="14"/>
      <c r="AO18" s="14"/>
      <c r="AP18" s="14"/>
      <c r="AQ18" s="14"/>
      <c r="AR18" s="14"/>
      <c r="AS18" s="12"/>
      <c r="AT18" s="12"/>
      <c r="AU18" s="12"/>
      <c r="AV18" s="12"/>
      <c r="AW18" s="12"/>
      <c r="AX18" s="12"/>
      <c r="AY18" s="12"/>
      <c r="AZ18" s="12"/>
      <c r="BA18" s="12"/>
      <c r="BB18" s="12"/>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row>
    <row r="19" spans="1:99" ht="13.5">
      <c r="A19" s="12"/>
      <c r="B19" s="27" t="s">
        <v>139</v>
      </c>
      <c r="C19" s="19" t="s">
        <v>162</v>
      </c>
      <c r="D19" s="14"/>
      <c r="E19" s="20">
        <v>0.0565</v>
      </c>
      <c r="F19" s="19" t="s">
        <v>163</v>
      </c>
      <c r="G19" s="14"/>
      <c r="H19" s="33">
        <v>0.004</v>
      </c>
      <c r="I19" s="19" t="s">
        <v>139</v>
      </c>
      <c r="J19" s="12"/>
      <c r="K19" s="14"/>
      <c r="L19" s="14"/>
      <c r="M19" s="14"/>
      <c r="N19" s="14"/>
      <c r="O19" s="14"/>
      <c r="P19" s="14"/>
      <c r="Q19" s="14"/>
      <c r="R19" s="14"/>
      <c r="S19" s="14"/>
      <c r="T19" s="14"/>
      <c r="U19" s="14"/>
      <c r="V19" s="22">
        <f>100*(+AD13/$E$9)</f>
        <v>80.84466282829342</v>
      </c>
      <c r="W19" s="29">
        <f>EXP(5.6985-(0.68367*LN(V19)))</f>
        <v>14.8123206154945</v>
      </c>
      <c r="X19" s="23">
        <f>(+W19*V19)/100</f>
        <v>11.974970658642325</v>
      </c>
      <c r="Y19" s="22">
        <f>100*((((X19/100)-((X19/100)-0.03574)*$E$21)-0.03574-0.00619)/0.344)</f>
        <v>14.318722775302135</v>
      </c>
      <c r="Z19" s="14">
        <f>$E$20</f>
        <v>0.25</v>
      </c>
      <c r="AA19" s="22">
        <f>Y19+Z19</f>
        <v>14.568722775302135</v>
      </c>
      <c r="AB19" s="22">
        <f>100*($E$17*$E$19+($E$18*(AA19/100))/(1-$E$21))</f>
        <v>15.504293432092853</v>
      </c>
      <c r="AC19" s="23">
        <f>AB19/V19</f>
        <v>0.19177881247426978</v>
      </c>
      <c r="AD19" s="21">
        <f>$E$8/(1-AC19)</f>
        <v>625045.8998295342</v>
      </c>
      <c r="AE19" s="14" t="str">
        <f>IF(AD19=AD13,"yes","not yet")</f>
        <v>not yet</v>
      </c>
      <c r="AF19" s="22">
        <f>100*(1-AC19)</f>
        <v>80.82211875257302</v>
      </c>
      <c r="AG19" s="14"/>
      <c r="AH19" s="14"/>
      <c r="AI19" s="14"/>
      <c r="AJ19" s="14" t="str">
        <f>HLOOKUP(1,$AJ$13:$AR$17,($E$12)+1)</f>
        <v>not yet</v>
      </c>
      <c r="AK19" s="14" t="str">
        <f>HLOOKUP(2,$AJ$13:$AR$17,($E$12)+1)</f>
        <v>not yet</v>
      </c>
      <c r="AL19" s="14" t="str">
        <f>HLOOKUP(3,$AJ$13:$AR$17,($E$12)+1)</f>
        <v>not yet</v>
      </c>
      <c r="AM19" s="14" t="str">
        <f>HLOOKUP(4,$AJ$13:$AR$17,($E$12)+1)</f>
        <v>not yet</v>
      </c>
      <c r="AN19" s="14" t="str">
        <f>HLOOKUP(5,$AJ$13:$AR$17,($E$12)+1)</f>
        <v>not yet</v>
      </c>
      <c r="AO19" s="14" t="str">
        <f>HLOOKUP(6,$AJ$13:$AR$17,($E$12)+1)</f>
        <v>not yet</v>
      </c>
      <c r="AP19" s="14" t="str">
        <f>HLOOKUP(7,$AJ$13:$AR$17,($E$12)+1)</f>
        <v>yes</v>
      </c>
      <c r="AQ19" s="14" t="str">
        <f>HLOOKUP(8,$AJ$13:$AR$17,($E$12)+1)</f>
        <v>yes</v>
      </c>
      <c r="AR19" s="14" t="str">
        <f>HLOOKUP(9,$AJ$13:$AR$17,($E$12)+1)</f>
        <v>yes</v>
      </c>
      <c r="AS19" s="12"/>
      <c r="AT19" s="12"/>
      <c r="AU19" s="12"/>
      <c r="AV19" s="12"/>
      <c r="AW19" s="12"/>
      <c r="AX19" s="12"/>
      <c r="AY19" s="12"/>
      <c r="AZ19" s="12"/>
      <c r="BA19" s="12"/>
      <c r="BB19" s="12"/>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row>
    <row r="20" spans="1:99" ht="13.5">
      <c r="A20" s="12"/>
      <c r="B20" s="27" t="s">
        <v>139</v>
      </c>
      <c r="C20" s="19" t="s">
        <v>164</v>
      </c>
      <c r="D20" s="14"/>
      <c r="E20" s="34">
        <v>0.25</v>
      </c>
      <c r="F20" s="19" t="s">
        <v>165</v>
      </c>
      <c r="G20" s="14"/>
      <c r="H20" s="20">
        <v>0</v>
      </c>
      <c r="I20" s="19" t="s">
        <v>139</v>
      </c>
      <c r="J20" s="12"/>
      <c r="K20" s="14"/>
      <c r="L20" s="14"/>
      <c r="M20" s="14"/>
      <c r="N20" s="14"/>
      <c r="O20" s="14"/>
      <c r="P20" s="14"/>
      <c r="Q20" s="14"/>
      <c r="R20" s="14"/>
      <c r="S20" s="14"/>
      <c r="T20" s="14"/>
      <c r="U20" s="14"/>
      <c r="V20" s="22">
        <f>100*(+AD14/$E$9)</f>
        <v>80.70410975586184</v>
      </c>
      <c r="W20" s="29">
        <f>EXP(5.6922-(0.68367*LN(V20)))</f>
        <v>14.736817322514444</v>
      </c>
      <c r="X20" s="23">
        <f>(+W20*V20)/100</f>
        <v>11.893217226482916</v>
      </c>
      <c r="Y20" s="22">
        <f>100*((((X20/100)-((X20/100)-0.03574)*$E$21)-0.03574-0.00619)/0.344)</f>
        <v>14.161870260112568</v>
      </c>
      <c r="Z20" s="14">
        <f>$E$20</f>
        <v>0.25</v>
      </c>
      <c r="AA20" s="22">
        <f>Y20+Z20</f>
        <v>14.411870260112568</v>
      </c>
      <c r="AB20" s="22">
        <f>100*($E$17*$E$19+($E$18*(AA20/100))/(1-$E$21))</f>
        <v>15.361700236465975</v>
      </c>
      <c r="AC20" s="23">
        <f>AB20/V20</f>
        <v>0.19034594747326605</v>
      </c>
      <c r="AD20" s="21">
        <f>$E$8/(1-AC20)</f>
        <v>623939.7404876627</v>
      </c>
      <c r="AE20" s="14" t="str">
        <f>IF(AD20=AD14,"yes","not yet")</f>
        <v>not yet</v>
      </c>
      <c r="AF20" s="22">
        <f>100*(1-AC20)</f>
        <v>80.96540525267339</v>
      </c>
      <c r="AG20" s="14"/>
      <c r="AH20" s="14"/>
      <c r="AI20" s="14">
        <v>1</v>
      </c>
      <c r="AJ20" s="22">
        <f>AF5</f>
        <v>80.30610872243918</v>
      </c>
      <c r="AK20" s="22">
        <f>AF11</f>
        <v>80.26260970105339</v>
      </c>
      <c r="AL20" s="22">
        <f>AF17</f>
        <v>80.26878599273353</v>
      </c>
      <c r="AM20" s="22">
        <f>AF23</f>
        <v>80.26790893825077</v>
      </c>
      <c r="AN20" s="22">
        <f>AF29</f>
        <v>80.26803348092346</v>
      </c>
      <c r="AO20" s="22">
        <f>AF35</f>
        <v>80.26801579568955</v>
      </c>
      <c r="AP20" s="22">
        <f>AF41</f>
        <v>80.26802389071057</v>
      </c>
      <c r="AQ20" s="22">
        <f>AF47</f>
        <v>80.26802389071057</v>
      </c>
      <c r="AR20" s="22">
        <f>AF53</f>
        <v>80.26802389071057</v>
      </c>
      <c r="AS20" s="12"/>
      <c r="AT20" s="12"/>
      <c r="AU20" s="12"/>
      <c r="AV20" s="12"/>
      <c r="AW20" s="12"/>
      <c r="AX20" s="12"/>
      <c r="AY20" s="12"/>
      <c r="AZ20" s="12"/>
      <c r="BA20" s="12"/>
      <c r="BB20" s="12"/>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row>
    <row r="21" spans="1:99" ht="13.5">
      <c r="A21" s="12"/>
      <c r="B21" s="27" t="s">
        <v>139</v>
      </c>
      <c r="C21" s="19" t="s">
        <v>166</v>
      </c>
      <c r="D21" s="14"/>
      <c r="E21" s="34">
        <v>0.34</v>
      </c>
      <c r="F21" s="19" t="s">
        <v>167</v>
      </c>
      <c r="G21" s="14"/>
      <c r="H21" s="35">
        <v>0.0087</v>
      </c>
      <c r="I21" s="19" t="s">
        <v>139</v>
      </c>
      <c r="J21" s="12"/>
      <c r="K21" s="14"/>
      <c r="L21" s="14"/>
      <c r="M21" s="14"/>
      <c r="N21" s="14"/>
      <c r="O21" s="14"/>
      <c r="P21" s="14"/>
      <c r="Q21" s="14"/>
      <c r="R21" s="14"/>
      <c r="S21" s="14"/>
      <c r="T21" s="14"/>
      <c r="U21" s="14"/>
      <c r="V21" s="14"/>
      <c r="W21" s="14"/>
      <c r="X21" s="14"/>
      <c r="Y21" s="14"/>
      <c r="Z21" s="14"/>
      <c r="AA21" s="22"/>
      <c r="AB21" s="14"/>
      <c r="AC21" s="14"/>
      <c r="AD21" s="14"/>
      <c r="AE21" s="14"/>
      <c r="AF21" s="14"/>
      <c r="AG21" s="14"/>
      <c r="AH21" s="14"/>
      <c r="AI21" s="14">
        <v>2</v>
      </c>
      <c r="AJ21" s="22">
        <f>AF6</f>
        <v>80.68008888167336</v>
      </c>
      <c r="AK21" s="22">
        <f>AF12</f>
        <v>80.58572908268405</v>
      </c>
      <c r="AL21" s="22">
        <f>AF18</f>
        <v>80.59879712391131</v>
      </c>
      <c r="AM21" s="22">
        <f>AF24</f>
        <v>80.59698684937993</v>
      </c>
      <c r="AN21" s="22">
        <f>AF30</f>
        <v>80.59723761216517</v>
      </c>
      <c r="AO21" s="22">
        <f>AF36</f>
        <v>80.59720287584187</v>
      </c>
      <c r="AP21" s="22">
        <f>AF42</f>
        <v>80.59720478113124</v>
      </c>
      <c r="AQ21" s="22">
        <f>AF48</f>
        <v>80.59720478113124</v>
      </c>
      <c r="AR21" s="22">
        <f>AF54</f>
        <v>80.59720478113124</v>
      </c>
      <c r="AS21" s="12"/>
      <c r="AT21" s="12"/>
      <c r="AU21" s="12"/>
      <c r="AV21" s="12"/>
      <c r="AW21" s="12"/>
      <c r="AX21" s="12"/>
      <c r="AY21" s="12"/>
      <c r="AZ21" s="12"/>
      <c r="BA21" s="12"/>
      <c r="BB21" s="12"/>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row>
    <row r="22" spans="1:99" ht="13.5">
      <c r="A22" s="12"/>
      <c r="B22" s="17"/>
      <c r="C22" s="14"/>
      <c r="D22" s="14"/>
      <c r="E22" s="14"/>
      <c r="F22" s="14"/>
      <c r="G22" s="14"/>
      <c r="H22" s="31"/>
      <c r="I22" s="31"/>
      <c r="J22" s="17"/>
      <c r="K22" s="14"/>
      <c r="L22" s="14"/>
      <c r="M22" s="14"/>
      <c r="N22" s="14"/>
      <c r="O22" s="14"/>
      <c r="P22" s="14"/>
      <c r="Q22" s="14"/>
      <c r="R22" s="14"/>
      <c r="S22" s="14"/>
      <c r="T22" s="14"/>
      <c r="U22" s="14"/>
      <c r="V22" s="19" t="s">
        <v>168</v>
      </c>
      <c r="W22" s="28" t="s">
        <v>122</v>
      </c>
      <c r="X22" s="28" t="s">
        <v>123</v>
      </c>
      <c r="Y22" s="28" t="s">
        <v>124</v>
      </c>
      <c r="Z22" s="14"/>
      <c r="AA22" s="22"/>
      <c r="AB22" s="14"/>
      <c r="AC22" s="14"/>
      <c r="AD22" s="14"/>
      <c r="AE22" s="14"/>
      <c r="AF22" s="14"/>
      <c r="AG22" s="14"/>
      <c r="AH22" s="14"/>
      <c r="AI22" s="14">
        <v>3</v>
      </c>
      <c r="AJ22" s="22">
        <f>AF7</f>
        <v>80.93200833104348</v>
      </c>
      <c r="AK22" s="22">
        <f>AF13</f>
        <v>80.80480035094104</v>
      </c>
      <c r="AL22" s="22">
        <f>AF19</f>
        <v>80.82211875257302</v>
      </c>
      <c r="AM22" s="22">
        <f>AF25</f>
        <v>80.81976016992802</v>
      </c>
      <c r="AN22" s="22">
        <f>AF31</f>
        <v>80.82008136877826</v>
      </c>
      <c r="AO22" s="22">
        <f>AF37</f>
        <v>80.82003762667671</v>
      </c>
      <c r="AP22" s="22">
        <f>AF43</f>
        <v>80.82004367453084</v>
      </c>
      <c r="AQ22" s="22">
        <f>AF49</f>
        <v>80.82004367453084</v>
      </c>
      <c r="AR22" s="22">
        <f>AF55</f>
        <v>80.82004367453084</v>
      </c>
      <c r="AS22" s="12"/>
      <c r="AT22" s="12"/>
      <c r="AU22" s="12"/>
      <c r="AV22" s="12"/>
      <c r="AW22" s="12"/>
      <c r="AX22" s="12"/>
      <c r="AY22" s="12"/>
      <c r="AZ22" s="12"/>
      <c r="BA22" s="12"/>
      <c r="BB22" s="12"/>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row>
    <row r="23" spans="1:99" ht="13.5">
      <c r="A23" s="12"/>
      <c r="B23" s="17"/>
      <c r="C23" s="14"/>
      <c r="D23" s="14"/>
      <c r="E23" s="14"/>
      <c r="F23" s="19" t="s">
        <v>169</v>
      </c>
      <c r="G23" s="14"/>
      <c r="H23" s="20">
        <f>SUM(H18:H21)</f>
        <v>0.030699999999999998</v>
      </c>
      <c r="I23" s="20"/>
      <c r="J23" s="17"/>
      <c r="K23" s="14"/>
      <c r="L23" s="14"/>
      <c r="M23" s="14"/>
      <c r="N23" s="14"/>
      <c r="O23" s="14"/>
      <c r="P23" s="14"/>
      <c r="Q23" s="14"/>
      <c r="R23" s="14"/>
      <c r="S23" s="14"/>
      <c r="T23" s="14"/>
      <c r="U23" s="14"/>
      <c r="V23" s="22">
        <f>100*(+AD17/$E$9)</f>
        <v>81.38452274425543</v>
      </c>
      <c r="W23" s="29">
        <f>EXP(5.7226-(0.68367*LN(+V23)))</f>
        <v>15.10474769512395</v>
      </c>
      <c r="X23" s="23">
        <f>(+W23*V23)/100</f>
        <v>12.292926823400549</v>
      </c>
      <c r="Y23" s="22">
        <f>100*((((X23/100)-((X23/100)-0.03574)*$E$21)-0.03574-0.00619)/0.344)</f>
        <v>14.928754951873147</v>
      </c>
      <c r="Z23" s="14">
        <f>$E$20</f>
        <v>0.25</v>
      </c>
      <c r="AA23" s="22">
        <f>Y23+Z23</f>
        <v>15.178754951873147</v>
      </c>
      <c r="AB23" s="22">
        <f>100*($E$17*$E$19+($E$18*(AA23/100))/(1-$E$21))</f>
        <v>16.058868138066497</v>
      </c>
      <c r="AC23" s="23">
        <f>AB23/V23</f>
        <v>0.19732091061749232</v>
      </c>
      <c r="AD23" s="21">
        <f>$E$8/(1-AC23)</f>
        <v>629361.5295334787</v>
      </c>
      <c r="AE23" s="14" t="str">
        <f>IF(AD23=AD17,"yes","not yet")</f>
        <v>not yet</v>
      </c>
      <c r="AF23" s="22">
        <f>100*(1-AC23)</f>
        <v>80.26790893825077</v>
      </c>
      <c r="AG23" s="14"/>
      <c r="AH23" s="14"/>
      <c r="AI23" s="14">
        <v>4</v>
      </c>
      <c r="AJ23" s="22">
        <f>AF8</f>
        <v>81.09315343645846</v>
      </c>
      <c r="AK23" s="22">
        <f>AF14</f>
        <v>80.94552878460944</v>
      </c>
      <c r="AL23" s="22">
        <f>AF20</f>
        <v>80.96540525267339</v>
      </c>
      <c r="AM23" s="22">
        <f>AF26</f>
        <v>80.96272797051152</v>
      </c>
      <c r="AN23" s="22">
        <f>AF32</f>
        <v>80.96308857037171</v>
      </c>
      <c r="AO23" s="22">
        <f>AF38</f>
        <v>80.96304000126327</v>
      </c>
      <c r="AP23" s="22">
        <f>AF44</f>
        <v>80.96304709806273</v>
      </c>
      <c r="AQ23" s="22">
        <f>AF50</f>
        <v>80.96304709806273</v>
      </c>
      <c r="AR23" s="22">
        <f>AF56</f>
        <v>80.96304709806273</v>
      </c>
      <c r="AS23" s="12"/>
      <c r="AT23" s="12"/>
      <c r="AU23" s="12"/>
      <c r="AV23" s="12"/>
      <c r="AW23" s="12"/>
      <c r="AX23" s="12"/>
      <c r="AY23" s="12"/>
      <c r="AZ23" s="12"/>
      <c r="BA23" s="12"/>
      <c r="BB23" s="12"/>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row>
    <row r="24" spans="1:99" ht="13.5">
      <c r="A24" s="12"/>
      <c r="B24" s="17"/>
      <c r="C24" s="14"/>
      <c r="D24" s="14"/>
      <c r="E24" s="14"/>
      <c r="F24" s="14"/>
      <c r="G24" s="14"/>
      <c r="H24" s="14"/>
      <c r="I24" s="14"/>
      <c r="J24" s="17"/>
      <c r="K24" s="14"/>
      <c r="L24" s="14"/>
      <c r="M24" s="14"/>
      <c r="N24" s="14"/>
      <c r="O24" s="14"/>
      <c r="P24" s="14"/>
      <c r="Q24" s="14"/>
      <c r="R24" s="14"/>
      <c r="S24" s="14"/>
      <c r="T24" s="14"/>
      <c r="U24" s="14"/>
      <c r="V24" s="22">
        <f>100*(+AD18/$E$9)</f>
        <v>81.0512944657998</v>
      </c>
      <c r="W24" s="29">
        <f>EXP(5.70827-(0.68367*LN(+V24)))</f>
        <v>14.931665200089627</v>
      </c>
      <c r="X24" s="23">
        <f>(+W24*V24)/100</f>
        <v>12.102307929971998</v>
      </c>
      <c r="Y24" s="22">
        <f>100*((((X24/100)-((X24/100)-0.03574)*$E$21)-0.03574-0.00619)/0.344)</f>
        <v>14.563032656341623</v>
      </c>
      <c r="Z24" s="14">
        <f>$E$20</f>
        <v>0.25</v>
      </c>
      <c r="AA24" s="22">
        <f>Y24+Z24</f>
        <v>14.813032656341623</v>
      </c>
      <c r="AB24" s="22">
        <f>100*($E$17*$E$19+($E$18*(AA24/100))/(1-$E$21))</f>
        <v>15.726393323946933</v>
      </c>
      <c r="AC24" s="23">
        <f>AB24/V24</f>
        <v>0.19403013150620071</v>
      </c>
      <c r="AD24" s="21">
        <f>$E$8/(1-AC24)</f>
        <v>626791.8431769529</v>
      </c>
      <c r="AE24" s="14" t="str">
        <f>IF(AD24=AD18,"yes","not yet")</f>
        <v>not yet</v>
      </c>
      <c r="AF24" s="22">
        <f>100*(1-AC24)</f>
        <v>80.59698684937993</v>
      </c>
      <c r="AG24" s="14"/>
      <c r="AH24" s="14"/>
      <c r="AI24" s="14"/>
      <c r="AJ24" s="14"/>
      <c r="AK24" s="14"/>
      <c r="AL24" s="14"/>
      <c r="AM24" s="14"/>
      <c r="AN24" s="14"/>
      <c r="AO24" s="14"/>
      <c r="AP24" s="14"/>
      <c r="AQ24" s="14"/>
      <c r="AR24" s="14"/>
      <c r="AS24" s="12"/>
      <c r="AT24" s="12"/>
      <c r="AU24" s="12"/>
      <c r="AV24" s="12"/>
      <c r="AW24" s="12"/>
      <c r="AX24" s="12"/>
      <c r="AY24" s="12"/>
      <c r="AZ24" s="12"/>
      <c r="BA24" s="12"/>
      <c r="BB24" s="12"/>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row>
    <row r="25" spans="1:99" ht="13.5">
      <c r="A25" s="12"/>
      <c r="B25" s="17"/>
      <c r="C25" s="14"/>
      <c r="D25" s="14"/>
      <c r="E25" s="14"/>
      <c r="F25" s="19" t="s">
        <v>170</v>
      </c>
      <c r="G25" s="14"/>
      <c r="H25" s="23">
        <f>((+H15/100)-H23)</f>
        <v>0.7752720478113124</v>
      </c>
      <c r="I25" s="23"/>
      <c r="J25" s="17"/>
      <c r="K25" s="14"/>
      <c r="L25" s="14"/>
      <c r="M25" s="14"/>
      <c r="N25" s="14"/>
      <c r="O25" s="14"/>
      <c r="P25" s="14"/>
      <c r="Q25" s="14"/>
      <c r="R25" s="14"/>
      <c r="S25" s="14"/>
      <c r="T25" s="14"/>
      <c r="U25" s="14"/>
      <c r="V25" s="22">
        <f>100*(+AD19/$E$9)</f>
        <v>80.82733959596207</v>
      </c>
      <c r="W25" s="29">
        <f>EXP(5.6985-(0.68367*LN(V25)))</f>
        <v>14.81449094438591</v>
      </c>
      <c r="X25" s="23">
        <f>(+W25*V25)/100</f>
        <v>11.974158905031848</v>
      </c>
      <c r="Y25" s="22">
        <f>100*((((X25/100)-((X25/100)-0.03574)*$E$21)-0.03574-0.00619)/0.344)</f>
        <v>14.317165341049476</v>
      </c>
      <c r="Z25" s="14">
        <f>$E$20</f>
        <v>0.25</v>
      </c>
      <c r="AA25" s="22">
        <f>Y25+Z25</f>
        <v>14.567165341049476</v>
      </c>
      <c r="AB25" s="22">
        <f>100*($E$17*$E$19+($E$18*(AA25/100))/(1-$E$21))</f>
        <v>15.502877582772253</v>
      </c>
      <c r="AC25" s="23">
        <f>AB25/V25</f>
        <v>0.19180239830071974</v>
      </c>
      <c r="AD25" s="21">
        <f>$E$8/(1-AC25)</f>
        <v>625064.140695488</v>
      </c>
      <c r="AE25" s="14" t="str">
        <f>IF(AD25=AD19,"yes","not yet")</f>
        <v>not yet</v>
      </c>
      <c r="AF25" s="22">
        <f>100*(1-AC25)</f>
        <v>80.81976016992802</v>
      </c>
      <c r="AG25" s="14"/>
      <c r="AH25" s="14"/>
      <c r="AI25" s="14"/>
      <c r="AJ25" s="14" t="s">
        <v>171</v>
      </c>
      <c r="AK25" s="14"/>
      <c r="AL25" s="14"/>
      <c r="AM25" s="14"/>
      <c r="AN25" s="14"/>
      <c r="AO25" s="14"/>
      <c r="AP25" s="14"/>
      <c r="AQ25" s="14"/>
      <c r="AR25" s="14"/>
      <c r="AS25" s="12"/>
      <c r="AT25" s="12"/>
      <c r="AU25" s="12"/>
      <c r="AV25" s="12"/>
      <c r="AW25" s="12"/>
      <c r="AX25" s="12"/>
      <c r="AY25" s="12"/>
      <c r="AZ25" s="12"/>
      <c r="BA25" s="12"/>
      <c r="BB25" s="12"/>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row>
    <row r="26" spans="1:99" ht="13.5">
      <c r="A26" s="12"/>
      <c r="B26" s="17"/>
      <c r="C26" s="14"/>
      <c r="D26" s="14"/>
      <c r="E26" s="14"/>
      <c r="F26" s="14"/>
      <c r="G26" s="14"/>
      <c r="H26" s="14"/>
      <c r="I26" s="14"/>
      <c r="J26" s="17"/>
      <c r="K26" s="14"/>
      <c r="L26" s="14"/>
      <c r="M26" s="14"/>
      <c r="N26" s="14"/>
      <c r="O26" s="14"/>
      <c r="P26" s="14"/>
      <c r="Q26" s="14"/>
      <c r="R26" s="14"/>
      <c r="S26" s="14"/>
      <c r="T26" s="14"/>
      <c r="U26" s="14"/>
      <c r="V26" s="22">
        <f>100*(+AD20/$E$9)</f>
        <v>80.6842974341031</v>
      </c>
      <c r="W26" s="29">
        <f>EXP(5.6922-(0.68367*LN(V26)))</f>
        <v>14.73929120865918</v>
      </c>
      <c r="X26" s="23">
        <f>(+W26*V26)/100</f>
        <v>11.892293558473185</v>
      </c>
      <c r="Y26" s="22">
        <f>100*((((X26/100)-((X26/100)-0.03574)*$E$21)-0.03574-0.00619)/0.344)</f>
        <v>14.160098106372972</v>
      </c>
      <c r="Z26" s="14">
        <f>$E$20</f>
        <v>0.25</v>
      </c>
      <c r="AA26" s="22">
        <f>Y26+Z26</f>
        <v>14.410098106372972</v>
      </c>
      <c r="AB26" s="22">
        <f>100*($E$17*$E$19+($E$18*(AA26/100))/(1-$E$21))</f>
        <v>15.360089187611797</v>
      </c>
      <c r="AC26" s="23">
        <f>AB26/V26</f>
        <v>0.19037272029488475</v>
      </c>
      <c r="AD26" s="21">
        <f>$E$8/(1-AC26)</f>
        <v>623960.3729784293</v>
      </c>
      <c r="AE26" s="14" t="str">
        <f>IF(AD26=AD20,"yes","not yet")</f>
        <v>not yet</v>
      </c>
      <c r="AF26" s="22">
        <f>100*(1-AC26)</f>
        <v>80.96272797051152</v>
      </c>
      <c r="AG26" s="14"/>
      <c r="AH26" s="14"/>
      <c r="AI26" s="14"/>
      <c r="AJ26" s="22">
        <f>HLOOKUP($AJ$25,$AJ$19:$AR$23,($E$12)+1)</f>
        <v>80.59720478113124</v>
      </c>
      <c r="AK26" s="14"/>
      <c r="AL26" s="14"/>
      <c r="AM26" s="14"/>
      <c r="AN26" s="14"/>
      <c r="AO26" s="14"/>
      <c r="AP26" s="14"/>
      <c r="AQ26" s="14"/>
      <c r="AR26" s="14"/>
      <c r="AS26" s="12"/>
      <c r="AT26" s="12"/>
      <c r="AU26" s="12"/>
      <c r="AV26" s="12"/>
      <c r="AW26" s="12"/>
      <c r="AX26" s="12"/>
      <c r="AY26" s="12"/>
      <c r="AZ26" s="12"/>
      <c r="BA26" s="12"/>
      <c r="BB26" s="12"/>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row>
    <row r="27" spans="1:99" ht="13.5">
      <c r="A27" s="12"/>
      <c r="B27" s="17"/>
      <c r="C27" s="14"/>
      <c r="D27" s="14"/>
      <c r="E27" s="21"/>
      <c r="F27" s="14"/>
      <c r="G27" s="14"/>
      <c r="H27" s="14"/>
      <c r="I27" s="14"/>
      <c r="J27" s="17"/>
      <c r="K27" s="14"/>
      <c r="L27" s="14"/>
      <c r="M27" s="14"/>
      <c r="N27" s="14"/>
      <c r="O27" s="14"/>
      <c r="P27" s="14"/>
      <c r="Q27" s="14"/>
      <c r="R27" s="14"/>
      <c r="S27" s="14"/>
      <c r="T27" s="14"/>
      <c r="U27" s="14"/>
      <c r="V27" s="14"/>
      <c r="W27" s="14"/>
      <c r="X27" s="14"/>
      <c r="Y27" s="14"/>
      <c r="Z27" s="14"/>
      <c r="AA27" s="22"/>
      <c r="AB27" s="14"/>
      <c r="AC27" s="14"/>
      <c r="AD27" s="14"/>
      <c r="AE27" s="14"/>
      <c r="AF27" s="14"/>
      <c r="AG27" s="14"/>
      <c r="AH27" s="14"/>
      <c r="AI27" s="14"/>
      <c r="AJ27" s="14"/>
      <c r="AK27" s="14"/>
      <c r="AL27" s="14"/>
      <c r="AM27" s="14"/>
      <c r="AN27" s="14"/>
      <c r="AO27" s="14"/>
      <c r="AP27" s="14"/>
      <c r="AQ27" s="14"/>
      <c r="AR27" s="14"/>
      <c r="AS27" s="12"/>
      <c r="AT27" s="12"/>
      <c r="AU27" s="12"/>
      <c r="AV27" s="12"/>
      <c r="AW27" s="12"/>
      <c r="AX27" s="12"/>
      <c r="AY27" s="12"/>
      <c r="AZ27" s="12"/>
      <c r="BA27" s="12"/>
      <c r="BB27" s="12"/>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row>
    <row r="28" spans="1:99" ht="13.5">
      <c r="A28" s="12"/>
      <c r="B28" s="17"/>
      <c r="C28" s="17"/>
      <c r="D28" s="17" t="s">
        <v>86</v>
      </c>
      <c r="E28" s="18" t="s">
        <v>86</v>
      </c>
      <c r="F28" s="17"/>
      <c r="G28" s="17" t="s">
        <v>86</v>
      </c>
      <c r="H28" s="17"/>
      <c r="I28" s="17"/>
      <c r="J28" s="14"/>
      <c r="K28" s="14"/>
      <c r="L28" s="14"/>
      <c r="M28" s="14"/>
      <c r="N28" s="14"/>
      <c r="O28" s="14"/>
      <c r="P28" s="14"/>
      <c r="Q28" s="14"/>
      <c r="R28" s="14"/>
      <c r="S28" s="14"/>
      <c r="T28" s="14"/>
      <c r="U28" s="14"/>
      <c r="V28" s="19" t="s">
        <v>172</v>
      </c>
      <c r="W28" s="28" t="s">
        <v>122</v>
      </c>
      <c r="X28" s="28" t="s">
        <v>123</v>
      </c>
      <c r="Y28" s="28" t="s">
        <v>124</v>
      </c>
      <c r="Z28" s="14"/>
      <c r="AA28" s="22"/>
      <c r="AB28" s="14"/>
      <c r="AC28" s="14"/>
      <c r="AD28" s="14"/>
      <c r="AE28" s="14"/>
      <c r="AF28" s="14"/>
      <c r="AG28" s="14"/>
      <c r="AH28" s="14"/>
      <c r="AI28" s="14"/>
      <c r="AJ28" s="14" t="str">
        <f>HLOOKUP(1,$AJ$13:$AR$17,($E$12)+1)</f>
        <v>not yet</v>
      </c>
      <c r="AK28" s="14" t="str">
        <f>HLOOKUP(2,$AJ$13:$AR$17,($E$12)+1)</f>
        <v>not yet</v>
      </c>
      <c r="AL28" s="14" t="str">
        <f>HLOOKUP(3,$AJ$13:$AR$17,($E$12)+1)</f>
        <v>not yet</v>
      </c>
      <c r="AM28" s="14" t="str">
        <f>HLOOKUP(4,$AJ$13:$AR$17,($E$12)+1)</f>
        <v>not yet</v>
      </c>
      <c r="AN28" s="14" t="str">
        <f>HLOOKUP(5,$AJ$13:$AR$17,($E$12)+1)</f>
        <v>not yet</v>
      </c>
      <c r="AO28" s="14" t="str">
        <f>HLOOKUP(6,$AJ$13:$AR$17,($E$12)+1)</f>
        <v>not yet</v>
      </c>
      <c r="AP28" s="14" t="str">
        <f>HLOOKUP(7,$AJ$13:$AR$17,($E$12)+1)</f>
        <v>yes</v>
      </c>
      <c r="AQ28" s="14" t="str">
        <f>HLOOKUP(8,$AJ$13:$AR$17,($E$12)+1)</f>
        <v>yes</v>
      </c>
      <c r="AR28" s="14" t="str">
        <f>HLOOKUP(9,$AJ$13:$AR$17,($E$12)+1)</f>
        <v>yes</v>
      </c>
      <c r="AS28" s="12"/>
      <c r="AT28" s="12"/>
      <c r="AU28" s="12"/>
      <c r="AV28" s="12"/>
      <c r="AW28" s="12"/>
      <c r="AX28" s="12"/>
      <c r="AY28" s="12"/>
      <c r="AZ28" s="12"/>
      <c r="BA28" s="12"/>
      <c r="BB28" s="12"/>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row>
    <row r="29" spans="1:99" ht="14.25">
      <c r="A29" s="12"/>
      <c r="B29" s="138"/>
      <c r="C29" s="201" t="s">
        <v>483</v>
      </c>
      <c r="D29" s="201"/>
      <c r="E29" s="201"/>
      <c r="F29" s="201"/>
      <c r="G29" s="201"/>
      <c r="H29" s="201"/>
      <c r="I29" s="14"/>
      <c r="J29" s="14"/>
      <c r="K29" s="14"/>
      <c r="L29" s="14"/>
      <c r="M29" s="14"/>
      <c r="N29" s="14"/>
      <c r="O29" s="14"/>
      <c r="P29" s="14"/>
      <c r="Q29" s="14"/>
      <c r="R29" s="14"/>
      <c r="S29" s="14"/>
      <c r="T29" s="14"/>
      <c r="U29" s="14"/>
      <c r="V29" s="22">
        <f>100*(+AD23/$E$9)</f>
        <v>81.38541199951878</v>
      </c>
      <c r="W29" s="29">
        <f>EXP(5.7226-(0.68367*LN(+V29)))</f>
        <v>15.104634860956947</v>
      </c>
      <c r="X29" s="23">
        <f>(+W29*V29)/100</f>
        <v>12.292969312612751</v>
      </c>
      <c r="Y29" s="22">
        <f>100*((((X29/100)-((X29/100)-0.03574)*$E$21)-0.03574-0.00619)/0.344)</f>
        <v>14.9288364718733</v>
      </c>
      <c r="Z29" s="14">
        <f>$E$20</f>
        <v>0.25</v>
      </c>
      <c r="AA29" s="22">
        <f>Y29+Z29</f>
        <v>15.1788364718733</v>
      </c>
      <c r="AB29" s="22">
        <f>100*($E$17*$E$19+($E$18*(AA29/100))/(1-$E$21))</f>
        <v>16.058942247157546</v>
      </c>
      <c r="AC29" s="23">
        <f>AB29/V29</f>
        <v>0.19731966519076538</v>
      </c>
      <c r="AD29" s="21">
        <f>$E$8/(1-AC29)</f>
        <v>629360.5530256014</v>
      </c>
      <c r="AE29" s="14" t="str">
        <f>IF(AD29=AD23,"yes","not yet")</f>
        <v>not yet</v>
      </c>
      <c r="AF29" s="22">
        <f>100*(1-AC29)</f>
        <v>80.26803348092346</v>
      </c>
      <c r="AG29" s="14"/>
      <c r="AH29" s="14"/>
      <c r="AI29" s="14">
        <v>1</v>
      </c>
      <c r="AJ29" s="22">
        <f>V5</f>
        <v>81.65796049099242</v>
      </c>
      <c r="AK29" s="22">
        <f>V11</f>
        <v>81.34669881537967</v>
      </c>
      <c r="AL29" s="22">
        <f>V17</f>
        <v>81.3907853683165</v>
      </c>
      <c r="AM29" s="22">
        <f>V23</f>
        <v>81.38452274425543</v>
      </c>
      <c r="AN29" s="22">
        <f>V29</f>
        <v>81.38541199951878</v>
      </c>
      <c r="AO29" s="22">
        <f>V35</f>
        <v>81.38528572313838</v>
      </c>
      <c r="AP29" s="22">
        <f>V41</f>
        <v>81.38534352329596</v>
      </c>
      <c r="AQ29" s="22">
        <f>V47</f>
        <v>81.38534352329596</v>
      </c>
      <c r="AR29" s="22">
        <f>V53</f>
        <v>81.38534352329596</v>
      </c>
      <c r="AS29" s="12"/>
      <c r="AT29" s="12"/>
      <c r="AU29" s="12"/>
      <c r="AV29" s="12"/>
      <c r="AW29" s="12"/>
      <c r="AX29" s="12"/>
      <c r="AY29" s="12"/>
      <c r="AZ29" s="12"/>
      <c r="BA29" s="12"/>
      <c r="BB29" s="12"/>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row>
    <row r="30" spans="1:99" ht="13.5">
      <c r="A30" s="12"/>
      <c r="B30" s="138"/>
      <c r="C30" s="138" t="s">
        <v>132</v>
      </c>
      <c r="D30" s="138"/>
      <c r="E30" s="139">
        <f>'[1]LG Recycl'!$E$5</f>
        <v>701733.1602225467</v>
      </c>
      <c r="F30" s="138" t="s">
        <v>133</v>
      </c>
      <c r="G30" s="138"/>
      <c r="H30" s="138"/>
      <c r="I30" s="14"/>
      <c r="J30" s="14"/>
      <c r="K30" s="14"/>
      <c r="L30" s="14"/>
      <c r="M30" s="14"/>
      <c r="N30" s="14"/>
      <c r="O30" s="14"/>
      <c r="P30" s="14"/>
      <c r="Q30" s="14"/>
      <c r="R30" s="14"/>
      <c r="S30" s="14"/>
      <c r="T30" s="14"/>
      <c r="U30" s="14"/>
      <c r="V30" s="22">
        <f>100*(+AD24/$E$9)</f>
        <v>81.05311494445344</v>
      </c>
      <c r="W30" s="29">
        <f>EXP(5.70827-(0.68367*LN(+V30)))</f>
        <v>14.931435916912745</v>
      </c>
      <c r="X30" s="23">
        <f>(+W30*V30)/100</f>
        <v>12.102393916592694</v>
      </c>
      <c r="Y30" s="22">
        <f>100*((((X30/100)-((X30/100)-0.03574)*$E$21)-0.03574-0.00619)/0.344)</f>
        <v>14.56319763067203</v>
      </c>
      <c r="Z30" s="14">
        <f>$E$20</f>
        <v>0.25</v>
      </c>
      <c r="AA30" s="22">
        <f>Y30+Z30</f>
        <v>14.81319763067203</v>
      </c>
      <c r="AB30" s="22">
        <f>100*($E$17*$E$19+($E$18*(AA30/100))/(1-$E$21))</f>
        <v>15.72654330061094</v>
      </c>
      <c r="AC30" s="23">
        <f>AB30/V30</f>
        <v>0.19402762387834827</v>
      </c>
      <c r="AD30" s="21">
        <f>$E$8/(1-AC30)</f>
        <v>626789.8930348261</v>
      </c>
      <c r="AE30" s="14" t="str">
        <f>IF(AD30=AD24,"yes","not yet")</f>
        <v>not yet</v>
      </c>
      <c r="AF30" s="22">
        <f>100*(1-AC30)</f>
        <v>80.59723761216517</v>
      </c>
      <c r="AG30" s="14"/>
      <c r="AH30" s="14"/>
      <c r="AI30" s="14">
        <v>2</v>
      </c>
      <c r="AJ30" s="22">
        <f>V6</f>
        <v>81.65796049099242</v>
      </c>
      <c r="AK30" s="22">
        <f>V12</f>
        <v>80.96962868819169</v>
      </c>
      <c r="AL30" s="22">
        <f>V18</f>
        <v>81.0644380046082</v>
      </c>
      <c r="AM30" s="22">
        <f>V24</f>
        <v>81.0512944657998</v>
      </c>
      <c r="AN30" s="22">
        <f>V30</f>
        <v>81.05311494445344</v>
      </c>
      <c r="AO30" s="22">
        <f>V36</f>
        <v>81.05286276329366</v>
      </c>
      <c r="AP30" s="22">
        <f>V42</f>
        <v>81.05287659541452</v>
      </c>
      <c r="AQ30" s="22">
        <f>V48</f>
        <v>81.05287659541452</v>
      </c>
      <c r="AR30" s="22">
        <f>V54</f>
        <v>81.05287659541452</v>
      </c>
      <c r="AS30" s="12"/>
      <c r="AT30" s="12"/>
      <c r="AU30" s="12"/>
      <c r="AV30" s="12"/>
      <c r="AW30" s="12"/>
      <c r="AX30" s="12"/>
      <c r="AY30" s="12"/>
      <c r="AZ30" s="12"/>
      <c r="BA30" s="12"/>
      <c r="BB30" s="12"/>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row>
    <row r="31" spans="1:99" ht="13.5">
      <c r="A31" s="12"/>
      <c r="B31" s="138"/>
      <c r="C31" s="138" t="s">
        <v>136</v>
      </c>
      <c r="D31" s="138"/>
      <c r="E31" s="139">
        <f>'[1]LG Recycl'!$E$6</f>
        <v>117377.6133225466</v>
      </c>
      <c r="F31" s="138" t="s">
        <v>133</v>
      </c>
      <c r="G31" s="138"/>
      <c r="H31" s="140">
        <f>'Rate Schedule'!G157</f>
        <v>0.18864468864468864</v>
      </c>
      <c r="I31" s="14"/>
      <c r="J31" s="14"/>
      <c r="K31" s="14"/>
      <c r="L31" s="14"/>
      <c r="M31" s="14"/>
      <c r="N31" s="14"/>
      <c r="O31" s="14"/>
      <c r="P31" s="14"/>
      <c r="Q31" s="14"/>
      <c r="R31" s="14"/>
      <c r="S31" s="14"/>
      <c r="T31" s="14"/>
      <c r="U31" s="14"/>
      <c r="V31" s="22">
        <f>100*(+AD25/$E$9)</f>
        <v>80.8296983997993</v>
      </c>
      <c r="W31" s="29">
        <f>EXP(5.6985-(0.68367*LN(V31)))</f>
        <v>14.814195377260491</v>
      </c>
      <c r="X31" s="23">
        <f>(+W31*V31)/100</f>
        <v>11.974269443796665</v>
      </c>
      <c r="Y31" s="22">
        <f>100*((((X31/100)-((X31/100)-0.03574)*$E$21)-0.03574-0.00619)/0.344)</f>
        <v>14.317377421237786</v>
      </c>
      <c r="Z31" s="14">
        <f>$E$20</f>
        <v>0.25</v>
      </c>
      <c r="AA31" s="22">
        <f>Y31+Z31</f>
        <v>14.567377421237786</v>
      </c>
      <c r="AB31" s="22">
        <f>100*($E$17*$E$19+($E$18*(AA31/100))/(1-$E$21))</f>
        <v>15.503070382943445</v>
      </c>
      <c r="AC31" s="23">
        <f>AB31/V31</f>
        <v>0.19179918631221737</v>
      </c>
      <c r="AD31" s="21">
        <f>$E$8/(1-AC31)</f>
        <v>625061.6565370966</v>
      </c>
      <c r="AE31" s="14" t="str">
        <f>IF(AD31=AD25,"yes","not yet")</f>
        <v>not yet</v>
      </c>
      <c r="AF31" s="22">
        <f>100*(1-AC31)</f>
        <v>80.82008136877826</v>
      </c>
      <c r="AG31" s="14"/>
      <c r="AH31" s="14"/>
      <c r="AI31" s="14">
        <v>3</v>
      </c>
      <c r="AJ31" s="22">
        <f>V7</f>
        <v>81.65796049099242</v>
      </c>
      <c r="AK31" s="22">
        <f>V13</f>
        <v>80.71759213682628</v>
      </c>
      <c r="AL31" s="22">
        <f>V19</f>
        <v>80.84466282829342</v>
      </c>
      <c r="AM31" s="22">
        <f>V25</f>
        <v>80.82733959596207</v>
      </c>
      <c r="AN31" s="22">
        <f>V31</f>
        <v>80.8296983997993</v>
      </c>
      <c r="AO31" s="22">
        <f>V37</f>
        <v>80.8293771627286</v>
      </c>
      <c r="AP31" s="22">
        <f>V43</f>
        <v>80.82942157737519</v>
      </c>
      <c r="AQ31" s="22">
        <f>V49</f>
        <v>80.82942157737519</v>
      </c>
      <c r="AR31" s="22">
        <f>V55</f>
        <v>80.82942157737519</v>
      </c>
      <c r="AS31" s="12"/>
      <c r="AT31" s="12"/>
      <c r="AU31" s="12"/>
      <c r="AV31" s="12"/>
      <c r="AW31" s="12"/>
      <c r="AX31" s="12"/>
      <c r="AY31" s="12"/>
      <c r="AZ31" s="12"/>
      <c r="BA31" s="12"/>
      <c r="BB31" s="12"/>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row>
    <row r="32" spans="1:99" ht="13.5">
      <c r="A32" s="12"/>
      <c r="B32" s="138"/>
      <c r="C32" s="138" t="s">
        <v>484</v>
      </c>
      <c r="D32" s="138"/>
      <c r="E32" s="139">
        <f>E6-E31</f>
        <v>-73262.64396440162</v>
      </c>
      <c r="F32" s="138"/>
      <c r="G32" s="138"/>
      <c r="H32" s="140">
        <f>H6-H31</f>
        <v>-0.11315131891084351</v>
      </c>
      <c r="I32" s="14"/>
      <c r="J32" s="14"/>
      <c r="K32" s="14"/>
      <c r="L32" s="14"/>
      <c r="M32" s="14"/>
      <c r="N32" s="14"/>
      <c r="O32" s="14"/>
      <c r="P32" s="14"/>
      <c r="Q32" s="14"/>
      <c r="R32" s="14"/>
      <c r="S32" s="14"/>
      <c r="T32" s="14"/>
      <c r="U32" s="14"/>
      <c r="V32" s="22">
        <f>100*(+AD26/$E$9)</f>
        <v>80.68696550910104</v>
      </c>
      <c r="W32" s="29">
        <f>EXP(5.6922-(0.68367*LN(V32)))</f>
        <v>14.738957997111035</v>
      </c>
      <c r="X32" s="23">
        <f>(+W32*V32)/100</f>
        <v>11.89241795552987</v>
      </c>
      <c r="Y32" s="22">
        <f>100*((((X32/100)-((X32/100)-0.03574)*$E$21)-0.03574-0.00619)/0.344)</f>
        <v>14.160336775144518</v>
      </c>
      <c r="Z32" s="14">
        <f>$E$20</f>
        <v>0.25</v>
      </c>
      <c r="AA32" s="22">
        <f>Y32+Z32</f>
        <v>14.410336775144518</v>
      </c>
      <c r="AB32" s="22">
        <f>100*($E$17*$E$19+($E$18*(AA32/100))/(1-$E$21))</f>
        <v>15.360306159222292</v>
      </c>
      <c r="AC32" s="23">
        <f>AB32/V32</f>
        <v>0.1903691142962829</v>
      </c>
      <c r="AD32" s="21">
        <f>$E$8/(1-AC32)</f>
        <v>623957.5939339631</v>
      </c>
      <c r="AE32" s="14" t="str">
        <f>IF(AD32=AD26,"yes","not yet")</f>
        <v>not yet</v>
      </c>
      <c r="AF32" s="22">
        <f>100*(1-AC32)</f>
        <v>80.96308857037171</v>
      </c>
      <c r="AG32" s="14"/>
      <c r="AH32" s="14"/>
      <c r="AI32" s="14">
        <v>4</v>
      </c>
      <c r="AJ32" s="22">
        <f>V8</f>
        <v>81.65796049099242</v>
      </c>
      <c r="AK32" s="22">
        <f>V14</f>
        <v>80.55719333196386</v>
      </c>
      <c r="AL32" s="22">
        <f>V20</f>
        <v>80.70410975586184</v>
      </c>
      <c r="AM32" s="22">
        <f>V26</f>
        <v>80.6842974341031</v>
      </c>
      <c r="AN32" s="22">
        <f>V32</f>
        <v>80.68696550910104</v>
      </c>
      <c r="AO32" s="22">
        <f>V38</f>
        <v>80.68660613905976</v>
      </c>
      <c r="AP32" s="22">
        <f>V44</f>
        <v>80.68665864918339</v>
      </c>
      <c r="AQ32" s="22">
        <f>V50</f>
        <v>80.68665864918339</v>
      </c>
      <c r="AR32" s="22">
        <f>V56</f>
        <v>80.68665864918339</v>
      </c>
      <c r="AS32" s="12"/>
      <c r="AT32" s="12"/>
      <c r="AU32" s="12"/>
      <c r="AV32" s="12"/>
      <c r="AW32" s="12"/>
      <c r="AX32" s="12"/>
      <c r="AY32" s="12"/>
      <c r="AZ32" s="12"/>
      <c r="BA32" s="12"/>
      <c r="BB32" s="12"/>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row>
    <row r="33" spans="1:99" ht="13.5">
      <c r="A33" s="12"/>
      <c r="B33" s="138"/>
      <c r="C33" s="138"/>
      <c r="D33" s="138"/>
      <c r="E33" s="139"/>
      <c r="F33" s="138"/>
      <c r="G33" s="138"/>
      <c r="H33" s="138"/>
      <c r="I33" s="14"/>
      <c r="J33" s="14"/>
      <c r="K33" s="14"/>
      <c r="L33" s="14"/>
      <c r="M33" s="14"/>
      <c r="N33" s="14"/>
      <c r="O33" s="14"/>
      <c r="P33" s="14"/>
      <c r="Q33" s="14"/>
      <c r="R33" s="14"/>
      <c r="S33" s="14"/>
      <c r="T33" s="14"/>
      <c r="U33" s="14"/>
      <c r="V33" s="14"/>
      <c r="W33" s="14"/>
      <c r="X33" s="14"/>
      <c r="Y33" s="14"/>
      <c r="Z33" s="14"/>
      <c r="AA33" s="22"/>
      <c r="AB33" s="14"/>
      <c r="AC33" s="14"/>
      <c r="AD33" s="14"/>
      <c r="AE33" s="14"/>
      <c r="AF33" s="14"/>
      <c r="AG33" s="14"/>
      <c r="AH33" s="14"/>
      <c r="AI33" s="14"/>
      <c r="AJ33" s="14"/>
      <c r="AK33" s="14"/>
      <c r="AL33" s="14"/>
      <c r="AM33" s="14"/>
      <c r="AN33" s="14"/>
      <c r="AO33" s="14"/>
      <c r="AP33" s="14"/>
      <c r="AQ33" s="14"/>
      <c r="AR33" s="14"/>
      <c r="AS33" s="12"/>
      <c r="AT33" s="12"/>
      <c r="AU33" s="12"/>
      <c r="AV33" s="12"/>
      <c r="AW33" s="12"/>
      <c r="AX33" s="12"/>
      <c r="AY33" s="12"/>
      <c r="AZ33" s="12"/>
      <c r="BA33" s="12"/>
      <c r="BB33" s="12"/>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row>
    <row r="34" spans="1:99" ht="13.5">
      <c r="A34" s="12"/>
      <c r="B34" s="138"/>
      <c r="C34" s="138"/>
      <c r="D34" s="141" t="s">
        <v>491</v>
      </c>
      <c r="E34" s="142">
        <f>E32/('Price-out'!H42+'Price-out'!H41)</f>
        <v>-0.6974979327577766</v>
      </c>
      <c r="F34" s="138"/>
      <c r="G34" s="138"/>
      <c r="H34" s="138"/>
      <c r="I34" s="14"/>
      <c r="J34" s="14"/>
      <c r="K34" s="14"/>
      <c r="L34" s="14"/>
      <c r="M34" s="14"/>
      <c r="N34" s="14"/>
      <c r="O34" s="14"/>
      <c r="P34" s="14"/>
      <c r="Q34" s="14"/>
      <c r="R34" s="14"/>
      <c r="S34" s="14"/>
      <c r="T34" s="14"/>
      <c r="U34" s="14"/>
      <c r="V34" s="19" t="s">
        <v>173</v>
      </c>
      <c r="W34" s="28" t="s">
        <v>122</v>
      </c>
      <c r="X34" s="28" t="s">
        <v>123</v>
      </c>
      <c r="Y34" s="28" t="s">
        <v>124</v>
      </c>
      <c r="Z34" s="14"/>
      <c r="AA34" s="22"/>
      <c r="AB34" s="14"/>
      <c r="AC34" s="14"/>
      <c r="AD34" s="14"/>
      <c r="AE34" s="14"/>
      <c r="AF34" s="14"/>
      <c r="AG34" s="14"/>
      <c r="AH34" s="14"/>
      <c r="AI34" s="14"/>
      <c r="AJ34" s="14" t="s">
        <v>171</v>
      </c>
      <c r="AK34" s="14"/>
      <c r="AL34" s="14"/>
      <c r="AM34" s="14"/>
      <c r="AN34" s="14"/>
      <c r="AO34" s="14"/>
      <c r="AP34" s="14"/>
      <c r="AQ34" s="14"/>
      <c r="AR34" s="14"/>
      <c r="AS34" s="12"/>
      <c r="AT34" s="12"/>
      <c r="AU34" s="12"/>
      <c r="AV34" s="12"/>
      <c r="AW34" s="12"/>
      <c r="AX34" s="12"/>
      <c r="AY34" s="12"/>
      <c r="AZ34" s="12"/>
      <c r="BA34" s="12"/>
      <c r="BB34" s="12"/>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row>
    <row r="35" spans="1:99" ht="13.5">
      <c r="A35" s="12"/>
      <c r="B35" s="14"/>
      <c r="C35" s="14"/>
      <c r="D35" s="14"/>
      <c r="E35" s="14"/>
      <c r="F35" s="14"/>
      <c r="G35" s="14"/>
      <c r="H35" s="14"/>
      <c r="I35" s="14"/>
      <c r="J35" s="14"/>
      <c r="K35" s="14"/>
      <c r="L35" s="14"/>
      <c r="M35" s="14"/>
      <c r="N35" s="14"/>
      <c r="O35" s="14"/>
      <c r="P35" s="14"/>
      <c r="Q35" s="14"/>
      <c r="R35" s="14"/>
      <c r="S35" s="14"/>
      <c r="T35" s="14"/>
      <c r="U35" s="14"/>
      <c r="V35" s="22">
        <f>100*(+AD29/$E$9)</f>
        <v>81.38528572313838</v>
      </c>
      <c r="W35" s="29">
        <f>EXP(5.7226-(0.68367*LN(+V35)))</f>
        <v>15.10465088355286</v>
      </c>
      <c r="X35" s="23">
        <f>(+W35*V35)/100</f>
        <v>12.292963279062041</v>
      </c>
      <c r="Y35" s="22">
        <f>100*((((X35/100)-((X35/100)-0.03574)*$E$21)-0.03574-0.00619)/0.344)</f>
        <v>14.928824895874849</v>
      </c>
      <c r="Z35" s="14">
        <f>$E$20</f>
        <v>0.25</v>
      </c>
      <c r="AA35" s="22">
        <f>Y35+Z35</f>
        <v>15.178824895874849</v>
      </c>
      <c r="AB35" s="22">
        <f>100*($E$17*$E$19+($E$18*(AA35/100))/(1-$E$21))</f>
        <v>16.05893172352259</v>
      </c>
      <c r="AC35" s="23">
        <f>AB35/V35</f>
        <v>0.19731984204310446</v>
      </c>
      <c r="AD35" s="21">
        <f>ROUND($E$8/(1-AC35),0)</f>
        <v>629361</v>
      </c>
      <c r="AE35" s="14" t="str">
        <f>IF(AD35=AD29,"yes","not yet")</f>
        <v>not yet</v>
      </c>
      <c r="AF35" s="22">
        <f>100*(1-AC35)</f>
        <v>80.26801579568955</v>
      </c>
      <c r="AG35" s="14"/>
      <c r="AH35" s="14"/>
      <c r="AI35" s="14"/>
      <c r="AJ35" s="22">
        <f>HLOOKUP($AJ$34,$AJ$28:$AR$32,($E$12)+1)</f>
        <v>81.05287659541452</v>
      </c>
      <c r="AK35" s="14"/>
      <c r="AL35" s="14"/>
      <c r="AM35" s="14"/>
      <c r="AN35" s="14"/>
      <c r="AO35" s="14"/>
      <c r="AP35" s="14"/>
      <c r="AQ35" s="14"/>
      <c r="AR35" s="14"/>
      <c r="AS35" s="12"/>
      <c r="AT35" s="12"/>
      <c r="AU35" s="12"/>
      <c r="AV35" s="12"/>
      <c r="AW35" s="12"/>
      <c r="AX35" s="12"/>
      <c r="AY35" s="12"/>
      <c r="AZ35" s="12"/>
      <c r="BA35" s="12"/>
      <c r="BB35" s="12"/>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row>
    <row r="36" spans="1:99" ht="13.5">
      <c r="A36" s="12"/>
      <c r="B36" s="14"/>
      <c r="C36" s="14"/>
      <c r="D36" s="14"/>
      <c r="E36" s="14"/>
      <c r="F36" s="14"/>
      <c r="G36" s="14"/>
      <c r="H36" s="14"/>
      <c r="I36" s="14"/>
      <c r="J36" s="14"/>
      <c r="K36" s="14"/>
      <c r="L36" s="14"/>
      <c r="M36" s="14"/>
      <c r="N36" s="14"/>
      <c r="O36" s="14"/>
      <c r="P36" s="14"/>
      <c r="Q36" s="14"/>
      <c r="R36" s="14"/>
      <c r="S36" s="14"/>
      <c r="T36" s="14"/>
      <c r="U36" s="14"/>
      <c r="V36" s="22">
        <f>100*(+AD30/$E$9)</f>
        <v>81.05286276329366</v>
      </c>
      <c r="W36" s="29">
        <f>EXP(5.70827-(0.68367*LN(+V36)))</f>
        <v>14.93146767776615</v>
      </c>
      <c r="X36" s="23">
        <f>(+W36*V36)/100</f>
        <v>12.102382005405348</v>
      </c>
      <c r="Y36" s="22">
        <f>100*((((X36/100)-((X36/100)-0.03574)*$E$21)-0.03574-0.00619)/0.344)</f>
        <v>14.563174777812584</v>
      </c>
      <c r="Z36" s="14">
        <f>$E$20</f>
        <v>0.25</v>
      </c>
      <c r="AA36" s="22">
        <f>Y36+Z36</f>
        <v>14.813174777812584</v>
      </c>
      <c r="AB36" s="22">
        <f>100*($E$17*$E$19+($E$18*(AA36/100))/(1-$E$21))</f>
        <v>15.726522525284171</v>
      </c>
      <c r="AC36" s="23">
        <f>AB36/V36</f>
        <v>0.19402797124158122</v>
      </c>
      <c r="AD36" s="21">
        <f>ROUND($E$8/(1-AC36),0)</f>
        <v>626790</v>
      </c>
      <c r="AE36" s="14" t="str">
        <f>IF(AD36=AD30,"yes","not yet")</f>
        <v>not yet</v>
      </c>
      <c r="AF36" s="22">
        <f>100*(1-AC36)</f>
        <v>80.59720287584187</v>
      </c>
      <c r="AG36" s="14"/>
      <c r="AH36" s="14"/>
      <c r="AI36" s="14"/>
      <c r="AJ36" s="14"/>
      <c r="AK36" s="14"/>
      <c r="AL36" s="14"/>
      <c r="AM36" s="14"/>
      <c r="AN36" s="14"/>
      <c r="AO36" s="14"/>
      <c r="AP36" s="14"/>
      <c r="AQ36" s="14"/>
      <c r="AR36" s="14"/>
      <c r="AS36" s="12"/>
      <c r="AT36" s="12"/>
      <c r="AU36" s="12"/>
      <c r="AV36" s="12"/>
      <c r="AW36" s="12"/>
      <c r="AX36" s="12"/>
      <c r="AY36" s="12"/>
      <c r="AZ36" s="12"/>
      <c r="BA36" s="12"/>
      <c r="BB36" s="12"/>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row>
    <row r="37" spans="1:99" ht="13.5">
      <c r="A37" s="12"/>
      <c r="B37" s="14"/>
      <c r="C37" s="14"/>
      <c r="D37" s="14"/>
      <c r="E37" s="14"/>
      <c r="F37" s="14"/>
      <c r="G37" s="14"/>
      <c r="H37" s="14"/>
      <c r="I37" s="14"/>
      <c r="J37" s="14"/>
      <c r="K37" s="14"/>
      <c r="L37" s="14"/>
      <c r="M37" s="14"/>
      <c r="N37" s="14"/>
      <c r="O37" s="14"/>
      <c r="P37" s="14"/>
      <c r="Q37" s="14"/>
      <c r="R37" s="14"/>
      <c r="S37" s="14"/>
      <c r="T37" s="14"/>
      <c r="U37" s="14"/>
      <c r="V37" s="22">
        <f>100*(+AD31/$E$9)</f>
        <v>80.8293771627286</v>
      </c>
      <c r="W37" s="29">
        <f>EXP(5.6985-(0.68367*LN(V37)))</f>
        <v>14.814235628637547</v>
      </c>
      <c r="X37" s="23">
        <f>(+W37*V37)/100</f>
        <v>11.974254390046763</v>
      </c>
      <c r="Y37" s="22">
        <f>100*((((X37/100)-((X37/100)-0.03574)*$E$21)-0.03574-0.00619)/0.344)</f>
        <v>14.317348539043204</v>
      </c>
      <c r="Z37" s="14">
        <f>$E$20</f>
        <v>0.25</v>
      </c>
      <c r="AA37" s="22">
        <f>Y37+Z37</f>
        <v>14.567348539043204</v>
      </c>
      <c r="AB37" s="22">
        <f>100*($E$17*$E$19+($E$18*(AA37/100))/(1-$E$21))</f>
        <v>15.503044126402916</v>
      </c>
      <c r="AC37" s="23">
        <f>AB37/V37</f>
        <v>0.19179962373323292</v>
      </c>
      <c r="AD37" s="21">
        <f>ROUND($E$8/(1-AC37),0)</f>
        <v>625062</v>
      </c>
      <c r="AE37" s="14" t="str">
        <f>IF(AD37=AD31,"yes","not yet")</f>
        <v>not yet</v>
      </c>
      <c r="AF37" s="22">
        <f>100*(1-AC37)</f>
        <v>80.82003762667671</v>
      </c>
      <c r="AG37" s="14"/>
      <c r="AH37" s="14"/>
      <c r="AI37" s="14"/>
      <c r="AJ37" s="14" t="str">
        <f>HLOOKUP(1,$AJ$13:$AR$17,($E$12)+1)</f>
        <v>not yet</v>
      </c>
      <c r="AK37" s="14" t="str">
        <f>HLOOKUP(2,$AJ$13:$AR$17,($E$12)+1)</f>
        <v>not yet</v>
      </c>
      <c r="AL37" s="14" t="str">
        <f>HLOOKUP(3,$AJ$13:$AR$17,($E$12)+1)</f>
        <v>not yet</v>
      </c>
      <c r="AM37" s="14" t="str">
        <f>HLOOKUP(4,$AJ$13:$AR$17,($E$12)+1)</f>
        <v>not yet</v>
      </c>
      <c r="AN37" s="14" t="str">
        <f>HLOOKUP(5,$AJ$13:$AR$17,($E$12)+1)</f>
        <v>not yet</v>
      </c>
      <c r="AO37" s="14" t="str">
        <f>HLOOKUP(6,$AJ$13:$AR$17,($E$12)+1)</f>
        <v>not yet</v>
      </c>
      <c r="AP37" s="14" t="str">
        <f>HLOOKUP(7,$AJ$13:$AR$17,($E$12)+1)</f>
        <v>yes</v>
      </c>
      <c r="AQ37" s="14" t="str">
        <f>HLOOKUP(8,$AJ$13:$AR$17,($E$12)+1)</f>
        <v>yes</v>
      </c>
      <c r="AR37" s="14" t="str">
        <f>HLOOKUP(9,$AJ$13:$AR$17,($E$12)+1)</f>
        <v>yes</v>
      </c>
      <c r="AS37" s="12"/>
      <c r="AT37" s="12"/>
      <c r="AU37" s="12"/>
      <c r="AV37" s="12"/>
      <c r="AW37" s="12"/>
      <c r="AX37" s="12"/>
      <c r="AY37" s="12"/>
      <c r="AZ37" s="12"/>
      <c r="BA37" s="12"/>
      <c r="BB37" s="12"/>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row>
    <row r="38" spans="1:99" ht="13.5">
      <c r="A38" s="12"/>
      <c r="B38" s="14"/>
      <c r="C38" s="14"/>
      <c r="D38" s="14"/>
      <c r="E38" s="14"/>
      <c r="F38" s="14"/>
      <c r="G38" s="14"/>
      <c r="H38" s="14"/>
      <c r="I38" s="14"/>
      <c r="J38" s="14"/>
      <c r="K38" s="14"/>
      <c r="L38" s="14"/>
      <c r="M38" s="14"/>
      <c r="N38" s="14"/>
      <c r="O38" s="14"/>
      <c r="P38" s="14"/>
      <c r="Q38" s="14"/>
      <c r="R38" s="14"/>
      <c r="S38" s="14"/>
      <c r="T38" s="14"/>
      <c r="U38" s="14"/>
      <c r="V38" s="22">
        <f>100*(+AD32/$E$9)</f>
        <v>80.68660613905976</v>
      </c>
      <c r="W38" s="29">
        <f>EXP(5.6922-(0.68367*LN(V38)))</f>
        <v>14.73900287717007</v>
      </c>
      <c r="X38" s="23">
        <f>(+W38*V38)/100</f>
        <v>11.8924012003269</v>
      </c>
      <c r="Y38" s="22">
        <f>100*((((X38/100)-((X38/100)-0.03574)*$E$21)-0.03574-0.00619)/0.344)</f>
        <v>14.160304628534167</v>
      </c>
      <c r="Z38" s="14">
        <f>$E$20</f>
        <v>0.25</v>
      </c>
      <c r="AA38" s="22">
        <f>Y38+Z38</f>
        <v>14.410304628534167</v>
      </c>
      <c r="AB38" s="22">
        <f>100*($E$17*$E$19+($E$18*(AA38/100))/(1-$E$21))</f>
        <v>15.360276935031065</v>
      </c>
      <c r="AC38" s="23">
        <f>AB38/V38</f>
        <v>0.19036959998736733</v>
      </c>
      <c r="AD38" s="21">
        <f>ROUND($E$8/(1-AC38),0)</f>
        <v>623958</v>
      </c>
      <c r="AE38" s="14" t="str">
        <f>IF(AD38=AD32,"yes","not yet")</f>
        <v>not yet</v>
      </c>
      <c r="AF38" s="22">
        <f>100*(1-AC38)</f>
        <v>80.96304000126327</v>
      </c>
      <c r="AG38" s="14"/>
      <c r="AH38" s="14"/>
      <c r="AI38" s="14">
        <v>1</v>
      </c>
      <c r="AJ38" s="21">
        <f>AD5</f>
        <v>629062.1566092125</v>
      </c>
      <c r="AK38" s="21">
        <f>AD11</f>
        <v>629403.0823317283</v>
      </c>
      <c r="AL38" s="21">
        <f>AD17</f>
        <v>629354.6528336017</v>
      </c>
      <c r="AM38" s="21">
        <f>AD23</f>
        <v>629361.5295334787</v>
      </c>
      <c r="AN38" s="21">
        <f>AD29</f>
        <v>629360.5530256014</v>
      </c>
      <c r="AO38" s="21">
        <f>AD35</f>
        <v>629361</v>
      </c>
      <c r="AP38" s="21">
        <f>AD41</f>
        <v>629361</v>
      </c>
      <c r="AQ38" s="21">
        <f>AD47</f>
        <v>629361</v>
      </c>
      <c r="AR38" s="21">
        <f>AD53</f>
        <v>629361</v>
      </c>
      <c r="AS38" s="12"/>
      <c r="AT38" s="12"/>
      <c r="AU38" s="12"/>
      <c r="AV38" s="12"/>
      <c r="AW38" s="12"/>
      <c r="AX38" s="12"/>
      <c r="AY38" s="12"/>
      <c r="AZ38" s="12"/>
      <c r="BA38" s="12"/>
      <c r="BB38" s="12"/>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row>
    <row r="39" spans="1:99" ht="13.5">
      <c r="A39" s="12"/>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22"/>
      <c r="AB39" s="14"/>
      <c r="AC39" s="14"/>
      <c r="AD39" s="14"/>
      <c r="AE39" s="14"/>
      <c r="AF39" s="14"/>
      <c r="AG39" s="14"/>
      <c r="AH39" s="14"/>
      <c r="AI39" s="14">
        <v>2</v>
      </c>
      <c r="AJ39" s="21">
        <f>AD6</f>
        <v>626146.2356086551</v>
      </c>
      <c r="AK39" s="21">
        <f>AD12</f>
        <v>626879.4055334358</v>
      </c>
      <c r="AL39" s="21">
        <f>AD18</f>
        <v>626777.7652334764</v>
      </c>
      <c r="AM39" s="21">
        <f>AD24</f>
        <v>626791.8431769529</v>
      </c>
      <c r="AN39" s="21">
        <f>AD30</f>
        <v>626789.8930348261</v>
      </c>
      <c r="AO39" s="21">
        <f>AD36</f>
        <v>626790</v>
      </c>
      <c r="AP39" s="21">
        <f>AD42</f>
        <v>626790</v>
      </c>
      <c r="AQ39" s="21">
        <f>AD48</f>
        <v>626790</v>
      </c>
      <c r="AR39" s="21">
        <f>AD54</f>
        <v>626790</v>
      </c>
      <c r="AS39" s="12"/>
      <c r="AT39" s="12"/>
      <c r="AU39" s="12"/>
      <c r="AV39" s="12"/>
      <c r="AW39" s="12"/>
      <c r="AX39" s="12"/>
      <c r="AY39" s="12"/>
      <c r="AZ39" s="12"/>
      <c r="BA39" s="12"/>
      <c r="BB39" s="12"/>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row>
    <row r="40" spans="1:99" ht="13.5">
      <c r="A40" s="12"/>
      <c r="B40" s="14"/>
      <c r="C40" s="14"/>
      <c r="D40" s="14"/>
      <c r="E40" s="14"/>
      <c r="F40" s="14"/>
      <c r="G40" s="14"/>
      <c r="H40" s="14"/>
      <c r="I40" s="14"/>
      <c r="J40" s="14"/>
      <c r="K40" s="14"/>
      <c r="L40" s="14"/>
      <c r="M40" s="14"/>
      <c r="N40" s="14"/>
      <c r="O40" s="14"/>
      <c r="P40" s="14"/>
      <c r="Q40" s="14"/>
      <c r="R40" s="14"/>
      <c r="S40" s="14"/>
      <c r="T40" s="14"/>
      <c r="U40" s="14"/>
      <c r="V40" s="19" t="s">
        <v>174</v>
      </c>
      <c r="W40" s="28" t="s">
        <v>122</v>
      </c>
      <c r="X40" s="28" t="s">
        <v>123</v>
      </c>
      <c r="Y40" s="28" t="s">
        <v>124</v>
      </c>
      <c r="Z40" s="14"/>
      <c r="AA40" s="22"/>
      <c r="AB40" s="14"/>
      <c r="AC40" s="14"/>
      <c r="AD40" s="14"/>
      <c r="AE40" s="14"/>
      <c r="AF40" s="14"/>
      <c r="AG40" s="14"/>
      <c r="AH40" s="14"/>
      <c r="AI40" s="14">
        <v>3</v>
      </c>
      <c r="AJ40" s="21">
        <f>AD7</f>
        <v>624197.2117532913</v>
      </c>
      <c r="AK40" s="21">
        <f>AD13</f>
        <v>625179.8621174758</v>
      </c>
      <c r="AL40" s="21">
        <f>AD19</f>
        <v>625045.8998295342</v>
      </c>
      <c r="AM40" s="21">
        <f>AD25</f>
        <v>625064.140695488</v>
      </c>
      <c r="AN40" s="21">
        <f>AD31</f>
        <v>625061.6565370966</v>
      </c>
      <c r="AO40" s="21">
        <f>AD37</f>
        <v>625062</v>
      </c>
      <c r="AP40" s="21">
        <f>AD43</f>
        <v>625062</v>
      </c>
      <c r="AQ40" s="21">
        <f>AD49</f>
        <v>625062</v>
      </c>
      <c r="AR40" s="21">
        <f>AD55</f>
        <v>625062</v>
      </c>
      <c r="AS40" s="12"/>
      <c r="AT40" s="12"/>
      <c r="AU40" s="12"/>
      <c r="AV40" s="12"/>
      <c r="AW40" s="12"/>
      <c r="AX40" s="12"/>
      <c r="AY40" s="12"/>
      <c r="AZ40" s="12"/>
      <c r="BA40" s="12"/>
      <c r="BB40" s="12"/>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row>
    <row r="41" spans="1:99" ht="13.5">
      <c r="A41" s="12"/>
      <c r="B41" s="14"/>
      <c r="C41" s="14"/>
      <c r="D41" s="14"/>
      <c r="E41" s="14"/>
      <c r="F41" s="14"/>
      <c r="G41" s="14"/>
      <c r="H41" s="14"/>
      <c r="I41" s="14"/>
      <c r="J41" s="14"/>
      <c r="K41" s="14"/>
      <c r="L41" s="14"/>
      <c r="M41" s="14"/>
      <c r="N41" s="14"/>
      <c r="O41" s="14"/>
      <c r="P41" s="14"/>
      <c r="Q41" s="14"/>
      <c r="R41" s="14"/>
      <c r="S41" s="14"/>
      <c r="T41" s="14"/>
      <c r="U41" s="14"/>
      <c r="V41" s="22">
        <f>100*(+AD35/$E$9)</f>
        <v>81.38534352329596</v>
      </c>
      <c r="W41" s="29">
        <f>EXP(5.7226-(0.68367*LN(+V41)))</f>
        <v>15.104643549566712</v>
      </c>
      <c r="X41" s="23">
        <f>(+W41*V41)/100</f>
        <v>12.292966040784233</v>
      </c>
      <c r="Y41" s="22">
        <f>100*((((X41/100)-((X41/100)-0.03574)*$E$21)-0.03574-0.00619)/0.344)</f>
        <v>14.92883019452789</v>
      </c>
      <c r="Z41" s="14">
        <f>$E$20</f>
        <v>0.25</v>
      </c>
      <c r="AA41" s="22">
        <f>Y41+Z41</f>
        <v>15.17883019452789</v>
      </c>
      <c r="AB41" s="22">
        <f>100*($E$17*$E$19+($E$18*(AA41/100))/(1-$E$21))</f>
        <v>16.058936540479902</v>
      </c>
      <c r="AC41" s="23">
        <f>AB41/V41</f>
        <v>0.19731976109289442</v>
      </c>
      <c r="AD41" s="21">
        <f>ROUND($E$8/(1-AC41),0)</f>
        <v>629361</v>
      </c>
      <c r="AE41" s="14" t="str">
        <f>IF(OR(OR(AD41=AD35,AD41=(AD35+1)),AD41=(AD27-1)),"yes","not yet")</f>
        <v>yes</v>
      </c>
      <c r="AF41" s="22">
        <f>100*(1-AC41)</f>
        <v>80.26802389071057</v>
      </c>
      <c r="AG41" s="14"/>
      <c r="AH41" s="14"/>
      <c r="AI41" s="14">
        <v>4</v>
      </c>
      <c r="AJ41" s="21">
        <f>AD8</f>
        <v>622956.8317554097</v>
      </c>
      <c r="AK41" s="21">
        <f>AD14</f>
        <v>624092.9511530552</v>
      </c>
      <c r="AL41" s="21">
        <f>AD20</f>
        <v>623939.7404876627</v>
      </c>
      <c r="AM41" s="21">
        <f>AD26</f>
        <v>623960.3729784293</v>
      </c>
      <c r="AN41" s="21">
        <f>AD32</f>
        <v>623957.5939339631</v>
      </c>
      <c r="AO41" s="21">
        <f>AD38</f>
        <v>623958</v>
      </c>
      <c r="AP41" s="21">
        <f>AD44</f>
        <v>623958</v>
      </c>
      <c r="AQ41" s="21">
        <f>AD50</f>
        <v>623958</v>
      </c>
      <c r="AR41" s="21">
        <f>AD56</f>
        <v>623958</v>
      </c>
      <c r="AS41" s="12"/>
      <c r="AT41" s="12"/>
      <c r="AU41" s="12"/>
      <c r="AV41" s="12"/>
      <c r="AW41" s="12"/>
      <c r="AX41" s="12"/>
      <c r="AY41" s="12"/>
      <c r="AZ41" s="12"/>
      <c r="BA41" s="12"/>
      <c r="BB41" s="12"/>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row>
    <row r="42" spans="1:99" ht="13.5">
      <c r="A42" s="12"/>
      <c r="B42" s="14"/>
      <c r="C42" s="14"/>
      <c r="D42" s="14"/>
      <c r="E42" s="14"/>
      <c r="F42" s="14"/>
      <c r="G42" s="14"/>
      <c r="H42" s="14"/>
      <c r="I42" s="14"/>
      <c r="J42" s="14"/>
      <c r="K42" s="14"/>
      <c r="L42" s="14"/>
      <c r="M42" s="14"/>
      <c r="N42" s="14"/>
      <c r="O42" s="14"/>
      <c r="P42" s="14"/>
      <c r="Q42" s="14"/>
      <c r="R42" s="14"/>
      <c r="S42" s="14"/>
      <c r="T42" s="14"/>
      <c r="U42" s="14"/>
      <c r="V42" s="22">
        <f>100*(+AD36/$E$9)</f>
        <v>81.05287659541452</v>
      </c>
      <c r="W42" s="29">
        <f>EXP(5.70827-(0.68367*LN(+V42)))</f>
        <v>14.931465935681013</v>
      </c>
      <c r="X42" s="23">
        <f>(+W42*V42)/100</f>
        <v>12.102382658733886</v>
      </c>
      <c r="Y42" s="22">
        <f>100*((((X42/100)-((X42/100)-0.03574)*$E$21)-0.03574-0.00619)/0.344)</f>
        <v>14.563176031291757</v>
      </c>
      <c r="Z42" s="14">
        <f>$E$20</f>
        <v>0.25</v>
      </c>
      <c r="AA42" s="22">
        <f>Y42+Z42</f>
        <v>14.813176031291757</v>
      </c>
      <c r="AB42" s="22">
        <f>100*($E$17*$E$19+($E$18*(AA42/100))/(1-$E$21))</f>
        <v>15.72652366481069</v>
      </c>
      <c r="AC42" s="23">
        <f>AB42/V42</f>
        <v>0.19402795218868768</v>
      </c>
      <c r="AD42" s="21">
        <f>ROUND($E$8/(1-AC42),0)</f>
        <v>626790</v>
      </c>
      <c r="AE42" s="14" t="str">
        <f>IF(OR(OR(AD42=AD36,AD42=(AD36+5)),AD42=(AD28-5)),"yes","not yet")</f>
        <v>yes</v>
      </c>
      <c r="AF42" s="22">
        <f>100*(1-AC42)</f>
        <v>80.59720478113124</v>
      </c>
      <c r="AG42" s="14"/>
      <c r="AH42" s="14"/>
      <c r="AI42" s="14"/>
      <c r="AJ42" s="14"/>
      <c r="AK42" s="14"/>
      <c r="AL42" s="14"/>
      <c r="AM42" s="14"/>
      <c r="AN42" s="14"/>
      <c r="AO42" s="14"/>
      <c r="AP42" s="14"/>
      <c r="AQ42" s="14"/>
      <c r="AR42" s="14"/>
      <c r="AS42" s="12"/>
      <c r="AT42" s="12"/>
      <c r="AU42" s="12"/>
      <c r="AV42" s="12"/>
      <c r="AW42" s="12"/>
      <c r="AX42" s="12"/>
      <c r="AY42" s="12"/>
      <c r="AZ42" s="12"/>
      <c r="BA42" s="12"/>
      <c r="BB42" s="12"/>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row>
    <row r="43" spans="1:99" ht="13.5">
      <c r="A43" s="12"/>
      <c r="B43" s="14"/>
      <c r="C43" s="14"/>
      <c r="D43" s="14"/>
      <c r="E43" s="14"/>
      <c r="F43" s="14"/>
      <c r="G43" s="14"/>
      <c r="H43" s="14"/>
      <c r="I43" s="14"/>
      <c r="J43" s="14"/>
      <c r="K43" s="14"/>
      <c r="L43" s="14"/>
      <c r="M43" s="14"/>
      <c r="N43" s="14"/>
      <c r="O43" s="14"/>
      <c r="P43" s="14"/>
      <c r="Q43" s="14"/>
      <c r="R43" s="14"/>
      <c r="S43" s="14"/>
      <c r="T43" s="14"/>
      <c r="U43" s="14"/>
      <c r="V43" s="22">
        <f>100*(+AD37/$E$9)</f>
        <v>80.82942157737519</v>
      </c>
      <c r="W43" s="29">
        <f>EXP(5.6985-(0.68367*LN(V43)))</f>
        <v>14.814230063414838</v>
      </c>
      <c r="X43" s="23">
        <f>(+W43*V43)/100</f>
        <v>11.974256471399835</v>
      </c>
      <c r="Y43" s="22">
        <f>100*((((X43/100)-((X43/100)-0.03574)*$E$21)-0.03574-0.00619)/0.344)</f>
        <v>14.317352532336894</v>
      </c>
      <c r="Z43" s="14">
        <f>$E$20</f>
        <v>0.25</v>
      </c>
      <c r="AA43" s="22">
        <f>Y43+Z43</f>
        <v>14.567352532336894</v>
      </c>
      <c r="AB43" s="22">
        <f>100*($E$17*$E$19+($E$18*(AA43/100))/(1-$E$21))</f>
        <v>15.503047756669904</v>
      </c>
      <c r="AC43" s="23">
        <f>AB43/V43</f>
        <v>0.19179956325469158</v>
      </c>
      <c r="AD43" s="21">
        <f>ROUND($E$8/(1-AC43),0)</f>
        <v>625062</v>
      </c>
      <c r="AE43" s="14" t="str">
        <f>IF(OR(OR(AD43=AD37,AD43=(AD37+5)),AD43=(AD29-5)),"yes","not yet")</f>
        <v>yes</v>
      </c>
      <c r="AF43" s="22">
        <f>100*(1-AC43)</f>
        <v>80.82004367453084</v>
      </c>
      <c r="AG43" s="14"/>
      <c r="AH43" s="14"/>
      <c r="AI43" s="14"/>
      <c r="AJ43" s="14" t="s">
        <v>171</v>
      </c>
      <c r="AK43" s="14"/>
      <c r="AL43" s="14"/>
      <c r="AM43" s="14"/>
      <c r="AN43" s="14"/>
      <c r="AO43" s="14"/>
      <c r="AP43" s="14"/>
      <c r="AQ43" s="14"/>
      <c r="AR43" s="14"/>
      <c r="AS43" s="12"/>
      <c r="AT43" s="12"/>
      <c r="AU43" s="12"/>
      <c r="AV43" s="12"/>
      <c r="AW43" s="12"/>
      <c r="AX43" s="12"/>
      <c r="AY43" s="12"/>
      <c r="AZ43" s="12"/>
      <c r="BA43" s="12"/>
      <c r="BB43" s="12"/>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row>
    <row r="44" spans="1:99" ht="13.5">
      <c r="A44" s="12"/>
      <c r="B44" s="14"/>
      <c r="C44" s="14"/>
      <c r="D44" s="14"/>
      <c r="E44" s="14"/>
      <c r="F44" s="14"/>
      <c r="G44" s="14"/>
      <c r="H44" s="14"/>
      <c r="I44" s="14"/>
      <c r="J44" s="14"/>
      <c r="K44" s="14"/>
      <c r="L44" s="14"/>
      <c r="M44" s="14"/>
      <c r="N44" s="14"/>
      <c r="O44" s="14"/>
      <c r="P44" s="14"/>
      <c r="Q44" s="14"/>
      <c r="R44" s="14"/>
      <c r="S44" s="14"/>
      <c r="T44" s="14"/>
      <c r="U44" s="14"/>
      <c r="V44" s="22">
        <f>100*(+AD38/$E$9)</f>
        <v>80.68665864918339</v>
      </c>
      <c r="W44" s="29">
        <f>EXP(5.6922-(0.68367*LN(V44)))</f>
        <v>14.738996319403078</v>
      </c>
      <c r="X44" s="23">
        <f>(+W44*V44)/100</f>
        <v>11.892403648552465</v>
      </c>
      <c r="Y44" s="22">
        <f>100*((((X44/100)-((X44/100)-0.03574)*$E$21)-0.03574-0.00619)/0.344)</f>
        <v>14.160309325711124</v>
      </c>
      <c r="Z44" s="14">
        <f>$E$20</f>
        <v>0.25</v>
      </c>
      <c r="AA44" s="22">
        <f>Y44+Z44</f>
        <v>14.410309325711124</v>
      </c>
      <c r="AB44" s="22">
        <f>100*($E$17*$E$19+($E$18*(AA44/100))/(1-$E$21))</f>
        <v>15.360281205191933</v>
      </c>
      <c r="AC44" s="23">
        <f>AB44/V44</f>
        <v>0.19036952901937268</v>
      </c>
      <c r="AD44" s="21">
        <f>ROUND($E$8/(1-AC44),0)</f>
        <v>623958</v>
      </c>
      <c r="AE44" s="14" t="str">
        <f>IF(OR(OR(AD44=AD38,AD44=(AD38+5)),AD44=(AD30-5)),"yes","not yet")</f>
        <v>yes</v>
      </c>
      <c r="AF44" s="22">
        <f>100*(1-AC44)</f>
        <v>80.96304709806273</v>
      </c>
      <c r="AG44" s="14"/>
      <c r="AH44" s="14"/>
      <c r="AI44" s="14"/>
      <c r="AJ44" s="21">
        <f>HLOOKUP($AJ$34,$AJ$37:$AR$41,($E$12)+1)</f>
        <v>626790</v>
      </c>
      <c r="AK44" s="14"/>
      <c r="AL44" s="14"/>
      <c r="AM44" s="14"/>
      <c r="AN44" s="14"/>
      <c r="AO44" s="14"/>
      <c r="AP44" s="14"/>
      <c r="AQ44" s="14"/>
      <c r="AR44" s="14"/>
      <c r="AS44" s="12"/>
      <c r="AT44" s="12"/>
      <c r="AU44" s="12"/>
      <c r="AV44" s="12"/>
      <c r="AW44" s="12"/>
      <c r="AX44" s="12"/>
      <c r="AY44" s="12"/>
      <c r="AZ44" s="12"/>
      <c r="BA44" s="12"/>
      <c r="BB44" s="12"/>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row>
    <row r="45" spans="1:99" ht="13.5">
      <c r="A45" s="12"/>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22"/>
      <c r="AB45" s="14"/>
      <c r="AC45" s="14"/>
      <c r="AD45" s="14"/>
      <c r="AE45" s="14"/>
      <c r="AF45" s="14"/>
      <c r="AG45" s="14"/>
      <c r="AH45" s="14"/>
      <c r="AI45" s="14"/>
      <c r="AJ45" s="14"/>
      <c r="AK45" s="14"/>
      <c r="AL45" s="14"/>
      <c r="AM45" s="14"/>
      <c r="AN45" s="14"/>
      <c r="AO45" s="14"/>
      <c r="AP45" s="14"/>
      <c r="AQ45" s="14"/>
      <c r="AR45" s="14"/>
      <c r="AS45" s="12"/>
      <c r="AT45" s="12"/>
      <c r="AU45" s="12"/>
      <c r="AV45" s="12"/>
      <c r="AW45" s="12"/>
      <c r="AX45" s="12"/>
      <c r="AY45" s="12"/>
      <c r="AZ45" s="12"/>
      <c r="BA45" s="12"/>
      <c r="BB45" s="12"/>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row>
    <row r="46" spans="1:99" ht="13.5">
      <c r="A46" s="12"/>
      <c r="B46" s="14"/>
      <c r="C46" s="14"/>
      <c r="D46" s="21"/>
      <c r="E46" s="21"/>
      <c r="F46" s="21"/>
      <c r="G46" s="14"/>
      <c r="H46" s="14"/>
      <c r="I46" s="14"/>
      <c r="J46" s="14"/>
      <c r="K46" s="14"/>
      <c r="L46" s="14"/>
      <c r="M46" s="14"/>
      <c r="N46" s="14"/>
      <c r="O46" s="14"/>
      <c r="P46" s="14"/>
      <c r="Q46" s="14"/>
      <c r="R46" s="14"/>
      <c r="S46" s="14"/>
      <c r="T46" s="14"/>
      <c r="U46" s="14"/>
      <c r="V46" s="19" t="s">
        <v>175</v>
      </c>
      <c r="W46" s="28" t="s">
        <v>122</v>
      </c>
      <c r="X46" s="28" t="s">
        <v>123</v>
      </c>
      <c r="Y46" s="28" t="s">
        <v>124</v>
      </c>
      <c r="Z46" s="14"/>
      <c r="AA46" s="22"/>
      <c r="AB46" s="14"/>
      <c r="AC46" s="14"/>
      <c r="AD46" s="14"/>
      <c r="AE46" s="14"/>
      <c r="AF46" s="14"/>
      <c r="AG46" s="14"/>
      <c r="AH46" s="14"/>
      <c r="AI46" s="14"/>
      <c r="AJ46" s="14"/>
      <c r="AK46" s="14"/>
      <c r="AL46" s="14"/>
      <c r="AM46" s="14"/>
      <c r="AN46" s="14"/>
      <c r="AO46" s="14"/>
      <c r="AP46" s="14"/>
      <c r="AQ46" s="14"/>
      <c r="AR46" s="14"/>
      <c r="AS46" s="12"/>
      <c r="AT46" s="12"/>
      <c r="AU46" s="12"/>
      <c r="AV46" s="12"/>
      <c r="AW46" s="12"/>
      <c r="AX46" s="12"/>
      <c r="AY46" s="12"/>
      <c r="AZ46" s="12"/>
      <c r="BA46" s="12"/>
      <c r="BB46" s="12"/>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row>
    <row r="47" spans="1:99" ht="13.5">
      <c r="A47" s="12"/>
      <c r="B47" s="14"/>
      <c r="C47" s="14"/>
      <c r="D47" s="21"/>
      <c r="E47" s="21"/>
      <c r="F47" s="21"/>
      <c r="G47" s="14"/>
      <c r="H47" s="14"/>
      <c r="I47" s="14"/>
      <c r="J47" s="14"/>
      <c r="K47" s="14"/>
      <c r="L47" s="14"/>
      <c r="M47" s="14"/>
      <c r="N47" s="14"/>
      <c r="O47" s="14"/>
      <c r="P47" s="14"/>
      <c r="Q47" s="14"/>
      <c r="R47" s="14"/>
      <c r="S47" s="14"/>
      <c r="T47" s="14"/>
      <c r="U47" s="14"/>
      <c r="V47" s="22">
        <f>100*(+AD41/$E$9)</f>
        <v>81.38534352329596</v>
      </c>
      <c r="W47" s="29">
        <f>EXP(5.7226-(0.68367*LN(+V47)))</f>
        <v>15.104643549566712</v>
      </c>
      <c r="X47" s="23">
        <f>(+W47*V47)/100</f>
        <v>12.292966040784233</v>
      </c>
      <c r="Y47" s="22">
        <f>100*((((X47/100)-((X47/100)-0.03574)*$E$21)-0.03574-0.00619)/0.344)</f>
        <v>14.92883019452789</v>
      </c>
      <c r="Z47" s="14">
        <f>$E$20</f>
        <v>0.25</v>
      </c>
      <c r="AA47" s="22">
        <f>Y47+Z47</f>
        <v>15.17883019452789</v>
      </c>
      <c r="AB47" s="22">
        <f>100*($E$17*$E$19+($E$18*(AA47/100))/(1-$E$21))</f>
        <v>16.058936540479902</v>
      </c>
      <c r="AC47" s="23">
        <f>AB47/V47</f>
        <v>0.19731976109289442</v>
      </c>
      <c r="AD47" s="21">
        <f>ROUND($E$8/(1-AC47),0)</f>
        <v>629361</v>
      </c>
      <c r="AE47" s="14" t="str">
        <f>IF(OR(OR(AD47=AD41,AD47=(AD41+1)),AD47=(AD33-1)),"yes","not yet")</f>
        <v>yes</v>
      </c>
      <c r="AF47" s="22">
        <f>100*(1-AC47)</f>
        <v>80.26802389071057</v>
      </c>
      <c r="AG47" s="14"/>
      <c r="AH47" s="14"/>
      <c r="AI47" s="14"/>
      <c r="AJ47" s="14"/>
      <c r="AK47" s="14"/>
      <c r="AL47" s="14"/>
      <c r="AM47" s="14"/>
      <c r="AN47" s="14"/>
      <c r="AO47" s="14"/>
      <c r="AP47" s="14"/>
      <c r="AQ47" s="14"/>
      <c r="AR47" s="14"/>
      <c r="AS47" s="12"/>
      <c r="AT47" s="12"/>
      <c r="AU47" s="12"/>
      <c r="AV47" s="12"/>
      <c r="AW47" s="12"/>
      <c r="AX47" s="12"/>
      <c r="AY47" s="12"/>
      <c r="AZ47" s="12"/>
      <c r="BA47" s="12"/>
      <c r="BB47" s="12"/>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row>
    <row r="48" spans="1:99" ht="13.5">
      <c r="A48" s="12"/>
      <c r="B48" s="14"/>
      <c r="C48" s="14"/>
      <c r="D48" s="14"/>
      <c r="E48" s="14"/>
      <c r="F48" s="14"/>
      <c r="G48" s="14"/>
      <c r="H48" s="14"/>
      <c r="I48" s="14"/>
      <c r="J48" s="14"/>
      <c r="K48" s="14"/>
      <c r="L48" s="14"/>
      <c r="M48" s="14"/>
      <c r="N48" s="14"/>
      <c r="O48" s="14"/>
      <c r="P48" s="14"/>
      <c r="Q48" s="14"/>
      <c r="R48" s="14"/>
      <c r="S48" s="14"/>
      <c r="T48" s="14"/>
      <c r="U48" s="14"/>
      <c r="V48" s="22">
        <f>100*(+AD42/$E$9)</f>
        <v>81.05287659541452</v>
      </c>
      <c r="W48" s="29">
        <f>EXP(5.70827-(0.68367*LN(+V48)))</f>
        <v>14.931465935681013</v>
      </c>
      <c r="X48" s="23">
        <f>(+W48*V48)/100</f>
        <v>12.102382658733886</v>
      </c>
      <c r="Y48" s="22">
        <f>100*((((X48/100)-((X48/100)-0.03574)*$E$21)-0.03574-0.00619)/0.344)</f>
        <v>14.563176031291757</v>
      </c>
      <c r="Z48" s="14">
        <f>$E$20</f>
        <v>0.25</v>
      </c>
      <c r="AA48" s="22">
        <f>Y48+Z48</f>
        <v>14.813176031291757</v>
      </c>
      <c r="AB48" s="22">
        <f>100*($E$17*$E$19+($E$18*(AA48/100))/(1-$E$21))</f>
        <v>15.72652366481069</v>
      </c>
      <c r="AC48" s="23">
        <f>AB48/V48</f>
        <v>0.19402795218868768</v>
      </c>
      <c r="AD48" s="21">
        <f>ROUND($E$8/(1-AC48),0)</f>
        <v>626790</v>
      </c>
      <c r="AE48" s="14" t="str">
        <f>IF(OR(OR(AD48=AD42,AD48=(AD42+1)),AD48=(AD42-1)),"yes","not yet")</f>
        <v>yes</v>
      </c>
      <c r="AF48" s="22">
        <f>100*(1-AC48)</f>
        <v>80.59720478113124</v>
      </c>
      <c r="AG48" s="14"/>
      <c r="AH48" s="14"/>
      <c r="AI48" s="14"/>
      <c r="AJ48" s="14"/>
      <c r="AK48" s="14"/>
      <c r="AL48" s="14"/>
      <c r="AM48" s="14"/>
      <c r="AN48" s="14"/>
      <c r="AO48" s="14"/>
      <c r="AP48" s="14"/>
      <c r="AQ48" s="14"/>
      <c r="AR48" s="14"/>
      <c r="AS48" s="12"/>
      <c r="AT48" s="12"/>
      <c r="AU48" s="12"/>
      <c r="AV48" s="12"/>
      <c r="AW48" s="12"/>
      <c r="AX48" s="12"/>
      <c r="AY48" s="12"/>
      <c r="AZ48" s="12"/>
      <c r="BA48" s="12"/>
      <c r="BB48" s="12"/>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row>
    <row r="49" spans="1:99" ht="13.5">
      <c r="A49" s="12"/>
      <c r="B49" s="14"/>
      <c r="C49" s="14"/>
      <c r="D49" s="14"/>
      <c r="E49" s="14"/>
      <c r="F49" s="14"/>
      <c r="G49" s="14"/>
      <c r="H49" s="14"/>
      <c r="I49" s="14"/>
      <c r="J49" s="14"/>
      <c r="K49" s="14"/>
      <c r="L49" s="14"/>
      <c r="M49" s="14"/>
      <c r="N49" s="14"/>
      <c r="O49" s="14"/>
      <c r="P49" s="14"/>
      <c r="Q49" s="14"/>
      <c r="R49" s="14"/>
      <c r="S49" s="14"/>
      <c r="T49" s="14"/>
      <c r="U49" s="14"/>
      <c r="V49" s="22">
        <f>100*(+AD43/$E$9)</f>
        <v>80.82942157737519</v>
      </c>
      <c r="W49" s="29">
        <f>EXP(5.6985-(0.68367*LN(V49)))</f>
        <v>14.814230063414838</v>
      </c>
      <c r="X49" s="23">
        <f>(+W49*V49)/100</f>
        <v>11.974256471399835</v>
      </c>
      <c r="Y49" s="22">
        <f>100*((((X49/100)-((X49/100)-0.03574)*$E$21)-0.03574-0.00619)/0.344)</f>
        <v>14.317352532336894</v>
      </c>
      <c r="Z49" s="14">
        <f>$E$20</f>
        <v>0.25</v>
      </c>
      <c r="AA49" s="22">
        <f>Y49+Z49</f>
        <v>14.567352532336894</v>
      </c>
      <c r="AB49" s="22">
        <f>100*($E$17*$E$19+($E$18*(AA49/100))/(1-$E$21))</f>
        <v>15.503047756669904</v>
      </c>
      <c r="AC49" s="23">
        <f>AB49/V49</f>
        <v>0.19179956325469158</v>
      </c>
      <c r="AD49" s="21">
        <f>ROUND($E$8/(1-AC49),0)</f>
        <v>625062</v>
      </c>
      <c r="AE49" s="14" t="str">
        <f>IF(OR(OR(AD49=AD43,AD49=(AD43+1)),AD49=(AD43-1)),"yes","not yet")</f>
        <v>yes</v>
      </c>
      <c r="AF49" s="22">
        <f>100*(1-AC49)</f>
        <v>80.82004367453084</v>
      </c>
      <c r="AG49" s="14"/>
      <c r="AH49" s="14"/>
      <c r="AI49" s="14"/>
      <c r="AJ49" s="14"/>
      <c r="AK49" s="14"/>
      <c r="AL49" s="14"/>
      <c r="AM49" s="14"/>
      <c r="AN49" s="14"/>
      <c r="AO49" s="14"/>
      <c r="AP49" s="14"/>
      <c r="AQ49" s="14"/>
      <c r="AR49" s="14"/>
      <c r="AS49" s="12"/>
      <c r="AT49" s="12"/>
      <c r="AU49" s="12"/>
      <c r="AV49" s="12"/>
      <c r="AW49" s="12"/>
      <c r="AX49" s="12"/>
      <c r="AY49" s="12"/>
      <c r="AZ49" s="12"/>
      <c r="BA49" s="12"/>
      <c r="BB49" s="12"/>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row>
    <row r="50" spans="1:99" ht="13.5">
      <c r="A50" s="12"/>
      <c r="B50" s="14"/>
      <c r="C50" s="14"/>
      <c r="D50" s="14"/>
      <c r="E50" s="14"/>
      <c r="F50" s="14"/>
      <c r="G50" s="14"/>
      <c r="H50" s="14"/>
      <c r="I50" s="14"/>
      <c r="J50" s="14"/>
      <c r="K50" s="14"/>
      <c r="L50" s="14"/>
      <c r="M50" s="14"/>
      <c r="N50" s="14"/>
      <c r="O50" s="14"/>
      <c r="P50" s="14"/>
      <c r="Q50" s="14"/>
      <c r="R50" s="14"/>
      <c r="S50" s="14"/>
      <c r="T50" s="14"/>
      <c r="U50" s="14"/>
      <c r="V50" s="22">
        <f>100*(+AD44/$E$9)</f>
        <v>80.68665864918339</v>
      </c>
      <c r="W50" s="29">
        <f>EXP(5.6922-(0.68367*LN(V50)))</f>
        <v>14.738996319403078</v>
      </c>
      <c r="X50" s="23">
        <f>(+W50*V50)/100</f>
        <v>11.892403648552465</v>
      </c>
      <c r="Y50" s="22">
        <f>100*((((X50/100)-((X50/100)-0.03574)*$E$21)-0.03574-0.00619)/0.344)</f>
        <v>14.160309325711124</v>
      </c>
      <c r="Z50" s="14">
        <f>$E$20</f>
        <v>0.25</v>
      </c>
      <c r="AA50" s="22">
        <f>Y50+Z50</f>
        <v>14.410309325711124</v>
      </c>
      <c r="AB50" s="22">
        <f>100*($E$17*$E$19+($E$18*(AA50/100))/(1-$E$21))</f>
        <v>15.360281205191933</v>
      </c>
      <c r="AC50" s="23">
        <f>AB50/V50</f>
        <v>0.19036952901937268</v>
      </c>
      <c r="AD50" s="21">
        <f>ROUND($E$8/(1-AC50),0)</f>
        <v>623958</v>
      </c>
      <c r="AE50" s="14" t="str">
        <f>IF(OR(OR(AD50=AD44,AD50=(AD44+1)),AD50=(AD44-1)),"yes","not yet")</f>
        <v>yes</v>
      </c>
      <c r="AF50" s="22">
        <f>100*(1-AC50)</f>
        <v>80.96304709806273</v>
      </c>
      <c r="AG50" s="14"/>
      <c r="AH50" s="14"/>
      <c r="AI50" s="14"/>
      <c r="AJ50" s="14"/>
      <c r="AK50" s="14"/>
      <c r="AL50" s="14"/>
      <c r="AM50" s="14"/>
      <c r="AN50" s="14"/>
      <c r="AO50" s="14"/>
      <c r="AP50" s="14"/>
      <c r="AQ50" s="14"/>
      <c r="AR50" s="14"/>
      <c r="AS50" s="12"/>
      <c r="AT50" s="12"/>
      <c r="AU50" s="12"/>
      <c r="AV50" s="12"/>
      <c r="AW50" s="12"/>
      <c r="AX50" s="12"/>
      <c r="AY50" s="12"/>
      <c r="AZ50" s="12"/>
      <c r="BA50" s="12"/>
      <c r="BB50" s="12"/>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row>
    <row r="51" spans="1:99" ht="13.5">
      <c r="A51" s="12"/>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22"/>
      <c r="AB51" s="14"/>
      <c r="AC51" s="14"/>
      <c r="AD51" s="14"/>
      <c r="AE51" s="14"/>
      <c r="AF51" s="14"/>
      <c r="AG51" s="14"/>
      <c r="AH51" s="14"/>
      <c r="AI51" s="14"/>
      <c r="AJ51" s="14"/>
      <c r="AK51" s="14"/>
      <c r="AL51" s="14"/>
      <c r="AM51" s="14"/>
      <c r="AN51" s="14"/>
      <c r="AO51" s="14"/>
      <c r="AP51" s="14"/>
      <c r="AQ51" s="14"/>
      <c r="AR51" s="14"/>
      <c r="AS51" s="12"/>
      <c r="AT51" s="12"/>
      <c r="AU51" s="12"/>
      <c r="AV51" s="12"/>
      <c r="AW51" s="12"/>
      <c r="AX51" s="12"/>
      <c r="AY51" s="12"/>
      <c r="AZ51" s="12"/>
      <c r="BA51" s="12"/>
      <c r="BB51" s="12"/>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row>
    <row r="52" spans="1:99" ht="13.5">
      <c r="A52" s="12"/>
      <c r="B52" s="14"/>
      <c r="C52" s="14"/>
      <c r="D52" s="14"/>
      <c r="E52" s="14"/>
      <c r="F52" s="14"/>
      <c r="G52" s="14"/>
      <c r="H52" s="14"/>
      <c r="I52" s="14"/>
      <c r="J52" s="14"/>
      <c r="K52" s="14">
        <f>$H52*X$20-J52+28</f>
        <v>28</v>
      </c>
      <c r="L52" s="14"/>
      <c r="M52" s="14"/>
      <c r="N52" s="14"/>
      <c r="O52" s="14"/>
      <c r="P52" s="14"/>
      <c r="Q52" s="14"/>
      <c r="R52" s="14"/>
      <c r="S52" s="14"/>
      <c r="T52" s="14"/>
      <c r="U52" s="14"/>
      <c r="V52" s="19" t="s">
        <v>176</v>
      </c>
      <c r="W52" s="28" t="s">
        <v>122</v>
      </c>
      <c r="X52" s="28" t="s">
        <v>123</v>
      </c>
      <c r="Y52" s="28" t="s">
        <v>124</v>
      </c>
      <c r="Z52" s="14"/>
      <c r="AA52" s="22"/>
      <c r="AB52" s="14"/>
      <c r="AC52" s="14"/>
      <c r="AD52" s="14"/>
      <c r="AE52" s="14"/>
      <c r="AF52" s="14"/>
      <c r="AG52" s="14"/>
      <c r="AH52" s="14"/>
      <c r="AI52" s="14"/>
      <c r="AJ52" s="14"/>
      <c r="AK52" s="14"/>
      <c r="AL52" s="14"/>
      <c r="AM52" s="14"/>
      <c r="AN52" s="14"/>
      <c r="AO52" s="14"/>
      <c r="AP52" s="14"/>
      <c r="AQ52" s="14"/>
      <c r="AR52" s="14"/>
      <c r="AS52" s="12"/>
      <c r="AT52" s="12"/>
      <c r="AU52" s="12"/>
      <c r="AV52" s="12"/>
      <c r="AW52" s="12"/>
      <c r="AX52" s="12"/>
      <c r="AY52" s="12"/>
      <c r="AZ52" s="12"/>
      <c r="BA52" s="12"/>
      <c r="BB52" s="12"/>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row>
    <row r="53" spans="1:99" ht="13.5">
      <c r="A53" s="12"/>
      <c r="B53" s="14"/>
      <c r="C53" s="14"/>
      <c r="D53" s="14"/>
      <c r="E53" s="14"/>
      <c r="F53" s="14"/>
      <c r="G53" s="14"/>
      <c r="H53" s="14"/>
      <c r="I53" s="14"/>
      <c r="J53" s="14"/>
      <c r="K53" s="14"/>
      <c r="L53" s="14"/>
      <c r="M53" s="14"/>
      <c r="N53" s="14"/>
      <c r="O53" s="14"/>
      <c r="P53" s="14"/>
      <c r="Q53" s="14"/>
      <c r="R53" s="14"/>
      <c r="S53" s="14"/>
      <c r="T53" s="14"/>
      <c r="U53" s="14"/>
      <c r="V53" s="22">
        <f>100*(+AD47/$E$9)</f>
        <v>81.38534352329596</v>
      </c>
      <c r="W53" s="29">
        <f>EXP(5.7226-(0.68367*LN(+V53)))</f>
        <v>15.104643549566712</v>
      </c>
      <c r="X53" s="23">
        <f>(+W53*V53)/100</f>
        <v>12.292966040784233</v>
      </c>
      <c r="Y53" s="22">
        <f>100*((((X53/100)-((X53/100)-0.03574)*$E$21)-0.03574-0.00619)/0.344)</f>
        <v>14.92883019452789</v>
      </c>
      <c r="Z53" s="14">
        <f>$E$20</f>
        <v>0.25</v>
      </c>
      <c r="AA53" s="22">
        <f>Y53+Z53</f>
        <v>15.17883019452789</v>
      </c>
      <c r="AB53" s="22">
        <f>100*($E$17*$E$19+($E$18*(AA53/100))/(1-$E$21))</f>
        <v>16.058936540479902</v>
      </c>
      <c r="AC53" s="23">
        <f>AB53/V53</f>
        <v>0.19731976109289442</v>
      </c>
      <c r="AD53" s="21">
        <f>ROUND($E$8/(1-AC53),0)</f>
        <v>629361</v>
      </c>
      <c r="AE53" s="14" t="str">
        <f>IF(OR(OR(AD53=AD47,AD53=(AD47+1)),AD53=(AD39-1)),"yes","not yet")</f>
        <v>yes</v>
      </c>
      <c r="AF53" s="22">
        <f>100*(1-AC53)</f>
        <v>80.26802389071057</v>
      </c>
      <c r="AG53" s="14"/>
      <c r="AH53" s="14"/>
      <c r="AI53" s="14"/>
      <c r="AJ53" s="14"/>
      <c r="AK53" s="14"/>
      <c r="AL53" s="14"/>
      <c r="AM53" s="14"/>
      <c r="AN53" s="14"/>
      <c r="AO53" s="14"/>
      <c r="AP53" s="14"/>
      <c r="AQ53" s="14"/>
      <c r="AR53" s="14"/>
      <c r="AS53" s="12"/>
      <c r="AT53" s="12"/>
      <c r="AU53" s="12"/>
      <c r="AV53" s="12"/>
      <c r="AW53" s="12"/>
      <c r="AX53" s="12"/>
      <c r="AY53" s="12"/>
      <c r="AZ53" s="12"/>
      <c r="BA53" s="12"/>
      <c r="BB53" s="12"/>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row>
    <row r="54" spans="1:99" ht="13.5">
      <c r="A54" s="12"/>
      <c r="B54" s="14"/>
      <c r="C54" s="14"/>
      <c r="D54" s="14"/>
      <c r="E54" s="14"/>
      <c r="F54" s="14"/>
      <c r="G54" s="14"/>
      <c r="H54" s="14"/>
      <c r="I54" s="14"/>
      <c r="J54" s="14"/>
      <c r="K54" s="14"/>
      <c r="L54" s="14"/>
      <c r="M54" s="14"/>
      <c r="N54" s="14"/>
      <c r="O54" s="14"/>
      <c r="P54" s="14"/>
      <c r="Q54" s="14"/>
      <c r="R54" s="14"/>
      <c r="S54" s="14"/>
      <c r="T54" s="14"/>
      <c r="U54" s="14"/>
      <c r="V54" s="22">
        <f>100*(+AD48/$E$9)</f>
        <v>81.05287659541452</v>
      </c>
      <c r="W54" s="29">
        <f>EXP(5.70827-(0.68367*LN(+V54)))</f>
        <v>14.931465935681013</v>
      </c>
      <c r="X54" s="23">
        <f>(+W54*V54)/100</f>
        <v>12.102382658733886</v>
      </c>
      <c r="Y54" s="22">
        <f>100*((((X54/100)-((X54/100)-0.03574)*$E$21)-0.03574-0.00619)/0.344)</f>
        <v>14.563176031291757</v>
      </c>
      <c r="Z54" s="14">
        <f>$E$20</f>
        <v>0.25</v>
      </c>
      <c r="AA54" s="22">
        <f>Y54+Z54</f>
        <v>14.813176031291757</v>
      </c>
      <c r="AB54" s="22">
        <f>100*($E$17*$E$19+($E$18*(AA54/100))/(1-$E$21))</f>
        <v>15.72652366481069</v>
      </c>
      <c r="AC54" s="23">
        <f>AB54/V54</f>
        <v>0.19402795218868768</v>
      </c>
      <c r="AD54" s="21">
        <f>ROUND($E$8/(1-AC54),0)</f>
        <v>626790</v>
      </c>
      <c r="AE54" s="14" t="str">
        <f>IF(OR(OR(AD54=AD48,AD54=(AD48+1)),AD54=(AD48-1)),"yes","not yet")</f>
        <v>yes</v>
      </c>
      <c r="AF54" s="22">
        <f>100*(1-AC54)</f>
        <v>80.59720478113124</v>
      </c>
      <c r="AG54" s="14"/>
      <c r="AH54" s="14"/>
      <c r="AI54" s="14"/>
      <c r="AJ54" s="14"/>
      <c r="AK54" s="14"/>
      <c r="AL54" s="14"/>
      <c r="AM54" s="14"/>
      <c r="AN54" s="14"/>
      <c r="AO54" s="14"/>
      <c r="AP54" s="14"/>
      <c r="AQ54" s="14"/>
      <c r="AR54" s="14"/>
      <c r="AS54" s="12"/>
      <c r="AT54" s="12"/>
      <c r="AU54" s="12"/>
      <c r="AV54" s="12"/>
      <c r="AW54" s="12"/>
      <c r="AX54" s="12"/>
      <c r="AY54" s="12"/>
      <c r="AZ54" s="12"/>
      <c r="BA54" s="12"/>
      <c r="BB54" s="12"/>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row>
    <row r="55" spans="1:99" ht="13.5">
      <c r="A55" s="12"/>
      <c r="B55" s="14"/>
      <c r="C55" s="14"/>
      <c r="D55" s="14"/>
      <c r="E55" s="14"/>
      <c r="F55" s="14"/>
      <c r="G55" s="14"/>
      <c r="H55" s="14"/>
      <c r="I55" s="14"/>
      <c r="J55" s="14"/>
      <c r="K55" s="14"/>
      <c r="L55" s="14"/>
      <c r="M55" s="14"/>
      <c r="N55" s="14"/>
      <c r="O55" s="14"/>
      <c r="P55" s="14"/>
      <c r="Q55" s="14"/>
      <c r="R55" s="14"/>
      <c r="S55" s="14"/>
      <c r="T55" s="14"/>
      <c r="U55" s="14"/>
      <c r="V55" s="22">
        <f>100*(+AD49/$E$9)</f>
        <v>80.82942157737519</v>
      </c>
      <c r="W55" s="29">
        <f>EXP(5.6985-(0.68367*LN(V55)))</f>
        <v>14.814230063414838</v>
      </c>
      <c r="X55" s="23">
        <f>(+W55*V55)/100</f>
        <v>11.974256471399835</v>
      </c>
      <c r="Y55" s="22">
        <f>100*((((X55/100)-((X55/100)-0.03574)*$E$21)-0.03574-0.00619)/0.344)</f>
        <v>14.317352532336894</v>
      </c>
      <c r="Z55" s="14">
        <f>$E$20</f>
        <v>0.25</v>
      </c>
      <c r="AA55" s="22">
        <f>Y55+Z55</f>
        <v>14.567352532336894</v>
      </c>
      <c r="AB55" s="22">
        <f>100*($E$17*$E$19+($E$18*(AA55/100))/(1-$E$21))</f>
        <v>15.503047756669904</v>
      </c>
      <c r="AC55" s="23">
        <f>AB55/V55</f>
        <v>0.19179956325469158</v>
      </c>
      <c r="AD55" s="21">
        <f>ROUND($E$8/(1-AC55),0)</f>
        <v>625062</v>
      </c>
      <c r="AE55" s="14" t="str">
        <f>IF(OR(OR(AD55=AD49,AD55=(AD49+1)),AD55=(AD49-1)),"yes","not yet")</f>
        <v>yes</v>
      </c>
      <c r="AF55" s="22">
        <f>100*(1-AC55)</f>
        <v>80.82004367453084</v>
      </c>
      <c r="AG55" s="14"/>
      <c r="AH55" s="14"/>
      <c r="AI55" s="14"/>
      <c r="AJ55" s="14"/>
      <c r="AK55" s="14"/>
      <c r="AL55" s="14"/>
      <c r="AM55" s="14"/>
      <c r="AN55" s="14"/>
      <c r="AO55" s="14"/>
      <c r="AP55" s="14"/>
      <c r="AQ55" s="14"/>
      <c r="AR55" s="14"/>
      <c r="AS55" s="12"/>
      <c r="AT55" s="12"/>
      <c r="AU55" s="12"/>
      <c r="AV55" s="12"/>
      <c r="AW55" s="12"/>
      <c r="AX55" s="12"/>
      <c r="AY55" s="12"/>
      <c r="AZ55" s="12"/>
      <c r="BA55" s="12"/>
      <c r="BB55" s="12"/>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row>
    <row r="56" spans="1:99" ht="13.5">
      <c r="A56" s="12"/>
      <c r="B56" s="14"/>
      <c r="C56" s="14"/>
      <c r="D56" s="14"/>
      <c r="E56" s="14"/>
      <c r="F56" s="14"/>
      <c r="G56" s="14"/>
      <c r="H56" s="14"/>
      <c r="I56" s="14"/>
      <c r="J56" s="14"/>
      <c r="K56" s="14"/>
      <c r="L56" s="14"/>
      <c r="M56" s="14"/>
      <c r="N56" s="14"/>
      <c r="O56" s="14"/>
      <c r="P56" s="14"/>
      <c r="Q56" s="14"/>
      <c r="R56" s="14"/>
      <c r="S56" s="14"/>
      <c r="T56" s="14"/>
      <c r="U56" s="14"/>
      <c r="V56" s="22">
        <f>100*(+AD50/$E$9)</f>
        <v>80.68665864918339</v>
      </c>
      <c r="W56" s="29">
        <f>EXP(5.6922-(0.68367*LN(V56)))</f>
        <v>14.738996319403078</v>
      </c>
      <c r="X56" s="23">
        <f>(+W56*V56)/100</f>
        <v>11.892403648552465</v>
      </c>
      <c r="Y56" s="22">
        <f>100*((((X56/100)-((X56/100)-0.03574)*$E$21)-0.03574-0.00619)/0.344)</f>
        <v>14.160309325711124</v>
      </c>
      <c r="Z56" s="14">
        <f>$E$20</f>
        <v>0.25</v>
      </c>
      <c r="AA56" s="22">
        <f>Y56+Z56</f>
        <v>14.410309325711124</v>
      </c>
      <c r="AB56" s="22">
        <f>100*($E$17*$E$19+($E$18*(AA56/100))/(1-$E$21))</f>
        <v>15.360281205191933</v>
      </c>
      <c r="AC56" s="23">
        <f>AB56/V56</f>
        <v>0.19036952901937268</v>
      </c>
      <c r="AD56" s="21">
        <f>ROUND($E$8/(1-AC56),0)</f>
        <v>623958</v>
      </c>
      <c r="AE56" s="14" t="str">
        <f>IF(OR(OR(AD56=AD50,AD56=(AD50+1)),AD56=(AD50-1)),"yes","not yet")</f>
        <v>yes</v>
      </c>
      <c r="AF56" s="22">
        <f>100*(1-AC56)</f>
        <v>80.96304709806273</v>
      </c>
      <c r="AG56" s="14"/>
      <c r="AH56" s="14"/>
      <c r="AI56" s="14"/>
      <c r="AJ56" s="14"/>
      <c r="AK56" s="14"/>
      <c r="AL56" s="14"/>
      <c r="AM56" s="14"/>
      <c r="AN56" s="14"/>
      <c r="AO56" s="14"/>
      <c r="AP56" s="14"/>
      <c r="AQ56" s="14"/>
      <c r="AR56" s="14"/>
      <c r="AS56" s="12"/>
      <c r="AT56" s="12"/>
      <c r="AU56" s="12"/>
      <c r="AV56" s="12"/>
      <c r="AW56" s="12"/>
      <c r="AX56" s="12"/>
      <c r="AY56" s="12"/>
      <c r="AZ56" s="12"/>
      <c r="BA56" s="12"/>
      <c r="BB56" s="12"/>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row>
    <row r="57" spans="1:99" ht="13.5">
      <c r="A57" s="12"/>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22"/>
      <c r="AB57" s="14"/>
      <c r="AC57" s="14"/>
      <c r="AD57" s="14"/>
      <c r="AE57" s="14"/>
      <c r="AF57" s="14"/>
      <c r="AG57" s="14"/>
      <c r="AH57" s="14"/>
      <c r="AI57" s="14"/>
      <c r="AJ57" s="14"/>
      <c r="AK57" s="14"/>
      <c r="AL57" s="14"/>
      <c r="AM57" s="14"/>
      <c r="AN57" s="14"/>
      <c r="AO57" s="14"/>
      <c r="AP57" s="14"/>
      <c r="AQ57" s="14"/>
      <c r="AR57" s="14"/>
      <c r="AS57" s="12"/>
      <c r="AT57" s="12"/>
      <c r="AU57" s="12"/>
      <c r="AV57" s="12"/>
      <c r="AW57" s="12"/>
      <c r="AX57" s="12"/>
      <c r="AY57" s="12"/>
      <c r="AZ57" s="12"/>
      <c r="BA57" s="12"/>
      <c r="BB57" s="12"/>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row>
    <row r="58" spans="1:99" ht="13.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row>
    <row r="59" spans="1:99" ht="13.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row>
    <row r="60" spans="1:99" ht="13.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row>
    <row r="61" spans="1:99" ht="13.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row>
    <row r="62" spans="1:99" ht="13.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row>
    <row r="63" spans="1:99" ht="13.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row>
    <row r="64" spans="1:99" ht="13.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row>
    <row r="65" spans="1:99" ht="13.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row>
    <row r="66" spans="1:99" ht="13.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row>
    <row r="67" spans="1:99" ht="13.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row>
    <row r="68" spans="1:99" ht="13.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row>
    <row r="69" spans="1:99" ht="13.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row>
    <row r="70" spans="1:99" ht="13.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row>
    <row r="71" spans="1:99" ht="13.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row>
    <row r="72" spans="1:99" ht="13.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row>
    <row r="73" spans="1:99" ht="13.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row>
    <row r="74" spans="1:99" ht="13.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row>
    <row r="75" spans="1:99" ht="13.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row>
    <row r="76" spans="1:99" ht="13.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row>
    <row r="77" spans="1:99" ht="13.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row>
    <row r="78" spans="1:99" ht="13.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row>
    <row r="79" spans="1:99" ht="13.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row>
    <row r="80" spans="1:99" ht="13.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row>
    <row r="81" spans="1:99" ht="13.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row>
    <row r="82" spans="1:99" ht="13.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row>
    <row r="83" spans="1:99" ht="13.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row>
    <row r="84" spans="1:99" ht="13.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row>
    <row r="85" spans="1:99" ht="13.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row>
    <row r="86" spans="1:99" ht="13.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row>
    <row r="87" spans="1:99" ht="13.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row>
    <row r="88" spans="1:99" ht="13.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row>
    <row r="89" spans="1:99" ht="13.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row>
    <row r="90" spans="1:99" ht="13.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row>
    <row r="91" spans="1:99" ht="13.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row>
    <row r="92" spans="1:99" ht="13.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row>
    <row r="93" spans="1:99" ht="13.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row>
    <row r="94" spans="1:99" ht="13.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row>
    <row r="95" spans="1:99" ht="13.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row>
    <row r="96" spans="1:99" ht="13.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row>
    <row r="97" spans="1:99" ht="13.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row>
    <row r="98" spans="1:99" ht="13.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row>
    <row r="99" spans="1:99" ht="13.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row>
    <row r="100" spans="1:99" ht="13.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row>
    <row r="101" spans="1:99" ht="13.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row>
    <row r="102" spans="1:99" ht="13.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row>
    <row r="103" spans="1:99" ht="13.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row>
    <row r="104" spans="1:99" ht="13.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row>
    <row r="105" spans="1:99" ht="13.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row>
    <row r="106" spans="1:99" ht="13.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row>
    <row r="107" spans="1:99" ht="13.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row>
    <row r="108" spans="1:99" ht="13.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row>
    <row r="109" spans="1:99" ht="13.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row>
    <row r="110" spans="1:99" ht="13.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row>
    <row r="111" spans="1:99" ht="13.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row>
    <row r="112" spans="1:99" ht="13.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row>
    <row r="113" spans="1:99" ht="13.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row>
    <row r="114" spans="1:99" ht="13.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row>
    <row r="115" spans="1:99" ht="13.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row>
    <row r="116" spans="1:99" ht="13.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row>
    <row r="117" spans="1:99" ht="13.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row>
    <row r="118" spans="1:99" ht="13.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row>
    <row r="119" spans="1:99" ht="13.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row>
    <row r="120" spans="1:99" ht="13.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row>
    <row r="121" spans="1:99" ht="13.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row>
    <row r="122" spans="1:99" ht="13.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row>
    <row r="123" spans="1:99" ht="13.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row>
    <row r="124" spans="1:99" ht="13.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row>
    <row r="125" spans="1:99" ht="13.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row>
    <row r="126" spans="1:99" ht="13.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row>
    <row r="127" spans="1:99" ht="13.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row>
    <row r="128" spans="1:99" ht="13.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row>
    <row r="129" spans="1:99" ht="13.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row>
    <row r="130" spans="1:99" ht="13.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row>
    <row r="131" spans="1:99" ht="13.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row>
    <row r="132" spans="1:99" ht="13.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row>
    <row r="133" spans="1:99" ht="13.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row>
    <row r="134" spans="1:99" ht="13.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row>
    <row r="135" spans="1:99" ht="13.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row>
    <row r="136" spans="1:99" ht="13.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row>
    <row r="137" spans="1:99" ht="13.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row>
    <row r="138" spans="1:99" ht="13.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row>
    <row r="139" spans="1:99" ht="13.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row>
    <row r="140" spans="1:99" ht="13.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row>
    <row r="141" spans="1:99" ht="13.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row>
    <row r="142" spans="1:99" ht="13.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row>
    <row r="143" spans="1:99" ht="13.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row>
    <row r="144" spans="1:99" ht="13.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row>
    <row r="145" spans="1:99" ht="13.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row>
    <row r="146" spans="1:99" ht="13.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row>
    <row r="147" spans="1:99" ht="13.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row>
    <row r="148" spans="1:99" ht="13.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row>
    <row r="149" spans="1:99" ht="13.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row>
    <row r="150" spans="1:99" ht="13.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row>
    <row r="151" spans="1:99" ht="13.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row>
    <row r="152" spans="1:99" ht="13.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row>
    <row r="153" spans="1:99" ht="13.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row>
    <row r="154" spans="1:99" ht="13.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row>
    <row r="155" spans="1:99" ht="13.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row>
    <row r="156" spans="1:99" ht="13.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row>
    <row r="157" spans="1:99" ht="13.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row>
    <row r="158" spans="1:99" ht="13.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row>
    <row r="159" spans="1:99" ht="13.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row>
    <row r="160" spans="1:99" ht="13.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row>
    <row r="161" spans="1:99" ht="13.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row>
    <row r="162" spans="1:99" ht="13.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row>
    <row r="163" spans="1:99" ht="13.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row>
    <row r="164" spans="1:99" ht="13.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row>
    <row r="165" spans="1:99" ht="13.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row>
    <row r="166" spans="1:99" ht="13.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row>
    <row r="167" spans="1:99" ht="13.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row>
    <row r="168" spans="1:99" ht="13.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row>
    <row r="169" spans="1:99" ht="13.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row>
    <row r="170" spans="1:99" ht="13.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row>
    <row r="171" spans="1:99" ht="13.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row>
    <row r="172" spans="1:99" ht="13.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row>
    <row r="173" spans="1:99" ht="13.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row>
    <row r="174" spans="1:99" ht="13.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row>
    <row r="175" spans="1:99" ht="13.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row>
    <row r="176" spans="1:99" ht="13.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row>
    <row r="177" spans="1:99" ht="13.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row>
    <row r="178" spans="1:99" ht="13.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row>
    <row r="179" spans="1:99" ht="13.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row>
    <row r="180" spans="1:99" ht="13.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row>
    <row r="181" spans="1:99" ht="13.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row>
    <row r="182" spans="1:99" ht="13.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row>
    <row r="183" spans="1:99" ht="13.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row>
    <row r="184" spans="1:99" ht="13.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row>
    <row r="185" spans="1:99" ht="13.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row>
    <row r="186" spans="1:99" ht="13.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row>
    <row r="187" spans="1:99" ht="13.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row>
    <row r="188" spans="1:99" ht="13.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row>
    <row r="189" spans="1:99" ht="13.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row>
    <row r="190" spans="1:99" ht="13.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row>
    <row r="191" spans="1:99" ht="13.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row>
    <row r="192" spans="1:99" ht="13.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row>
    <row r="193" spans="1:99" ht="13.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row>
    <row r="194" spans="1:99" ht="13.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row>
    <row r="195" spans="1:99" ht="13.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row>
    <row r="196" spans="1:99" ht="13.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row>
    <row r="197" spans="1:99" ht="13.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row>
    <row r="198" spans="1:99" ht="13.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row>
    <row r="199" spans="1:99" ht="13.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row>
    <row r="200" spans="1:99" ht="13.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row>
    <row r="201" spans="1:99" ht="13.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row>
    <row r="202" spans="1:99" ht="13.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row>
    <row r="203" spans="1:99" ht="13.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row>
    <row r="204" spans="1:99" ht="13.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row>
    <row r="205" spans="1:99" ht="13.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row>
    <row r="206" spans="1:99" ht="13.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row>
    <row r="207" spans="1:99" ht="13.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row>
    <row r="208" spans="1:99" ht="13.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row>
    <row r="209" spans="1:99" ht="13.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row>
    <row r="210" spans="1:99" ht="13.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row>
    <row r="211" spans="1:99" ht="13.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row>
    <row r="212" spans="1:99" ht="13.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row>
    <row r="213" spans="1:99" ht="13.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row>
    <row r="214" spans="1:99" ht="13.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row>
    <row r="215" spans="1:99" ht="13.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row>
    <row r="216" spans="1:99" ht="13.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row>
    <row r="217" spans="1:99" ht="13.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row>
    <row r="218" spans="1:99" ht="13.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row>
    <row r="219" spans="1:99" ht="13.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row>
    <row r="220" spans="1:99" ht="13.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row>
    <row r="221" spans="1:99" ht="13.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row>
    <row r="222" spans="1:99" ht="13.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row>
    <row r="223" spans="1:99" ht="13.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row>
    <row r="224" spans="1:99" ht="13.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row>
    <row r="225" spans="1:99" ht="13.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row>
    <row r="226" spans="1:99" ht="13.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row>
    <row r="227" spans="1:99" ht="13.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row>
    <row r="228" spans="1:99" ht="13.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row>
    <row r="229" spans="1:99" ht="13.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row>
    <row r="230" spans="1:99" ht="13.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row>
    <row r="231" spans="1:99" ht="13.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row>
    <row r="232" spans="1:99" ht="13.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row>
    <row r="233" spans="1:99" ht="13.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row>
    <row r="234" spans="1:99" ht="13.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row>
    <row r="235" spans="1:99" ht="13.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row>
    <row r="236" spans="1:99" ht="13.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row>
    <row r="237" spans="1:99" ht="13.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row>
    <row r="238" spans="1:99" ht="13.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row>
    <row r="239" spans="1:99" ht="13.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row>
    <row r="240" spans="1:99" ht="13.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row>
    <row r="241" spans="1:99" ht="13.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row>
    <row r="242" spans="1:99" ht="13.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row>
    <row r="243" spans="1:99" ht="13.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row>
    <row r="244" spans="1:99" ht="13.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row>
    <row r="245" spans="1:99" ht="13.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row>
    <row r="246" spans="1:99" ht="13.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row>
    <row r="247" spans="1:99" ht="13.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row>
    <row r="248" spans="1:99" ht="13.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row>
    <row r="249" spans="1:99" ht="13.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row>
    <row r="250" spans="1:99" ht="13.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row>
    <row r="251" spans="1:99" ht="13.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row>
    <row r="252" spans="1:99" ht="13.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row>
    <row r="253" spans="1:99" ht="13.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row>
    <row r="254" spans="1:99" ht="13.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row>
    <row r="255" spans="1:99" ht="13.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row>
    <row r="256" spans="1:99" ht="13.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row>
    <row r="257" spans="1:99" ht="13.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row>
    <row r="258" spans="1:99" ht="13.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row>
    <row r="259" spans="1:99" ht="13.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row>
    <row r="260" spans="1:99" ht="13.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row>
    <row r="261" spans="1:99" ht="13.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row>
    <row r="262" spans="1:99" ht="13.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row>
    <row r="263" spans="1:99" ht="13.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row>
    <row r="264" spans="1:99" ht="13.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row>
    <row r="265" spans="1:99" ht="13.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row>
    <row r="266" spans="1:99" ht="13.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row>
    <row r="267" spans="1:99" ht="13.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row>
    <row r="268" spans="1:99" ht="13.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row>
    <row r="269" spans="1:99" ht="13.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row>
    <row r="270" spans="1:99" ht="13.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row>
    <row r="271" spans="1:99" ht="13.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row>
    <row r="272" spans="1:99" ht="13.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row>
    <row r="273" spans="1:99" ht="13.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row>
    <row r="274" spans="1:99" ht="13.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row>
    <row r="275" spans="1:99" ht="13.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row>
    <row r="276" spans="1:99" ht="13.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row>
    <row r="277" spans="1:99" ht="13.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row>
    <row r="278" spans="1:99" ht="13.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row>
    <row r="279" spans="1:99" ht="13.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row>
    <row r="280" spans="1:99" ht="13.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row>
    <row r="281" spans="1:99" ht="13.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row>
    <row r="282" spans="1:99" ht="13.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row>
    <row r="283" spans="1:99" ht="13.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row>
    <row r="284" spans="1:99" ht="13.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row>
    <row r="285" spans="1:99" ht="13.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row>
    <row r="286" spans="1:99" ht="13.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row>
    <row r="287" spans="1:99" ht="13.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row>
    <row r="288" spans="1:99" ht="13.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row>
    <row r="289" spans="1:99" ht="13.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row>
    <row r="290" spans="1:99" ht="13.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row>
    <row r="291" spans="1:99" ht="13.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row>
    <row r="292" spans="1:99" ht="13.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row>
    <row r="293" spans="1:99" ht="13.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row>
    <row r="294" spans="1:99" ht="13.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row>
    <row r="295" spans="1:99" ht="13.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row>
    <row r="296" spans="1:99" ht="13.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row>
    <row r="297" spans="1:99" ht="13.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row>
    <row r="298" spans="1:99" ht="13.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row>
    <row r="299" spans="1:99" ht="13.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row>
    <row r="300" spans="1:99" ht="13.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row>
    <row r="301" spans="1:99" ht="13.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row>
    <row r="302" spans="1:99" ht="13.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row>
    <row r="303" spans="1:99" ht="13.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row>
    <row r="304" spans="1:99" ht="13.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row>
    <row r="305" spans="1:99" ht="13.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row>
    <row r="306" spans="1:99" ht="13.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row>
    <row r="307" spans="1:99" ht="13.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row>
    <row r="308" spans="1:99" ht="13.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row>
    <row r="309" spans="1:99" ht="13.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row>
    <row r="310" spans="1:99" ht="13.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row>
    <row r="311" spans="1:99" ht="13.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row>
    <row r="312" spans="1:99" ht="13.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row>
    <row r="313" spans="1:99" ht="13.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row>
    <row r="314" spans="1:99" ht="13.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row>
    <row r="315" spans="1:99" ht="13.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row>
    <row r="316" spans="1:99" ht="13.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row>
    <row r="317" spans="1:99" ht="13.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row>
    <row r="318" spans="1:99" ht="13.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row>
    <row r="319" spans="1:99" ht="13.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row>
    <row r="320" spans="1:99" ht="13.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row>
    <row r="321" spans="1:99" ht="13.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row>
    <row r="322" spans="1:99" ht="13.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row>
    <row r="323" spans="1:99" ht="13.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row>
    <row r="324" spans="1:99" ht="13.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row>
    <row r="325" spans="1:99" ht="13.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row>
    <row r="326" spans="1:99" ht="13.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row>
    <row r="327" spans="1:99" ht="13.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row>
    <row r="328" spans="1:99" ht="13.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row>
    <row r="329" spans="1:99" ht="13.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row>
    <row r="330" spans="1:99" ht="13.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row>
    <row r="331" spans="1:99" ht="13.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row>
    <row r="332" spans="1:99" ht="13.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row>
    <row r="333" spans="1:99" ht="13.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row>
    <row r="334" spans="1:99" ht="13.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row>
    <row r="335" spans="1:99" ht="13.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row>
    <row r="336" spans="1:99" ht="13.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row>
    <row r="337" spans="1:99" ht="13.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row>
    <row r="338" spans="1:99" ht="13.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row>
    <row r="339" spans="1:99" ht="13.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row>
    <row r="340" spans="1:99" ht="13.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row>
    <row r="341" spans="1:99" ht="13.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c r="CP341" s="13"/>
      <c r="CQ341" s="13"/>
      <c r="CR341" s="13"/>
      <c r="CS341" s="13"/>
      <c r="CT341" s="13"/>
      <c r="CU341" s="13"/>
    </row>
    <row r="342" spans="1:99" ht="13.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row>
    <row r="343" spans="1:99" ht="13.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row>
    <row r="344" spans="1:99" ht="13.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row>
    <row r="345" spans="1:99" ht="13.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row>
    <row r="346" spans="1:99" ht="13.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row>
    <row r="347" spans="1:99" ht="13.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row>
    <row r="348" spans="1:99" ht="13.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row>
    <row r="349" spans="1:99" ht="13.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row>
    <row r="350" spans="1:99" ht="13.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row>
    <row r="351" spans="1:99" ht="13.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row>
    <row r="352" spans="1:99" ht="13.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row>
    <row r="353" spans="1:99" ht="13.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row>
    <row r="354" spans="1:99" ht="13.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row>
    <row r="355" spans="1:99" ht="13.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row>
    <row r="356" spans="1:99" ht="13.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row>
    <row r="357" spans="1:99" ht="13.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row>
    <row r="358" spans="1:99" ht="13.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row>
    <row r="359" spans="1:99" ht="13.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row>
    <row r="360" spans="1:99" ht="13.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c r="CP360" s="13"/>
      <c r="CQ360" s="13"/>
      <c r="CR360" s="13"/>
      <c r="CS360" s="13"/>
      <c r="CT360" s="13"/>
      <c r="CU360" s="13"/>
    </row>
    <row r="361" spans="1:99" ht="12.75">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row>
    <row r="362" spans="1:99" ht="12.75">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row>
    <row r="363" spans="1:99" ht="12.75">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c r="CP363" s="13"/>
      <c r="CQ363" s="13"/>
      <c r="CR363" s="13"/>
      <c r="CS363" s="13"/>
      <c r="CT363" s="13"/>
      <c r="CU363" s="13"/>
    </row>
    <row r="364" spans="1:99" ht="12.75">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c r="CP364" s="13"/>
      <c r="CQ364" s="13"/>
      <c r="CR364" s="13"/>
      <c r="CS364" s="13"/>
      <c r="CT364" s="13"/>
      <c r="CU364" s="13"/>
    </row>
    <row r="365" spans="1:99" ht="12.75">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13"/>
      <c r="CJ365" s="13"/>
      <c r="CK365" s="13"/>
      <c r="CL365" s="13"/>
      <c r="CM365" s="13"/>
      <c r="CN365" s="13"/>
      <c r="CO365" s="13"/>
      <c r="CP365" s="13"/>
      <c r="CQ365" s="13"/>
      <c r="CR365" s="13"/>
      <c r="CS365" s="13"/>
      <c r="CT365" s="13"/>
      <c r="CU365" s="13"/>
    </row>
    <row r="366" spans="1:99" ht="12.75">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row>
    <row r="367" spans="1:99" ht="12.75">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c r="CP367" s="13"/>
      <c r="CQ367" s="13"/>
      <c r="CR367" s="13"/>
      <c r="CS367" s="13"/>
      <c r="CT367" s="13"/>
      <c r="CU367" s="13"/>
    </row>
    <row r="368" spans="1:99" ht="12.75">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row>
    <row r="369" spans="1:99" ht="12.75">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row>
    <row r="370" spans="1:99" ht="12.75">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row>
    <row r="371" spans="1:99" ht="12.75">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row>
    <row r="372" spans="1:99" ht="12.75">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row>
    <row r="373" spans="1:99" ht="12.75">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c r="CP373" s="13"/>
      <c r="CQ373" s="13"/>
      <c r="CR373" s="13"/>
      <c r="CS373" s="13"/>
      <c r="CT373" s="13"/>
      <c r="CU373" s="13"/>
    </row>
    <row r="374" spans="1:99" ht="12.75">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row>
    <row r="375" spans="1:99" ht="12.7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row>
    <row r="376" spans="1:99" ht="12.75">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row>
    <row r="377" spans="1:99" ht="12.75">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13"/>
      <c r="CJ377" s="13"/>
      <c r="CK377" s="13"/>
      <c r="CL377" s="13"/>
      <c r="CM377" s="13"/>
      <c r="CN377" s="13"/>
      <c r="CO377" s="13"/>
      <c r="CP377" s="13"/>
      <c r="CQ377" s="13"/>
      <c r="CR377" s="13"/>
      <c r="CS377" s="13"/>
      <c r="CT377" s="13"/>
      <c r="CU377" s="13"/>
    </row>
    <row r="378" spans="1:99" ht="12.75">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13"/>
      <c r="CJ378" s="13"/>
      <c r="CK378" s="13"/>
      <c r="CL378" s="13"/>
      <c r="CM378" s="13"/>
      <c r="CN378" s="13"/>
      <c r="CO378" s="13"/>
      <c r="CP378" s="13"/>
      <c r="CQ378" s="13"/>
      <c r="CR378" s="13"/>
      <c r="CS378" s="13"/>
      <c r="CT378" s="13"/>
      <c r="CU378" s="13"/>
    </row>
    <row r="379" spans="1:99" ht="12.75">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c r="CR379" s="13"/>
      <c r="CS379" s="13"/>
      <c r="CT379" s="13"/>
      <c r="CU379" s="13"/>
    </row>
    <row r="380" spans="1:99" ht="12.75">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c r="CE380" s="13"/>
      <c r="CF380" s="13"/>
      <c r="CG380" s="13"/>
      <c r="CH380" s="13"/>
      <c r="CI380" s="13"/>
      <c r="CJ380" s="13"/>
      <c r="CK380" s="13"/>
      <c r="CL380" s="13"/>
      <c r="CM380" s="13"/>
      <c r="CN380" s="13"/>
      <c r="CO380" s="13"/>
      <c r="CP380" s="13"/>
      <c r="CQ380" s="13"/>
      <c r="CR380" s="13"/>
      <c r="CS380" s="13"/>
      <c r="CT380" s="13"/>
      <c r="CU380" s="13"/>
    </row>
    <row r="381" spans="1:99" ht="12.75">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c r="CP381" s="13"/>
      <c r="CQ381" s="13"/>
      <c r="CR381" s="13"/>
      <c r="CS381" s="13"/>
      <c r="CT381" s="13"/>
      <c r="CU381" s="13"/>
    </row>
    <row r="382" spans="1:99" ht="12.75">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row>
    <row r="383" spans="1:99" ht="12.75">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row>
    <row r="384" spans="1:99" ht="12.75">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row>
    <row r="385" spans="1:99" ht="12.75">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row>
    <row r="386" spans="1:99" ht="12.75">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row>
    <row r="387" spans="1:99" ht="12.75">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row>
    <row r="388" spans="1:99" ht="12.75">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row>
    <row r="389" spans="1:99" ht="12.75">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row>
    <row r="390" spans="1:99" ht="12.75">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row>
    <row r="391" spans="1:99" ht="12.75">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row>
    <row r="392" spans="1:99" ht="12.75">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3"/>
      <c r="CS392" s="13"/>
      <c r="CT392" s="13"/>
      <c r="CU392" s="13"/>
    </row>
    <row r="393" spans="1:99" ht="12.75">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3"/>
      <c r="CS393" s="13"/>
      <c r="CT393" s="13"/>
      <c r="CU393" s="13"/>
    </row>
    <row r="394" spans="1:99" ht="12.75">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3"/>
      <c r="CS394" s="13"/>
      <c r="CT394" s="13"/>
      <c r="CU394" s="13"/>
    </row>
    <row r="395" spans="1:99" ht="12.75">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3"/>
      <c r="CS395" s="13"/>
      <c r="CT395" s="13"/>
      <c r="CU395" s="13"/>
    </row>
    <row r="396" spans="1:99" ht="12.75">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row>
    <row r="397" spans="1:99" ht="12.75">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3"/>
      <c r="CS397" s="13"/>
      <c r="CT397" s="13"/>
      <c r="CU397" s="13"/>
    </row>
    <row r="398" spans="1:99" ht="12.75">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row>
    <row r="399" spans="1:99" ht="12.75">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3"/>
      <c r="CS399" s="13"/>
      <c r="CT399" s="13"/>
      <c r="CU399" s="13"/>
    </row>
    <row r="400" spans="1:99" ht="12.75">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3"/>
      <c r="CS400" s="13"/>
      <c r="CT400" s="13"/>
      <c r="CU400" s="13"/>
    </row>
    <row r="401" spans="1:99" ht="12.75">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13"/>
      <c r="CJ401" s="13"/>
      <c r="CK401" s="13"/>
      <c r="CL401" s="13"/>
      <c r="CM401" s="13"/>
      <c r="CN401" s="13"/>
      <c r="CO401" s="13"/>
      <c r="CP401" s="13"/>
      <c r="CQ401" s="13"/>
      <c r="CR401" s="13"/>
      <c r="CS401" s="13"/>
      <c r="CT401" s="13"/>
      <c r="CU401" s="13"/>
    </row>
    <row r="402" spans="1:99" ht="12.75">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c r="CP402" s="13"/>
      <c r="CQ402" s="13"/>
      <c r="CR402" s="13"/>
      <c r="CS402" s="13"/>
      <c r="CT402" s="13"/>
      <c r="CU402" s="13"/>
    </row>
    <row r="403" spans="1:99" ht="12.75">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c r="CE403" s="13"/>
      <c r="CF403" s="13"/>
      <c r="CG403" s="13"/>
      <c r="CH403" s="13"/>
      <c r="CI403" s="13"/>
      <c r="CJ403" s="13"/>
      <c r="CK403" s="13"/>
      <c r="CL403" s="13"/>
      <c r="CM403" s="13"/>
      <c r="CN403" s="13"/>
      <c r="CO403" s="13"/>
      <c r="CP403" s="13"/>
      <c r="CQ403" s="13"/>
      <c r="CR403" s="13"/>
      <c r="CS403" s="13"/>
      <c r="CT403" s="13"/>
      <c r="CU403" s="13"/>
    </row>
    <row r="404" spans="1:99" ht="12.75">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c r="CA404" s="13"/>
      <c r="CB404" s="13"/>
      <c r="CC404" s="13"/>
      <c r="CD404" s="13"/>
      <c r="CE404" s="13"/>
      <c r="CF404" s="13"/>
      <c r="CG404" s="13"/>
      <c r="CH404" s="13"/>
      <c r="CI404" s="13"/>
      <c r="CJ404" s="13"/>
      <c r="CK404" s="13"/>
      <c r="CL404" s="13"/>
      <c r="CM404" s="13"/>
      <c r="CN404" s="13"/>
      <c r="CO404" s="13"/>
      <c r="CP404" s="13"/>
      <c r="CQ404" s="13"/>
      <c r="CR404" s="13"/>
      <c r="CS404" s="13"/>
      <c r="CT404" s="13"/>
      <c r="CU404" s="13"/>
    </row>
    <row r="405" spans="1:99" ht="12.75">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c r="CA405" s="13"/>
      <c r="CB405" s="13"/>
      <c r="CC405" s="13"/>
      <c r="CD405" s="13"/>
      <c r="CE405" s="13"/>
      <c r="CF405" s="13"/>
      <c r="CG405" s="13"/>
      <c r="CH405" s="13"/>
      <c r="CI405" s="13"/>
      <c r="CJ405" s="13"/>
      <c r="CK405" s="13"/>
      <c r="CL405" s="13"/>
      <c r="CM405" s="13"/>
      <c r="CN405" s="13"/>
      <c r="CO405" s="13"/>
      <c r="CP405" s="13"/>
      <c r="CQ405" s="13"/>
      <c r="CR405" s="13"/>
      <c r="CS405" s="13"/>
      <c r="CT405" s="13"/>
      <c r="CU405" s="13"/>
    </row>
    <row r="406" spans="1:99" ht="12.75">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row>
    <row r="407" spans="1:99" ht="12.75">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3"/>
      <c r="CT407" s="13"/>
      <c r="CU407" s="13"/>
    </row>
    <row r="408" spans="1:99" ht="12.75">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c r="CE408" s="13"/>
      <c r="CF408" s="13"/>
      <c r="CG408" s="13"/>
      <c r="CH408" s="13"/>
      <c r="CI408" s="13"/>
      <c r="CJ408" s="13"/>
      <c r="CK408" s="13"/>
      <c r="CL408" s="13"/>
      <c r="CM408" s="13"/>
      <c r="CN408" s="13"/>
      <c r="CO408" s="13"/>
      <c r="CP408" s="13"/>
      <c r="CQ408" s="13"/>
      <c r="CR408" s="13"/>
      <c r="CS408" s="13"/>
      <c r="CT408" s="13"/>
      <c r="CU408" s="13"/>
    </row>
    <row r="409" spans="1:99" ht="12.75">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3"/>
      <c r="CR409" s="13"/>
      <c r="CS409" s="13"/>
      <c r="CT409" s="13"/>
      <c r="CU409" s="13"/>
    </row>
    <row r="410" spans="1:99" ht="12.75">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3"/>
      <c r="CR410" s="13"/>
      <c r="CS410" s="13"/>
      <c r="CT410" s="13"/>
      <c r="CU410" s="13"/>
    </row>
    <row r="411" spans="1:99" ht="12.75">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3"/>
      <c r="CQ411" s="13"/>
      <c r="CR411" s="13"/>
      <c r="CS411" s="13"/>
      <c r="CT411" s="13"/>
      <c r="CU411" s="13"/>
    </row>
    <row r="412" spans="1:99" ht="12.75">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3"/>
      <c r="CS412" s="13"/>
      <c r="CT412" s="13"/>
      <c r="CU412" s="13"/>
    </row>
    <row r="413" spans="1:99" ht="12.75">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3"/>
      <c r="CS413" s="13"/>
      <c r="CT413" s="13"/>
      <c r="CU413" s="13"/>
    </row>
    <row r="414" spans="1:99" ht="12.75">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row>
    <row r="415" spans="1:99" ht="12.75">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c r="CP415" s="13"/>
      <c r="CQ415" s="13"/>
      <c r="CR415" s="13"/>
      <c r="CS415" s="13"/>
      <c r="CT415" s="13"/>
      <c r="CU415" s="13"/>
    </row>
    <row r="416" spans="1:99" ht="12.75">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row>
    <row r="417" spans="1:99" ht="12.75">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c r="CP417" s="13"/>
      <c r="CQ417" s="13"/>
      <c r="CR417" s="13"/>
      <c r="CS417" s="13"/>
      <c r="CT417" s="13"/>
      <c r="CU417" s="13"/>
    </row>
    <row r="418" spans="1:99" ht="12.75">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3"/>
      <c r="CS418" s="13"/>
      <c r="CT418" s="13"/>
      <c r="CU418" s="13"/>
    </row>
    <row r="419" spans="1:99" ht="12.75">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13"/>
      <c r="CJ419" s="13"/>
      <c r="CK419" s="13"/>
      <c r="CL419" s="13"/>
      <c r="CM419" s="13"/>
      <c r="CN419" s="13"/>
      <c r="CO419" s="13"/>
      <c r="CP419" s="13"/>
      <c r="CQ419" s="13"/>
      <c r="CR419" s="13"/>
      <c r="CS419" s="13"/>
      <c r="CT419" s="13"/>
      <c r="CU419" s="13"/>
    </row>
    <row r="420" spans="1:99" ht="12.75">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row>
    <row r="421" spans="1:99" ht="12.75">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row>
    <row r="422" spans="1:99" ht="12.75">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row>
    <row r="423" spans="1:99" ht="12.75">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c r="CE423" s="13"/>
      <c r="CF423" s="13"/>
      <c r="CG423" s="13"/>
      <c r="CH423" s="13"/>
      <c r="CI423" s="13"/>
      <c r="CJ423" s="13"/>
      <c r="CK423" s="13"/>
      <c r="CL423" s="13"/>
      <c r="CM423" s="13"/>
      <c r="CN423" s="13"/>
      <c r="CO423" s="13"/>
      <c r="CP423" s="13"/>
      <c r="CQ423" s="13"/>
      <c r="CR423" s="13"/>
      <c r="CS423" s="13"/>
      <c r="CT423" s="13"/>
      <c r="CU423" s="13"/>
    </row>
    <row r="424" spans="1:99" ht="12.75">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c r="CE424" s="13"/>
      <c r="CF424" s="13"/>
      <c r="CG424" s="13"/>
      <c r="CH424" s="13"/>
      <c r="CI424" s="13"/>
      <c r="CJ424" s="13"/>
      <c r="CK424" s="13"/>
      <c r="CL424" s="13"/>
      <c r="CM424" s="13"/>
      <c r="CN424" s="13"/>
      <c r="CO424" s="13"/>
      <c r="CP424" s="13"/>
      <c r="CQ424" s="13"/>
      <c r="CR424" s="13"/>
      <c r="CS424" s="13"/>
      <c r="CT424" s="13"/>
      <c r="CU424" s="13"/>
    </row>
    <row r="425" spans="1:99" ht="12.75">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c r="CE425" s="13"/>
      <c r="CF425" s="13"/>
      <c r="CG425" s="13"/>
      <c r="CH425" s="13"/>
      <c r="CI425" s="13"/>
      <c r="CJ425" s="13"/>
      <c r="CK425" s="13"/>
      <c r="CL425" s="13"/>
      <c r="CM425" s="13"/>
      <c r="CN425" s="13"/>
      <c r="CO425" s="13"/>
      <c r="CP425" s="13"/>
      <c r="CQ425" s="13"/>
      <c r="CR425" s="13"/>
      <c r="CS425" s="13"/>
      <c r="CT425" s="13"/>
      <c r="CU425" s="13"/>
    </row>
    <row r="426" spans="1:99" ht="12.75">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row>
    <row r="427" spans="1:99" ht="12.75">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c r="CA427" s="13"/>
      <c r="CB427" s="13"/>
      <c r="CC427" s="13"/>
      <c r="CD427" s="13"/>
      <c r="CE427" s="13"/>
      <c r="CF427" s="13"/>
      <c r="CG427" s="13"/>
      <c r="CH427" s="13"/>
      <c r="CI427" s="13"/>
      <c r="CJ427" s="13"/>
      <c r="CK427" s="13"/>
      <c r="CL427" s="13"/>
      <c r="CM427" s="13"/>
      <c r="CN427" s="13"/>
      <c r="CO427" s="13"/>
      <c r="CP427" s="13"/>
      <c r="CQ427" s="13"/>
      <c r="CR427" s="13"/>
      <c r="CS427" s="13"/>
      <c r="CT427" s="13"/>
      <c r="CU427" s="13"/>
    </row>
    <row r="428" spans="1:99" ht="12.75">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3"/>
      <c r="CS428" s="13"/>
      <c r="CT428" s="13"/>
      <c r="CU428" s="13"/>
    </row>
    <row r="429" spans="1:99" ht="12.75">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row>
    <row r="430" spans="1:99" ht="12.75">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row>
    <row r="431" spans="1:99" ht="12.75">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c r="CE431" s="13"/>
      <c r="CF431" s="13"/>
      <c r="CG431" s="13"/>
      <c r="CH431" s="13"/>
      <c r="CI431" s="13"/>
      <c r="CJ431" s="13"/>
      <c r="CK431" s="13"/>
      <c r="CL431" s="13"/>
      <c r="CM431" s="13"/>
      <c r="CN431" s="13"/>
      <c r="CO431" s="13"/>
      <c r="CP431" s="13"/>
      <c r="CQ431" s="13"/>
      <c r="CR431" s="13"/>
      <c r="CS431" s="13"/>
      <c r="CT431" s="13"/>
      <c r="CU431" s="13"/>
    </row>
    <row r="432" spans="1:99" ht="12.75">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c r="CE432" s="13"/>
      <c r="CF432" s="13"/>
      <c r="CG432" s="13"/>
      <c r="CH432" s="13"/>
      <c r="CI432" s="13"/>
      <c r="CJ432" s="13"/>
      <c r="CK432" s="13"/>
      <c r="CL432" s="13"/>
      <c r="CM432" s="13"/>
      <c r="CN432" s="13"/>
      <c r="CO432" s="13"/>
      <c r="CP432" s="13"/>
      <c r="CQ432" s="13"/>
      <c r="CR432" s="13"/>
      <c r="CS432" s="13"/>
      <c r="CT432" s="13"/>
      <c r="CU432" s="13"/>
    </row>
    <row r="433" spans="1:99" ht="12.75">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c r="CE433" s="13"/>
      <c r="CF433" s="13"/>
      <c r="CG433" s="13"/>
      <c r="CH433" s="13"/>
      <c r="CI433" s="13"/>
      <c r="CJ433" s="13"/>
      <c r="CK433" s="13"/>
      <c r="CL433" s="13"/>
      <c r="CM433" s="13"/>
      <c r="CN433" s="13"/>
      <c r="CO433" s="13"/>
      <c r="CP433" s="13"/>
      <c r="CQ433" s="13"/>
      <c r="CR433" s="13"/>
      <c r="CS433" s="13"/>
      <c r="CT433" s="13"/>
      <c r="CU433" s="13"/>
    </row>
    <row r="434" spans="1:99" ht="12.75">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c r="CP434" s="13"/>
      <c r="CQ434" s="13"/>
      <c r="CR434" s="13"/>
      <c r="CS434" s="13"/>
      <c r="CT434" s="13"/>
      <c r="CU434" s="13"/>
    </row>
    <row r="435" spans="1:99" ht="12.75">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c r="CE435" s="13"/>
      <c r="CF435" s="13"/>
      <c r="CG435" s="13"/>
      <c r="CH435" s="13"/>
      <c r="CI435" s="13"/>
      <c r="CJ435" s="13"/>
      <c r="CK435" s="13"/>
      <c r="CL435" s="13"/>
      <c r="CM435" s="13"/>
      <c r="CN435" s="13"/>
      <c r="CO435" s="13"/>
      <c r="CP435" s="13"/>
      <c r="CQ435" s="13"/>
      <c r="CR435" s="13"/>
      <c r="CS435" s="13"/>
      <c r="CT435" s="13"/>
      <c r="CU435" s="13"/>
    </row>
    <row r="436" spans="1:99" ht="12.75">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row>
    <row r="437" spans="1:99" ht="12.7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c r="CP437" s="13"/>
      <c r="CQ437" s="13"/>
      <c r="CR437" s="13"/>
      <c r="CS437" s="13"/>
      <c r="CT437" s="13"/>
      <c r="CU437" s="13"/>
    </row>
    <row r="438" spans="1:99" ht="12.7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row>
    <row r="439" spans="1:99" ht="12.7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c r="CE439" s="13"/>
      <c r="CF439" s="13"/>
      <c r="CG439" s="13"/>
      <c r="CH439" s="13"/>
      <c r="CI439" s="13"/>
      <c r="CJ439" s="13"/>
      <c r="CK439" s="13"/>
      <c r="CL439" s="13"/>
      <c r="CM439" s="13"/>
      <c r="CN439" s="13"/>
      <c r="CO439" s="13"/>
      <c r="CP439" s="13"/>
      <c r="CQ439" s="13"/>
      <c r="CR439" s="13"/>
      <c r="CS439" s="13"/>
      <c r="CT439" s="13"/>
      <c r="CU439" s="13"/>
    </row>
    <row r="440" spans="1:99" ht="12.7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c r="CD440" s="13"/>
      <c r="CE440" s="13"/>
      <c r="CF440" s="13"/>
      <c r="CG440" s="13"/>
      <c r="CH440" s="13"/>
      <c r="CI440" s="13"/>
      <c r="CJ440" s="13"/>
      <c r="CK440" s="13"/>
      <c r="CL440" s="13"/>
      <c r="CM440" s="13"/>
      <c r="CN440" s="13"/>
      <c r="CO440" s="13"/>
      <c r="CP440" s="13"/>
      <c r="CQ440" s="13"/>
      <c r="CR440" s="13"/>
      <c r="CS440" s="13"/>
      <c r="CT440" s="13"/>
      <c r="CU440" s="13"/>
    </row>
    <row r="441" spans="1:99" ht="12.7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c r="CP441" s="13"/>
      <c r="CQ441" s="13"/>
      <c r="CR441" s="13"/>
      <c r="CS441" s="13"/>
      <c r="CT441" s="13"/>
      <c r="CU441" s="13"/>
    </row>
    <row r="442" spans="1:99" ht="12.7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c r="CN442" s="13"/>
      <c r="CO442" s="13"/>
      <c r="CP442" s="13"/>
      <c r="CQ442" s="13"/>
      <c r="CR442" s="13"/>
      <c r="CS442" s="13"/>
      <c r="CT442" s="13"/>
      <c r="CU442" s="13"/>
    </row>
    <row r="443" spans="1:99" ht="12.7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c r="CE443" s="13"/>
      <c r="CF443" s="13"/>
      <c r="CG443" s="13"/>
      <c r="CH443" s="13"/>
      <c r="CI443" s="13"/>
      <c r="CJ443" s="13"/>
      <c r="CK443" s="13"/>
      <c r="CL443" s="13"/>
      <c r="CM443" s="13"/>
      <c r="CN443" s="13"/>
      <c r="CO443" s="13"/>
      <c r="CP443" s="13"/>
      <c r="CQ443" s="13"/>
      <c r="CR443" s="13"/>
      <c r="CS443" s="13"/>
      <c r="CT443" s="13"/>
      <c r="CU443" s="13"/>
    </row>
    <row r="444" spans="1:99" ht="12.7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c r="CH444" s="13"/>
      <c r="CI444" s="13"/>
      <c r="CJ444" s="13"/>
      <c r="CK444" s="13"/>
      <c r="CL444" s="13"/>
      <c r="CM444" s="13"/>
      <c r="CN444" s="13"/>
      <c r="CO444" s="13"/>
      <c r="CP444" s="13"/>
      <c r="CQ444" s="13"/>
      <c r="CR444" s="13"/>
      <c r="CS444" s="13"/>
      <c r="CT444" s="13"/>
      <c r="CU444" s="13"/>
    </row>
    <row r="445" spans="1:99" ht="12.7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c r="CE445" s="13"/>
      <c r="CF445" s="13"/>
      <c r="CG445" s="13"/>
      <c r="CH445" s="13"/>
      <c r="CI445" s="13"/>
      <c r="CJ445" s="13"/>
      <c r="CK445" s="13"/>
      <c r="CL445" s="13"/>
      <c r="CM445" s="13"/>
      <c r="CN445" s="13"/>
      <c r="CO445" s="13"/>
      <c r="CP445" s="13"/>
      <c r="CQ445" s="13"/>
      <c r="CR445" s="13"/>
      <c r="CS445" s="13"/>
      <c r="CT445" s="13"/>
      <c r="CU445" s="13"/>
    </row>
    <row r="446" spans="1:99" ht="12.7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row>
    <row r="447" spans="1:99" ht="12.7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c r="CE447" s="13"/>
      <c r="CF447" s="13"/>
      <c r="CG447" s="13"/>
      <c r="CH447" s="13"/>
      <c r="CI447" s="13"/>
      <c r="CJ447" s="13"/>
      <c r="CK447" s="13"/>
      <c r="CL447" s="13"/>
      <c r="CM447" s="13"/>
      <c r="CN447" s="13"/>
      <c r="CO447" s="13"/>
      <c r="CP447" s="13"/>
      <c r="CQ447" s="13"/>
      <c r="CR447" s="13"/>
      <c r="CS447" s="13"/>
      <c r="CT447" s="13"/>
      <c r="CU447" s="13"/>
    </row>
    <row r="448" spans="1:99" ht="12.75">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c r="CE448" s="13"/>
      <c r="CF448" s="13"/>
      <c r="CG448" s="13"/>
      <c r="CH448" s="13"/>
      <c r="CI448" s="13"/>
      <c r="CJ448" s="13"/>
      <c r="CK448" s="13"/>
      <c r="CL448" s="13"/>
      <c r="CM448" s="13"/>
      <c r="CN448" s="13"/>
      <c r="CO448" s="13"/>
      <c r="CP448" s="13"/>
      <c r="CQ448" s="13"/>
      <c r="CR448" s="13"/>
      <c r="CS448" s="13"/>
      <c r="CT448" s="13"/>
      <c r="CU448" s="13"/>
    </row>
    <row r="449" spans="1:99" ht="12.75">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c r="CE449" s="13"/>
      <c r="CF449" s="13"/>
      <c r="CG449" s="13"/>
      <c r="CH449" s="13"/>
      <c r="CI449" s="13"/>
      <c r="CJ449" s="13"/>
      <c r="CK449" s="13"/>
      <c r="CL449" s="13"/>
      <c r="CM449" s="13"/>
      <c r="CN449" s="13"/>
      <c r="CO449" s="13"/>
      <c r="CP449" s="13"/>
      <c r="CQ449" s="13"/>
      <c r="CR449" s="13"/>
      <c r="CS449" s="13"/>
      <c r="CT449" s="13"/>
      <c r="CU449" s="13"/>
    </row>
    <row r="450" spans="1:99" ht="12.75">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c r="CA450" s="13"/>
      <c r="CB450" s="13"/>
      <c r="CC450" s="13"/>
      <c r="CD450" s="13"/>
      <c r="CE450" s="13"/>
      <c r="CF450" s="13"/>
      <c r="CG450" s="13"/>
      <c r="CH450" s="13"/>
      <c r="CI450" s="13"/>
      <c r="CJ450" s="13"/>
      <c r="CK450" s="13"/>
      <c r="CL450" s="13"/>
      <c r="CM450" s="13"/>
      <c r="CN450" s="13"/>
      <c r="CO450" s="13"/>
      <c r="CP450" s="13"/>
      <c r="CQ450" s="13"/>
      <c r="CR450" s="13"/>
      <c r="CS450" s="13"/>
      <c r="CT450" s="13"/>
      <c r="CU450" s="13"/>
    </row>
    <row r="451" spans="1:99" ht="12.75">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c r="CA451" s="13"/>
      <c r="CB451" s="13"/>
      <c r="CC451" s="13"/>
      <c r="CD451" s="13"/>
      <c r="CE451" s="13"/>
      <c r="CF451" s="13"/>
      <c r="CG451" s="13"/>
      <c r="CH451" s="13"/>
      <c r="CI451" s="13"/>
      <c r="CJ451" s="13"/>
      <c r="CK451" s="13"/>
      <c r="CL451" s="13"/>
      <c r="CM451" s="13"/>
      <c r="CN451" s="13"/>
      <c r="CO451" s="13"/>
      <c r="CP451" s="13"/>
      <c r="CQ451" s="13"/>
      <c r="CR451" s="13"/>
      <c r="CS451" s="13"/>
      <c r="CT451" s="13"/>
      <c r="CU451" s="13"/>
    </row>
    <row r="452" spans="1:99" ht="12.75">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c r="CA452" s="13"/>
      <c r="CB452" s="13"/>
      <c r="CC452" s="13"/>
      <c r="CD452" s="13"/>
      <c r="CE452" s="13"/>
      <c r="CF452" s="13"/>
      <c r="CG452" s="13"/>
      <c r="CH452" s="13"/>
      <c r="CI452" s="13"/>
      <c r="CJ452" s="13"/>
      <c r="CK452" s="13"/>
      <c r="CL452" s="13"/>
      <c r="CM452" s="13"/>
      <c r="CN452" s="13"/>
      <c r="CO452" s="13"/>
      <c r="CP452" s="13"/>
      <c r="CQ452" s="13"/>
      <c r="CR452" s="13"/>
      <c r="CS452" s="13"/>
      <c r="CT452" s="13"/>
      <c r="CU452" s="13"/>
    </row>
    <row r="453" spans="1:99" ht="12.75">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c r="CA453" s="13"/>
      <c r="CB453" s="13"/>
      <c r="CC453" s="13"/>
      <c r="CD453" s="13"/>
      <c r="CE453" s="13"/>
      <c r="CF453" s="13"/>
      <c r="CG453" s="13"/>
      <c r="CH453" s="13"/>
      <c r="CI453" s="13"/>
      <c r="CJ453" s="13"/>
      <c r="CK453" s="13"/>
      <c r="CL453" s="13"/>
      <c r="CM453" s="13"/>
      <c r="CN453" s="13"/>
      <c r="CO453" s="13"/>
      <c r="CP453" s="13"/>
      <c r="CQ453" s="13"/>
      <c r="CR453" s="13"/>
      <c r="CS453" s="13"/>
      <c r="CT453" s="13"/>
      <c r="CU453" s="13"/>
    </row>
    <row r="454" spans="1:99" ht="12.75">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row>
    <row r="455" spans="1:99" ht="12.75">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c r="CA455" s="13"/>
      <c r="CB455" s="13"/>
      <c r="CC455" s="13"/>
      <c r="CD455" s="13"/>
      <c r="CE455" s="13"/>
      <c r="CF455" s="13"/>
      <c r="CG455" s="13"/>
      <c r="CH455" s="13"/>
      <c r="CI455" s="13"/>
      <c r="CJ455" s="13"/>
      <c r="CK455" s="13"/>
      <c r="CL455" s="13"/>
      <c r="CM455" s="13"/>
      <c r="CN455" s="13"/>
      <c r="CO455" s="13"/>
      <c r="CP455" s="13"/>
      <c r="CQ455" s="13"/>
      <c r="CR455" s="13"/>
      <c r="CS455" s="13"/>
      <c r="CT455" s="13"/>
      <c r="CU455" s="13"/>
    </row>
    <row r="456" spans="1:99" ht="12.75">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row>
    <row r="457" spans="1:99" ht="12.75">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c r="CA457" s="13"/>
      <c r="CB457" s="13"/>
      <c r="CC457" s="13"/>
      <c r="CD457" s="13"/>
      <c r="CE457" s="13"/>
      <c r="CF457" s="13"/>
      <c r="CG457" s="13"/>
      <c r="CH457" s="13"/>
      <c r="CI457" s="13"/>
      <c r="CJ457" s="13"/>
      <c r="CK457" s="13"/>
      <c r="CL457" s="13"/>
      <c r="CM457" s="13"/>
      <c r="CN457" s="13"/>
      <c r="CO457" s="13"/>
      <c r="CP457" s="13"/>
      <c r="CQ457" s="13"/>
      <c r="CR457" s="13"/>
      <c r="CS457" s="13"/>
      <c r="CT457" s="13"/>
      <c r="CU457" s="13"/>
    </row>
    <row r="458" spans="1:99" ht="12.75">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c r="CA458" s="13"/>
      <c r="CB458" s="13"/>
      <c r="CC458" s="13"/>
      <c r="CD458" s="13"/>
      <c r="CE458" s="13"/>
      <c r="CF458" s="13"/>
      <c r="CG458" s="13"/>
      <c r="CH458" s="13"/>
      <c r="CI458" s="13"/>
      <c r="CJ458" s="13"/>
      <c r="CK458" s="13"/>
      <c r="CL458" s="13"/>
      <c r="CM458" s="13"/>
      <c r="CN458" s="13"/>
      <c r="CO458" s="13"/>
      <c r="CP458" s="13"/>
      <c r="CQ458" s="13"/>
      <c r="CR458" s="13"/>
      <c r="CS458" s="13"/>
      <c r="CT458" s="13"/>
      <c r="CU458" s="13"/>
    </row>
    <row r="459" spans="1:99" ht="12.75">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c r="CE459" s="13"/>
      <c r="CF459" s="13"/>
      <c r="CG459" s="13"/>
      <c r="CH459" s="13"/>
      <c r="CI459" s="13"/>
      <c r="CJ459" s="13"/>
      <c r="CK459" s="13"/>
      <c r="CL459" s="13"/>
      <c r="CM459" s="13"/>
      <c r="CN459" s="13"/>
      <c r="CO459" s="13"/>
      <c r="CP459" s="13"/>
      <c r="CQ459" s="13"/>
      <c r="CR459" s="13"/>
      <c r="CS459" s="13"/>
      <c r="CT459" s="13"/>
      <c r="CU459" s="13"/>
    </row>
    <row r="460" spans="1:99" ht="12.75">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c r="CE460" s="13"/>
      <c r="CF460" s="13"/>
      <c r="CG460" s="13"/>
      <c r="CH460" s="13"/>
      <c r="CI460" s="13"/>
      <c r="CJ460" s="13"/>
      <c r="CK460" s="13"/>
      <c r="CL460" s="13"/>
      <c r="CM460" s="13"/>
      <c r="CN460" s="13"/>
      <c r="CO460" s="13"/>
      <c r="CP460" s="13"/>
      <c r="CQ460" s="13"/>
      <c r="CR460" s="13"/>
      <c r="CS460" s="13"/>
      <c r="CT460" s="13"/>
      <c r="CU460" s="13"/>
    </row>
    <row r="461" spans="1:99" ht="12.75">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c r="CE461" s="13"/>
      <c r="CF461" s="13"/>
      <c r="CG461" s="13"/>
      <c r="CH461" s="13"/>
      <c r="CI461" s="13"/>
      <c r="CJ461" s="13"/>
      <c r="CK461" s="13"/>
      <c r="CL461" s="13"/>
      <c r="CM461" s="13"/>
      <c r="CN461" s="13"/>
      <c r="CO461" s="13"/>
      <c r="CP461" s="13"/>
      <c r="CQ461" s="13"/>
      <c r="CR461" s="13"/>
      <c r="CS461" s="13"/>
      <c r="CT461" s="13"/>
      <c r="CU461" s="13"/>
    </row>
    <row r="462" spans="1:99" ht="12.75">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c r="CP462" s="13"/>
      <c r="CQ462" s="13"/>
      <c r="CR462" s="13"/>
      <c r="CS462" s="13"/>
      <c r="CT462" s="13"/>
      <c r="CU462" s="13"/>
    </row>
    <row r="463" spans="1:99" ht="12.75">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c r="CC463" s="13"/>
      <c r="CD463" s="13"/>
      <c r="CE463" s="13"/>
      <c r="CF463" s="13"/>
      <c r="CG463" s="13"/>
      <c r="CH463" s="13"/>
      <c r="CI463" s="13"/>
      <c r="CJ463" s="13"/>
      <c r="CK463" s="13"/>
      <c r="CL463" s="13"/>
      <c r="CM463" s="13"/>
      <c r="CN463" s="13"/>
      <c r="CO463" s="13"/>
      <c r="CP463" s="13"/>
      <c r="CQ463" s="13"/>
      <c r="CR463" s="13"/>
      <c r="CS463" s="13"/>
      <c r="CT463" s="13"/>
      <c r="CU463" s="13"/>
    </row>
    <row r="464" spans="1:99" ht="12.75">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c r="CA464" s="13"/>
      <c r="CB464" s="13"/>
      <c r="CC464" s="13"/>
      <c r="CD464" s="13"/>
      <c r="CE464" s="13"/>
      <c r="CF464" s="13"/>
      <c r="CG464" s="13"/>
      <c r="CH464" s="13"/>
      <c r="CI464" s="13"/>
      <c r="CJ464" s="13"/>
      <c r="CK464" s="13"/>
      <c r="CL464" s="13"/>
      <c r="CM464" s="13"/>
      <c r="CN464" s="13"/>
      <c r="CO464" s="13"/>
      <c r="CP464" s="13"/>
      <c r="CQ464" s="13"/>
      <c r="CR464" s="13"/>
      <c r="CS464" s="13"/>
      <c r="CT464" s="13"/>
      <c r="CU464" s="13"/>
    </row>
    <row r="465" spans="1:99" ht="12.75">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c r="CA465" s="13"/>
      <c r="CB465" s="13"/>
      <c r="CC465" s="13"/>
      <c r="CD465" s="13"/>
      <c r="CE465" s="13"/>
      <c r="CF465" s="13"/>
      <c r="CG465" s="13"/>
      <c r="CH465" s="13"/>
      <c r="CI465" s="13"/>
      <c r="CJ465" s="13"/>
      <c r="CK465" s="13"/>
      <c r="CL465" s="13"/>
      <c r="CM465" s="13"/>
      <c r="CN465" s="13"/>
      <c r="CO465" s="13"/>
      <c r="CP465" s="13"/>
      <c r="CQ465" s="13"/>
      <c r="CR465" s="13"/>
      <c r="CS465" s="13"/>
      <c r="CT465" s="13"/>
      <c r="CU465" s="13"/>
    </row>
    <row r="466" spans="1:99" ht="12.75">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row>
    <row r="467" spans="1:99" ht="12.75">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c r="CE467" s="13"/>
      <c r="CF467" s="13"/>
      <c r="CG467" s="13"/>
      <c r="CH467" s="13"/>
      <c r="CI467" s="13"/>
      <c r="CJ467" s="13"/>
      <c r="CK467" s="13"/>
      <c r="CL467" s="13"/>
      <c r="CM467" s="13"/>
      <c r="CN467" s="13"/>
      <c r="CO467" s="13"/>
      <c r="CP467" s="13"/>
      <c r="CQ467" s="13"/>
      <c r="CR467" s="13"/>
      <c r="CS467" s="13"/>
      <c r="CT467" s="13"/>
      <c r="CU467" s="13"/>
    </row>
    <row r="468" spans="1:99" ht="12.75">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c r="CE468" s="13"/>
      <c r="CF468" s="13"/>
      <c r="CG468" s="13"/>
      <c r="CH468" s="13"/>
      <c r="CI468" s="13"/>
      <c r="CJ468" s="13"/>
      <c r="CK468" s="13"/>
      <c r="CL468" s="13"/>
      <c r="CM468" s="13"/>
      <c r="CN468" s="13"/>
      <c r="CO468" s="13"/>
      <c r="CP468" s="13"/>
      <c r="CQ468" s="13"/>
      <c r="CR468" s="13"/>
      <c r="CS468" s="13"/>
      <c r="CT468" s="13"/>
      <c r="CU468" s="13"/>
    </row>
    <row r="469" spans="1:99" ht="12.75">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c r="CE469" s="13"/>
      <c r="CF469" s="13"/>
      <c r="CG469" s="13"/>
      <c r="CH469" s="13"/>
      <c r="CI469" s="13"/>
      <c r="CJ469" s="13"/>
      <c r="CK469" s="13"/>
      <c r="CL469" s="13"/>
      <c r="CM469" s="13"/>
      <c r="CN469" s="13"/>
      <c r="CO469" s="13"/>
      <c r="CP469" s="13"/>
      <c r="CQ469" s="13"/>
      <c r="CR469" s="13"/>
      <c r="CS469" s="13"/>
      <c r="CT469" s="13"/>
      <c r="CU469" s="13"/>
    </row>
    <row r="470" spans="1:99" ht="12.75">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c r="CP470" s="13"/>
      <c r="CQ470" s="13"/>
      <c r="CR470" s="13"/>
      <c r="CS470" s="13"/>
      <c r="CT470" s="13"/>
      <c r="CU470" s="13"/>
    </row>
    <row r="471" spans="1:99" ht="12.75">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c r="CE471" s="13"/>
      <c r="CF471" s="13"/>
      <c r="CG471" s="13"/>
      <c r="CH471" s="13"/>
      <c r="CI471" s="13"/>
      <c r="CJ471" s="13"/>
      <c r="CK471" s="13"/>
      <c r="CL471" s="13"/>
      <c r="CM471" s="13"/>
      <c r="CN471" s="13"/>
      <c r="CO471" s="13"/>
      <c r="CP471" s="13"/>
      <c r="CQ471" s="13"/>
      <c r="CR471" s="13"/>
      <c r="CS471" s="13"/>
      <c r="CT471" s="13"/>
      <c r="CU471" s="13"/>
    </row>
    <row r="472" spans="1:99" ht="12.75">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c r="CE472" s="13"/>
      <c r="CF472" s="13"/>
      <c r="CG472" s="13"/>
      <c r="CH472" s="13"/>
      <c r="CI472" s="13"/>
      <c r="CJ472" s="13"/>
      <c r="CK472" s="13"/>
      <c r="CL472" s="13"/>
      <c r="CM472" s="13"/>
      <c r="CN472" s="13"/>
      <c r="CO472" s="13"/>
      <c r="CP472" s="13"/>
      <c r="CQ472" s="13"/>
      <c r="CR472" s="13"/>
      <c r="CS472" s="13"/>
      <c r="CT472" s="13"/>
      <c r="CU472" s="13"/>
    </row>
    <row r="473" spans="1:99" ht="12.75">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c r="CE473" s="13"/>
      <c r="CF473" s="13"/>
      <c r="CG473" s="13"/>
      <c r="CH473" s="13"/>
      <c r="CI473" s="13"/>
      <c r="CJ473" s="13"/>
      <c r="CK473" s="13"/>
      <c r="CL473" s="13"/>
      <c r="CM473" s="13"/>
      <c r="CN473" s="13"/>
      <c r="CO473" s="13"/>
      <c r="CP473" s="13"/>
      <c r="CQ473" s="13"/>
      <c r="CR473" s="13"/>
      <c r="CS473" s="13"/>
      <c r="CT473" s="13"/>
      <c r="CU473" s="13"/>
    </row>
    <row r="474" spans="1:99" ht="12.75">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c r="CE474" s="13"/>
      <c r="CF474" s="13"/>
      <c r="CG474" s="13"/>
      <c r="CH474" s="13"/>
      <c r="CI474" s="13"/>
      <c r="CJ474" s="13"/>
      <c r="CK474" s="13"/>
      <c r="CL474" s="13"/>
      <c r="CM474" s="13"/>
      <c r="CN474" s="13"/>
      <c r="CO474" s="13"/>
      <c r="CP474" s="13"/>
      <c r="CQ474" s="13"/>
      <c r="CR474" s="13"/>
      <c r="CS474" s="13"/>
      <c r="CT474" s="13"/>
      <c r="CU474" s="13"/>
    </row>
    <row r="475" spans="1:99" ht="12.75">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c r="CE475" s="13"/>
      <c r="CF475" s="13"/>
      <c r="CG475" s="13"/>
      <c r="CH475" s="13"/>
      <c r="CI475" s="13"/>
      <c r="CJ475" s="13"/>
      <c r="CK475" s="13"/>
      <c r="CL475" s="13"/>
      <c r="CM475" s="13"/>
      <c r="CN475" s="13"/>
      <c r="CO475" s="13"/>
      <c r="CP475" s="13"/>
      <c r="CQ475" s="13"/>
      <c r="CR475" s="13"/>
      <c r="CS475" s="13"/>
      <c r="CT475" s="13"/>
      <c r="CU475" s="13"/>
    </row>
    <row r="476" spans="1:99" ht="12.75">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row>
    <row r="477" spans="1:99" ht="12.75">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c r="CL477" s="13"/>
      <c r="CM477" s="13"/>
      <c r="CN477" s="13"/>
      <c r="CO477" s="13"/>
      <c r="CP477" s="13"/>
      <c r="CQ477" s="13"/>
      <c r="CR477" s="13"/>
      <c r="CS477" s="13"/>
      <c r="CT477" s="13"/>
      <c r="CU477" s="13"/>
    </row>
    <row r="478" spans="1:99" ht="12.75">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row>
    <row r="479" spans="1:99" ht="12.75">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c r="CE479" s="13"/>
      <c r="CF479" s="13"/>
      <c r="CG479" s="13"/>
      <c r="CH479" s="13"/>
      <c r="CI479" s="13"/>
      <c r="CJ479" s="13"/>
      <c r="CK479" s="13"/>
      <c r="CL479" s="13"/>
      <c r="CM479" s="13"/>
      <c r="CN479" s="13"/>
      <c r="CO479" s="13"/>
      <c r="CP479" s="13"/>
      <c r="CQ479" s="13"/>
      <c r="CR479" s="13"/>
      <c r="CS479" s="13"/>
      <c r="CT479" s="13"/>
      <c r="CU479" s="13"/>
    </row>
    <row r="480" spans="1:99" ht="12.75">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c r="CA480" s="13"/>
      <c r="CB480" s="13"/>
      <c r="CC480" s="13"/>
      <c r="CD480" s="13"/>
      <c r="CE480" s="13"/>
      <c r="CF480" s="13"/>
      <c r="CG480" s="13"/>
      <c r="CH480" s="13"/>
      <c r="CI480" s="13"/>
      <c r="CJ480" s="13"/>
      <c r="CK480" s="13"/>
      <c r="CL480" s="13"/>
      <c r="CM480" s="13"/>
      <c r="CN480" s="13"/>
      <c r="CO480" s="13"/>
      <c r="CP480" s="13"/>
      <c r="CQ480" s="13"/>
      <c r="CR480" s="13"/>
      <c r="CS480" s="13"/>
      <c r="CT480" s="13"/>
      <c r="CU480" s="13"/>
    </row>
    <row r="481" spans="1:99" ht="12.75">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c r="CE481" s="13"/>
      <c r="CF481" s="13"/>
      <c r="CG481" s="13"/>
      <c r="CH481" s="13"/>
      <c r="CI481" s="13"/>
      <c r="CJ481" s="13"/>
      <c r="CK481" s="13"/>
      <c r="CL481" s="13"/>
      <c r="CM481" s="13"/>
      <c r="CN481" s="13"/>
      <c r="CO481" s="13"/>
      <c r="CP481" s="13"/>
      <c r="CQ481" s="13"/>
      <c r="CR481" s="13"/>
      <c r="CS481" s="13"/>
      <c r="CT481" s="13"/>
      <c r="CU481" s="13"/>
    </row>
    <row r="482" spans="1:99" ht="12.75">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c r="CE482" s="13"/>
      <c r="CF482" s="13"/>
      <c r="CG482" s="13"/>
      <c r="CH482" s="13"/>
      <c r="CI482" s="13"/>
      <c r="CJ482" s="13"/>
      <c r="CK482" s="13"/>
      <c r="CL482" s="13"/>
      <c r="CM482" s="13"/>
      <c r="CN482" s="13"/>
      <c r="CO482" s="13"/>
      <c r="CP482" s="13"/>
      <c r="CQ482" s="13"/>
      <c r="CR482" s="13"/>
      <c r="CS482" s="13"/>
      <c r="CT482" s="13"/>
      <c r="CU482" s="13"/>
    </row>
    <row r="483" spans="1:99" ht="12.75">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c r="CA483" s="13"/>
      <c r="CB483" s="13"/>
      <c r="CC483" s="13"/>
      <c r="CD483" s="13"/>
      <c r="CE483" s="13"/>
      <c r="CF483" s="13"/>
      <c r="CG483" s="13"/>
      <c r="CH483" s="13"/>
      <c r="CI483" s="13"/>
      <c r="CJ483" s="13"/>
      <c r="CK483" s="13"/>
      <c r="CL483" s="13"/>
      <c r="CM483" s="13"/>
      <c r="CN483" s="13"/>
      <c r="CO483" s="13"/>
      <c r="CP483" s="13"/>
      <c r="CQ483" s="13"/>
      <c r="CR483" s="13"/>
      <c r="CS483" s="13"/>
      <c r="CT483" s="13"/>
      <c r="CU483" s="13"/>
    </row>
    <row r="484" spans="1:99" ht="12.75">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c r="CA484" s="13"/>
      <c r="CB484" s="13"/>
      <c r="CC484" s="13"/>
      <c r="CD484" s="13"/>
      <c r="CE484" s="13"/>
      <c r="CF484" s="13"/>
      <c r="CG484" s="13"/>
      <c r="CH484" s="13"/>
      <c r="CI484" s="13"/>
      <c r="CJ484" s="13"/>
      <c r="CK484" s="13"/>
      <c r="CL484" s="13"/>
      <c r="CM484" s="13"/>
      <c r="CN484" s="13"/>
      <c r="CO484" s="13"/>
      <c r="CP484" s="13"/>
      <c r="CQ484" s="13"/>
      <c r="CR484" s="13"/>
      <c r="CS484" s="13"/>
      <c r="CT484" s="13"/>
      <c r="CU484" s="13"/>
    </row>
    <row r="485" spans="1:99" ht="12.75">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c r="CA485" s="13"/>
      <c r="CB485" s="13"/>
      <c r="CC485" s="13"/>
      <c r="CD485" s="13"/>
      <c r="CE485" s="13"/>
      <c r="CF485" s="13"/>
      <c r="CG485" s="13"/>
      <c r="CH485" s="13"/>
      <c r="CI485" s="13"/>
      <c r="CJ485" s="13"/>
      <c r="CK485" s="13"/>
      <c r="CL485" s="13"/>
      <c r="CM485" s="13"/>
      <c r="CN485" s="13"/>
      <c r="CO485" s="13"/>
      <c r="CP485" s="13"/>
      <c r="CQ485" s="13"/>
      <c r="CR485" s="13"/>
      <c r="CS485" s="13"/>
      <c r="CT485" s="13"/>
      <c r="CU485" s="13"/>
    </row>
    <row r="486" spans="1:99" ht="12.75">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row>
    <row r="487" spans="1:99" ht="12.75">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c r="CA487" s="13"/>
      <c r="CB487" s="13"/>
      <c r="CC487" s="13"/>
      <c r="CD487" s="13"/>
      <c r="CE487" s="13"/>
      <c r="CF487" s="13"/>
      <c r="CG487" s="13"/>
      <c r="CH487" s="13"/>
      <c r="CI487" s="13"/>
      <c r="CJ487" s="13"/>
      <c r="CK487" s="13"/>
      <c r="CL487" s="13"/>
      <c r="CM487" s="13"/>
      <c r="CN487" s="13"/>
      <c r="CO487" s="13"/>
      <c r="CP487" s="13"/>
      <c r="CQ487" s="13"/>
      <c r="CR487" s="13"/>
      <c r="CS487" s="13"/>
      <c r="CT487" s="13"/>
      <c r="CU487" s="13"/>
    </row>
    <row r="488" spans="1:99" ht="12.75">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c r="CE488" s="13"/>
      <c r="CF488" s="13"/>
      <c r="CG488" s="13"/>
      <c r="CH488" s="13"/>
      <c r="CI488" s="13"/>
      <c r="CJ488" s="13"/>
      <c r="CK488" s="13"/>
      <c r="CL488" s="13"/>
      <c r="CM488" s="13"/>
      <c r="CN488" s="13"/>
      <c r="CO488" s="13"/>
      <c r="CP488" s="13"/>
      <c r="CQ488" s="13"/>
      <c r="CR488" s="13"/>
      <c r="CS488" s="13"/>
      <c r="CT488" s="13"/>
      <c r="CU488" s="13"/>
    </row>
    <row r="489" spans="1:99" ht="12.75">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c r="CE489" s="13"/>
      <c r="CF489" s="13"/>
      <c r="CG489" s="13"/>
      <c r="CH489" s="13"/>
      <c r="CI489" s="13"/>
      <c r="CJ489" s="13"/>
      <c r="CK489" s="13"/>
      <c r="CL489" s="13"/>
      <c r="CM489" s="13"/>
      <c r="CN489" s="13"/>
      <c r="CO489" s="13"/>
      <c r="CP489" s="13"/>
      <c r="CQ489" s="13"/>
      <c r="CR489" s="13"/>
      <c r="CS489" s="13"/>
      <c r="CT489" s="13"/>
      <c r="CU489" s="13"/>
    </row>
    <row r="490" spans="1:99" ht="12.75">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c r="CH490" s="13"/>
      <c r="CI490" s="13"/>
      <c r="CJ490" s="13"/>
      <c r="CK490" s="13"/>
      <c r="CL490" s="13"/>
      <c r="CM490" s="13"/>
      <c r="CN490" s="13"/>
      <c r="CO490" s="13"/>
      <c r="CP490" s="13"/>
      <c r="CQ490" s="13"/>
      <c r="CR490" s="13"/>
      <c r="CS490" s="13"/>
      <c r="CT490" s="13"/>
      <c r="CU490" s="13"/>
    </row>
    <row r="491" spans="1:99" ht="12.75">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c r="CA491" s="13"/>
      <c r="CB491" s="13"/>
      <c r="CC491" s="13"/>
      <c r="CD491" s="13"/>
      <c r="CE491" s="13"/>
      <c r="CF491" s="13"/>
      <c r="CG491" s="13"/>
      <c r="CH491" s="13"/>
      <c r="CI491" s="13"/>
      <c r="CJ491" s="13"/>
      <c r="CK491" s="13"/>
      <c r="CL491" s="13"/>
      <c r="CM491" s="13"/>
      <c r="CN491" s="13"/>
      <c r="CO491" s="13"/>
      <c r="CP491" s="13"/>
      <c r="CQ491" s="13"/>
      <c r="CR491" s="13"/>
      <c r="CS491" s="13"/>
      <c r="CT491" s="13"/>
      <c r="CU491" s="13"/>
    </row>
    <row r="492" spans="1:99" ht="12.75">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c r="CA492" s="13"/>
      <c r="CB492" s="13"/>
      <c r="CC492" s="13"/>
      <c r="CD492" s="13"/>
      <c r="CE492" s="13"/>
      <c r="CF492" s="13"/>
      <c r="CG492" s="13"/>
      <c r="CH492" s="13"/>
      <c r="CI492" s="13"/>
      <c r="CJ492" s="13"/>
      <c r="CK492" s="13"/>
      <c r="CL492" s="13"/>
      <c r="CM492" s="13"/>
      <c r="CN492" s="13"/>
      <c r="CO492" s="13"/>
      <c r="CP492" s="13"/>
      <c r="CQ492" s="13"/>
      <c r="CR492" s="13"/>
      <c r="CS492" s="13"/>
      <c r="CT492" s="13"/>
      <c r="CU492" s="13"/>
    </row>
    <row r="493" spans="1:99" ht="12.75">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c r="CA493" s="13"/>
      <c r="CB493" s="13"/>
      <c r="CC493" s="13"/>
      <c r="CD493" s="13"/>
      <c r="CE493" s="13"/>
      <c r="CF493" s="13"/>
      <c r="CG493" s="13"/>
      <c r="CH493" s="13"/>
      <c r="CI493" s="13"/>
      <c r="CJ493" s="13"/>
      <c r="CK493" s="13"/>
      <c r="CL493" s="13"/>
      <c r="CM493" s="13"/>
      <c r="CN493" s="13"/>
      <c r="CO493" s="13"/>
      <c r="CP493" s="13"/>
      <c r="CQ493" s="13"/>
      <c r="CR493" s="13"/>
      <c r="CS493" s="13"/>
      <c r="CT493" s="13"/>
      <c r="CU493" s="13"/>
    </row>
    <row r="494" spans="1:99" ht="12.75">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c r="CE494" s="13"/>
      <c r="CF494" s="13"/>
      <c r="CG494" s="13"/>
      <c r="CH494" s="13"/>
      <c r="CI494" s="13"/>
      <c r="CJ494" s="13"/>
      <c r="CK494" s="13"/>
      <c r="CL494" s="13"/>
      <c r="CM494" s="13"/>
      <c r="CN494" s="13"/>
      <c r="CO494" s="13"/>
      <c r="CP494" s="13"/>
      <c r="CQ494" s="13"/>
      <c r="CR494" s="13"/>
      <c r="CS494" s="13"/>
      <c r="CT494" s="13"/>
      <c r="CU494" s="13"/>
    </row>
    <row r="495" spans="1:99" ht="12.75">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c r="CA495" s="13"/>
      <c r="CB495" s="13"/>
      <c r="CC495" s="13"/>
      <c r="CD495" s="13"/>
      <c r="CE495" s="13"/>
      <c r="CF495" s="13"/>
      <c r="CG495" s="13"/>
      <c r="CH495" s="13"/>
      <c r="CI495" s="13"/>
      <c r="CJ495" s="13"/>
      <c r="CK495" s="13"/>
      <c r="CL495" s="13"/>
      <c r="CM495" s="13"/>
      <c r="CN495" s="13"/>
      <c r="CO495" s="13"/>
      <c r="CP495" s="13"/>
      <c r="CQ495" s="13"/>
      <c r="CR495" s="13"/>
      <c r="CS495" s="13"/>
      <c r="CT495" s="13"/>
      <c r="CU495" s="13"/>
    </row>
    <row r="496" spans="1:99" ht="12.75">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c r="CP496" s="13"/>
      <c r="CQ496" s="13"/>
      <c r="CR496" s="13"/>
      <c r="CS496" s="13"/>
      <c r="CT496" s="13"/>
      <c r="CU496" s="13"/>
    </row>
    <row r="497" spans="1:99" ht="12.75">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c r="CA497" s="13"/>
      <c r="CB497" s="13"/>
      <c r="CC497" s="13"/>
      <c r="CD497" s="13"/>
      <c r="CE497" s="13"/>
      <c r="CF497" s="13"/>
      <c r="CG497" s="13"/>
      <c r="CH497" s="13"/>
      <c r="CI497" s="13"/>
      <c r="CJ497" s="13"/>
      <c r="CK497" s="13"/>
      <c r="CL497" s="13"/>
      <c r="CM497" s="13"/>
      <c r="CN497" s="13"/>
      <c r="CO497" s="13"/>
      <c r="CP497" s="13"/>
      <c r="CQ497" s="13"/>
      <c r="CR497" s="13"/>
      <c r="CS497" s="13"/>
      <c r="CT497" s="13"/>
      <c r="CU497" s="13"/>
    </row>
    <row r="498" spans="1:99" ht="12.75">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c r="CA498" s="13"/>
      <c r="CB498" s="13"/>
      <c r="CC498" s="13"/>
      <c r="CD498" s="13"/>
      <c r="CE498" s="13"/>
      <c r="CF498" s="13"/>
      <c r="CG498" s="13"/>
      <c r="CH498" s="13"/>
      <c r="CI498" s="13"/>
      <c r="CJ498" s="13"/>
      <c r="CK498" s="13"/>
      <c r="CL498" s="13"/>
      <c r="CM498" s="13"/>
      <c r="CN498" s="13"/>
      <c r="CO498" s="13"/>
      <c r="CP498" s="13"/>
      <c r="CQ498" s="13"/>
      <c r="CR498" s="13"/>
      <c r="CS498" s="13"/>
      <c r="CT498" s="13"/>
      <c r="CU498" s="13"/>
    </row>
    <row r="499" spans="1:99" ht="12.75">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c r="CE499" s="13"/>
      <c r="CF499" s="13"/>
      <c r="CG499" s="13"/>
      <c r="CH499" s="13"/>
      <c r="CI499" s="13"/>
      <c r="CJ499" s="13"/>
      <c r="CK499" s="13"/>
      <c r="CL499" s="13"/>
      <c r="CM499" s="13"/>
      <c r="CN499" s="13"/>
      <c r="CO499" s="13"/>
      <c r="CP499" s="13"/>
      <c r="CQ499" s="13"/>
      <c r="CR499" s="13"/>
      <c r="CS499" s="13"/>
      <c r="CT499" s="13"/>
      <c r="CU499" s="13"/>
    </row>
    <row r="500" spans="1:99" ht="12.75">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c r="CA500" s="13"/>
      <c r="CB500" s="13"/>
      <c r="CC500" s="13"/>
      <c r="CD500" s="13"/>
      <c r="CE500" s="13"/>
      <c r="CF500" s="13"/>
      <c r="CG500" s="13"/>
      <c r="CH500" s="13"/>
      <c r="CI500" s="13"/>
      <c r="CJ500" s="13"/>
      <c r="CK500" s="13"/>
      <c r="CL500" s="13"/>
      <c r="CM500" s="13"/>
      <c r="CN500" s="13"/>
      <c r="CO500" s="13"/>
      <c r="CP500" s="13"/>
      <c r="CQ500" s="13"/>
      <c r="CR500" s="13"/>
      <c r="CS500" s="13"/>
      <c r="CT500" s="13"/>
      <c r="CU500" s="13"/>
    </row>
    <row r="501" spans="1:99" ht="12.75">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A501" s="13"/>
      <c r="CB501" s="13"/>
      <c r="CC501" s="13"/>
      <c r="CD501" s="13"/>
      <c r="CE501" s="13"/>
      <c r="CF501" s="13"/>
      <c r="CG501" s="13"/>
      <c r="CH501" s="13"/>
      <c r="CI501" s="13"/>
      <c r="CJ501" s="13"/>
      <c r="CK501" s="13"/>
      <c r="CL501" s="13"/>
      <c r="CM501" s="13"/>
      <c r="CN501" s="13"/>
      <c r="CO501" s="13"/>
      <c r="CP501" s="13"/>
      <c r="CQ501" s="13"/>
      <c r="CR501" s="13"/>
      <c r="CS501" s="13"/>
      <c r="CT501" s="13"/>
      <c r="CU501" s="13"/>
    </row>
    <row r="502" spans="1:99" ht="12.75">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row>
    <row r="503" spans="1:99" ht="12.75">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s="13"/>
      <c r="CB503" s="13"/>
      <c r="CC503" s="13"/>
      <c r="CD503" s="13"/>
      <c r="CE503" s="13"/>
      <c r="CF503" s="13"/>
      <c r="CG503" s="13"/>
      <c r="CH503" s="13"/>
      <c r="CI503" s="13"/>
      <c r="CJ503" s="13"/>
      <c r="CK503" s="13"/>
      <c r="CL503" s="13"/>
      <c r="CM503" s="13"/>
      <c r="CN503" s="13"/>
      <c r="CO503" s="13"/>
      <c r="CP503" s="13"/>
      <c r="CQ503" s="13"/>
      <c r="CR503" s="13"/>
      <c r="CS503" s="13"/>
      <c r="CT503" s="13"/>
      <c r="CU503" s="13"/>
    </row>
    <row r="504" spans="1:99" ht="12.75">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s="13"/>
      <c r="CB504" s="13"/>
      <c r="CC504" s="13"/>
      <c r="CD504" s="13"/>
      <c r="CE504" s="13"/>
      <c r="CF504" s="13"/>
      <c r="CG504" s="13"/>
      <c r="CH504" s="13"/>
      <c r="CI504" s="13"/>
      <c r="CJ504" s="13"/>
      <c r="CK504" s="13"/>
      <c r="CL504" s="13"/>
      <c r="CM504" s="13"/>
      <c r="CN504" s="13"/>
      <c r="CO504" s="13"/>
      <c r="CP504" s="13"/>
      <c r="CQ504" s="13"/>
      <c r="CR504" s="13"/>
      <c r="CS504" s="13"/>
      <c r="CT504" s="13"/>
      <c r="CU504" s="13"/>
    </row>
    <row r="505" spans="1:99" ht="12.75">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s="13"/>
      <c r="CE505" s="13"/>
      <c r="CF505" s="13"/>
      <c r="CG505" s="13"/>
      <c r="CH505" s="13"/>
      <c r="CI505" s="13"/>
      <c r="CJ505" s="13"/>
      <c r="CK505" s="13"/>
      <c r="CL505" s="13"/>
      <c r="CM505" s="13"/>
      <c r="CN505" s="13"/>
      <c r="CO505" s="13"/>
      <c r="CP505" s="13"/>
      <c r="CQ505" s="13"/>
      <c r="CR505" s="13"/>
      <c r="CS505" s="13"/>
      <c r="CT505" s="13"/>
      <c r="CU505" s="13"/>
    </row>
    <row r="506" spans="1:99" ht="12.75">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c r="CE506" s="13"/>
      <c r="CF506" s="13"/>
      <c r="CG506" s="13"/>
      <c r="CH506" s="13"/>
      <c r="CI506" s="13"/>
      <c r="CJ506" s="13"/>
      <c r="CK506" s="13"/>
      <c r="CL506" s="13"/>
      <c r="CM506" s="13"/>
      <c r="CN506" s="13"/>
      <c r="CO506" s="13"/>
      <c r="CP506" s="13"/>
      <c r="CQ506" s="13"/>
      <c r="CR506" s="13"/>
      <c r="CS506" s="13"/>
      <c r="CT506" s="13"/>
      <c r="CU506" s="13"/>
    </row>
    <row r="507" spans="1:99" ht="12.75">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s="13"/>
      <c r="CB507" s="13"/>
      <c r="CC507" s="13"/>
      <c r="CD507" s="13"/>
      <c r="CE507" s="13"/>
      <c r="CF507" s="13"/>
      <c r="CG507" s="13"/>
      <c r="CH507" s="13"/>
      <c r="CI507" s="13"/>
      <c r="CJ507" s="13"/>
      <c r="CK507" s="13"/>
      <c r="CL507" s="13"/>
      <c r="CM507" s="13"/>
      <c r="CN507" s="13"/>
      <c r="CO507" s="13"/>
      <c r="CP507" s="13"/>
      <c r="CQ507" s="13"/>
      <c r="CR507" s="13"/>
      <c r="CS507" s="13"/>
      <c r="CT507" s="13"/>
      <c r="CU507" s="13"/>
    </row>
    <row r="508" spans="1:99" ht="12.75">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3"/>
      <c r="CM508" s="13"/>
      <c r="CN508" s="13"/>
      <c r="CO508" s="13"/>
      <c r="CP508" s="13"/>
      <c r="CQ508" s="13"/>
      <c r="CR508" s="13"/>
      <c r="CS508" s="13"/>
      <c r="CT508" s="13"/>
      <c r="CU508" s="13"/>
    </row>
    <row r="509" spans="1:99" ht="12.75">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s="13"/>
      <c r="CB509" s="13"/>
      <c r="CC509" s="13"/>
      <c r="CD509" s="13"/>
      <c r="CE509" s="13"/>
      <c r="CF509" s="13"/>
      <c r="CG509" s="13"/>
      <c r="CH509" s="13"/>
      <c r="CI509" s="13"/>
      <c r="CJ509" s="13"/>
      <c r="CK509" s="13"/>
      <c r="CL509" s="13"/>
      <c r="CM509" s="13"/>
      <c r="CN509" s="13"/>
      <c r="CO509" s="13"/>
      <c r="CP509" s="13"/>
      <c r="CQ509" s="13"/>
      <c r="CR509" s="13"/>
      <c r="CS509" s="13"/>
      <c r="CT509" s="13"/>
      <c r="CU509" s="13"/>
    </row>
    <row r="510" spans="1:99" ht="12.75">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c r="CP510" s="13"/>
      <c r="CQ510" s="13"/>
      <c r="CR510" s="13"/>
      <c r="CS510" s="13"/>
      <c r="CT510" s="13"/>
      <c r="CU510" s="13"/>
    </row>
    <row r="511" spans="1:99" ht="12.75">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s="13"/>
      <c r="CE511" s="13"/>
      <c r="CF511" s="13"/>
      <c r="CG511" s="13"/>
      <c r="CH511" s="13"/>
      <c r="CI511" s="13"/>
      <c r="CJ511" s="13"/>
      <c r="CK511" s="13"/>
      <c r="CL511" s="13"/>
      <c r="CM511" s="13"/>
      <c r="CN511" s="13"/>
      <c r="CO511" s="13"/>
      <c r="CP511" s="13"/>
      <c r="CQ511" s="13"/>
      <c r="CR511" s="13"/>
      <c r="CS511" s="13"/>
      <c r="CT511" s="13"/>
      <c r="CU511" s="13"/>
    </row>
    <row r="512" spans="1:99" ht="12.75">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c r="CA512" s="13"/>
      <c r="CB512" s="13"/>
      <c r="CC512" s="13"/>
      <c r="CD512" s="13"/>
      <c r="CE512" s="13"/>
      <c r="CF512" s="13"/>
      <c r="CG512" s="13"/>
      <c r="CH512" s="13"/>
      <c r="CI512" s="13"/>
      <c r="CJ512" s="13"/>
      <c r="CK512" s="13"/>
      <c r="CL512" s="13"/>
      <c r="CM512" s="13"/>
      <c r="CN512" s="13"/>
      <c r="CO512" s="13"/>
      <c r="CP512" s="13"/>
      <c r="CQ512" s="13"/>
      <c r="CR512" s="13"/>
      <c r="CS512" s="13"/>
      <c r="CT512" s="13"/>
      <c r="CU512" s="13"/>
    </row>
    <row r="513" spans="1:99" ht="12.75">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s="13"/>
      <c r="CB513" s="13"/>
      <c r="CC513" s="13"/>
      <c r="CD513" s="13"/>
      <c r="CE513" s="13"/>
      <c r="CF513" s="13"/>
      <c r="CG513" s="13"/>
      <c r="CH513" s="13"/>
      <c r="CI513" s="13"/>
      <c r="CJ513" s="13"/>
      <c r="CK513" s="13"/>
      <c r="CL513" s="13"/>
      <c r="CM513" s="13"/>
      <c r="CN513" s="13"/>
      <c r="CO513" s="13"/>
      <c r="CP513" s="13"/>
      <c r="CQ513" s="13"/>
      <c r="CR513" s="13"/>
      <c r="CS513" s="13"/>
      <c r="CT513" s="13"/>
      <c r="CU513" s="13"/>
    </row>
    <row r="514" spans="1:99" ht="12.75">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s="13"/>
      <c r="CB514" s="13"/>
      <c r="CC514" s="13"/>
      <c r="CD514" s="13"/>
      <c r="CE514" s="13"/>
      <c r="CF514" s="13"/>
      <c r="CG514" s="13"/>
      <c r="CH514" s="13"/>
      <c r="CI514" s="13"/>
      <c r="CJ514" s="13"/>
      <c r="CK514" s="13"/>
      <c r="CL514" s="13"/>
      <c r="CM514" s="13"/>
      <c r="CN514" s="13"/>
      <c r="CO514" s="13"/>
      <c r="CP514" s="13"/>
      <c r="CQ514" s="13"/>
      <c r="CR514" s="13"/>
      <c r="CS514" s="13"/>
      <c r="CT514" s="13"/>
      <c r="CU514" s="13"/>
    </row>
    <row r="515" spans="1:99" ht="12.75">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A515" s="13"/>
      <c r="CB515" s="13"/>
      <c r="CC515" s="13"/>
      <c r="CD515" s="13"/>
      <c r="CE515" s="13"/>
      <c r="CF515" s="13"/>
      <c r="CG515" s="13"/>
      <c r="CH515" s="13"/>
      <c r="CI515" s="13"/>
      <c r="CJ515" s="13"/>
      <c r="CK515" s="13"/>
      <c r="CL515" s="13"/>
      <c r="CM515" s="13"/>
      <c r="CN515" s="13"/>
      <c r="CO515" s="13"/>
      <c r="CP515" s="13"/>
      <c r="CQ515" s="13"/>
      <c r="CR515" s="13"/>
      <c r="CS515" s="13"/>
      <c r="CT515" s="13"/>
      <c r="CU515" s="13"/>
    </row>
    <row r="516" spans="1:99" ht="12.75">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c r="CF516" s="13"/>
      <c r="CG516" s="13"/>
      <c r="CH516" s="13"/>
      <c r="CI516" s="13"/>
      <c r="CJ516" s="13"/>
      <c r="CK516" s="13"/>
      <c r="CL516" s="13"/>
      <c r="CM516" s="13"/>
      <c r="CN516" s="13"/>
      <c r="CO516" s="13"/>
      <c r="CP516" s="13"/>
      <c r="CQ516" s="13"/>
      <c r="CR516" s="13"/>
      <c r="CS516" s="13"/>
      <c r="CT516" s="13"/>
      <c r="CU516" s="13"/>
    </row>
    <row r="517" spans="1:99" ht="12.75">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A517" s="13"/>
      <c r="CB517" s="13"/>
      <c r="CC517" s="13"/>
      <c r="CD517" s="13"/>
      <c r="CE517" s="13"/>
      <c r="CF517" s="13"/>
      <c r="CG517" s="13"/>
      <c r="CH517" s="13"/>
      <c r="CI517" s="13"/>
      <c r="CJ517" s="13"/>
      <c r="CK517" s="13"/>
      <c r="CL517" s="13"/>
      <c r="CM517" s="13"/>
      <c r="CN517" s="13"/>
      <c r="CO517" s="13"/>
      <c r="CP517" s="13"/>
      <c r="CQ517" s="13"/>
      <c r="CR517" s="13"/>
      <c r="CS517" s="13"/>
      <c r="CT517" s="13"/>
      <c r="CU517" s="13"/>
    </row>
    <row r="518" spans="1:99" ht="12.75">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row>
    <row r="519" spans="1:99" ht="12.75">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c r="CA519" s="13"/>
      <c r="CB519" s="13"/>
      <c r="CC519" s="13"/>
      <c r="CD519" s="13"/>
      <c r="CE519" s="13"/>
      <c r="CF519" s="13"/>
      <c r="CG519" s="13"/>
      <c r="CH519" s="13"/>
      <c r="CI519" s="13"/>
      <c r="CJ519" s="13"/>
      <c r="CK519" s="13"/>
      <c r="CL519" s="13"/>
      <c r="CM519" s="13"/>
      <c r="CN519" s="13"/>
      <c r="CO519" s="13"/>
      <c r="CP519" s="13"/>
      <c r="CQ519" s="13"/>
      <c r="CR519" s="13"/>
      <c r="CS519" s="13"/>
      <c r="CT519" s="13"/>
      <c r="CU519" s="13"/>
    </row>
    <row r="520" spans="1:99" ht="12.75">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c r="CA520" s="13"/>
      <c r="CB520" s="13"/>
      <c r="CC520" s="13"/>
      <c r="CD520" s="13"/>
      <c r="CE520" s="13"/>
      <c r="CF520" s="13"/>
      <c r="CG520" s="13"/>
      <c r="CH520" s="13"/>
      <c r="CI520" s="13"/>
      <c r="CJ520" s="13"/>
      <c r="CK520" s="13"/>
      <c r="CL520" s="13"/>
      <c r="CM520" s="13"/>
      <c r="CN520" s="13"/>
      <c r="CO520" s="13"/>
      <c r="CP520" s="13"/>
      <c r="CQ520" s="13"/>
      <c r="CR520" s="13"/>
      <c r="CS520" s="13"/>
      <c r="CT520" s="13"/>
      <c r="CU520" s="13"/>
    </row>
    <row r="521" spans="1:99" ht="12.75">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c r="CA521" s="13"/>
      <c r="CB521" s="13"/>
      <c r="CC521" s="13"/>
      <c r="CD521" s="13"/>
      <c r="CE521" s="13"/>
      <c r="CF521" s="13"/>
      <c r="CG521" s="13"/>
      <c r="CH521" s="13"/>
      <c r="CI521" s="13"/>
      <c r="CJ521" s="13"/>
      <c r="CK521" s="13"/>
      <c r="CL521" s="13"/>
      <c r="CM521" s="13"/>
      <c r="CN521" s="13"/>
      <c r="CO521" s="13"/>
      <c r="CP521" s="13"/>
      <c r="CQ521" s="13"/>
      <c r="CR521" s="13"/>
      <c r="CS521" s="13"/>
      <c r="CT521" s="13"/>
      <c r="CU521" s="13"/>
    </row>
    <row r="522" spans="1:99" ht="12.75">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c r="CA522" s="13"/>
      <c r="CB522" s="13"/>
      <c r="CC522" s="13"/>
      <c r="CD522" s="13"/>
      <c r="CE522" s="13"/>
      <c r="CF522" s="13"/>
      <c r="CG522" s="13"/>
      <c r="CH522" s="13"/>
      <c r="CI522" s="13"/>
      <c r="CJ522" s="13"/>
      <c r="CK522" s="13"/>
      <c r="CL522" s="13"/>
      <c r="CM522" s="13"/>
      <c r="CN522" s="13"/>
      <c r="CO522" s="13"/>
      <c r="CP522" s="13"/>
      <c r="CQ522" s="13"/>
      <c r="CR522" s="13"/>
      <c r="CS522" s="13"/>
      <c r="CT522" s="13"/>
      <c r="CU522" s="13"/>
    </row>
    <row r="523" spans="1:99" ht="12.75">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c r="CA523" s="13"/>
      <c r="CB523" s="13"/>
      <c r="CC523" s="13"/>
      <c r="CD523" s="13"/>
      <c r="CE523" s="13"/>
      <c r="CF523" s="13"/>
      <c r="CG523" s="13"/>
      <c r="CH523" s="13"/>
      <c r="CI523" s="13"/>
      <c r="CJ523" s="13"/>
      <c r="CK523" s="13"/>
      <c r="CL523" s="13"/>
      <c r="CM523" s="13"/>
      <c r="CN523" s="13"/>
      <c r="CO523" s="13"/>
      <c r="CP523" s="13"/>
      <c r="CQ523" s="13"/>
      <c r="CR523" s="13"/>
      <c r="CS523" s="13"/>
      <c r="CT523" s="13"/>
      <c r="CU523" s="13"/>
    </row>
    <row r="524" spans="1:99" ht="12.75">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c r="CA524" s="13"/>
      <c r="CB524" s="13"/>
      <c r="CC524" s="13"/>
      <c r="CD524" s="13"/>
      <c r="CE524" s="13"/>
      <c r="CF524" s="13"/>
      <c r="CG524" s="13"/>
      <c r="CH524" s="13"/>
      <c r="CI524" s="13"/>
      <c r="CJ524" s="13"/>
      <c r="CK524" s="13"/>
      <c r="CL524" s="13"/>
      <c r="CM524" s="13"/>
      <c r="CN524" s="13"/>
      <c r="CO524" s="13"/>
      <c r="CP524" s="13"/>
      <c r="CQ524" s="13"/>
      <c r="CR524" s="13"/>
      <c r="CS524" s="13"/>
      <c r="CT524" s="13"/>
      <c r="CU524" s="13"/>
    </row>
    <row r="525" spans="1:99" ht="12.75">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c r="BJ525" s="13"/>
      <c r="BK525" s="13"/>
      <c r="BL525" s="13"/>
      <c r="BM525" s="13"/>
      <c r="BN525" s="13"/>
      <c r="BO525" s="13"/>
      <c r="BP525" s="13"/>
      <c r="BQ525" s="13"/>
      <c r="BR525" s="13"/>
      <c r="BS525" s="13"/>
      <c r="BT525" s="13"/>
      <c r="BU525" s="13"/>
      <c r="BV525" s="13"/>
      <c r="BW525" s="13"/>
      <c r="BX525" s="13"/>
      <c r="BY525" s="13"/>
      <c r="BZ525" s="13"/>
      <c r="CA525" s="13"/>
      <c r="CB525" s="13"/>
      <c r="CC525" s="13"/>
      <c r="CD525" s="13"/>
      <c r="CE525" s="13"/>
      <c r="CF525" s="13"/>
      <c r="CG525" s="13"/>
      <c r="CH525" s="13"/>
      <c r="CI525" s="13"/>
      <c r="CJ525" s="13"/>
      <c r="CK525" s="13"/>
      <c r="CL525" s="13"/>
      <c r="CM525" s="13"/>
      <c r="CN525" s="13"/>
      <c r="CO525" s="13"/>
      <c r="CP525" s="13"/>
      <c r="CQ525" s="13"/>
      <c r="CR525" s="13"/>
      <c r="CS525" s="13"/>
      <c r="CT525" s="13"/>
      <c r="CU525" s="13"/>
    </row>
    <row r="526" spans="1:99" ht="12.75">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row>
    <row r="527" spans="1:99" ht="12.75">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c r="BH527" s="13"/>
      <c r="BI527" s="13"/>
      <c r="BJ527" s="13"/>
      <c r="BK527" s="13"/>
      <c r="BL527" s="13"/>
      <c r="BM527" s="13"/>
      <c r="BN527" s="13"/>
      <c r="BO527" s="13"/>
      <c r="BP527" s="13"/>
      <c r="BQ527" s="13"/>
      <c r="BR527" s="13"/>
      <c r="BS527" s="13"/>
      <c r="BT527" s="13"/>
      <c r="BU527" s="13"/>
      <c r="BV527" s="13"/>
      <c r="BW527" s="13"/>
      <c r="BX527" s="13"/>
      <c r="BY527" s="13"/>
      <c r="BZ527" s="13"/>
      <c r="CA527" s="13"/>
      <c r="CB527" s="13"/>
      <c r="CC527" s="13"/>
      <c r="CD527" s="13"/>
      <c r="CE527" s="13"/>
      <c r="CF527" s="13"/>
      <c r="CG527" s="13"/>
      <c r="CH527" s="13"/>
      <c r="CI527" s="13"/>
      <c r="CJ527" s="13"/>
      <c r="CK527" s="13"/>
      <c r="CL527" s="13"/>
      <c r="CM527" s="13"/>
      <c r="CN527" s="13"/>
      <c r="CO527" s="13"/>
      <c r="CP527" s="13"/>
      <c r="CQ527" s="13"/>
      <c r="CR527" s="13"/>
      <c r="CS527" s="13"/>
      <c r="CT527" s="13"/>
      <c r="CU527" s="13"/>
    </row>
    <row r="528" spans="1:99" ht="12.75">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c r="CA528" s="13"/>
      <c r="CB528" s="13"/>
      <c r="CC528" s="13"/>
      <c r="CD528" s="13"/>
      <c r="CE528" s="13"/>
      <c r="CF528" s="13"/>
      <c r="CG528" s="13"/>
      <c r="CH528" s="13"/>
      <c r="CI528" s="13"/>
      <c r="CJ528" s="13"/>
      <c r="CK528" s="13"/>
      <c r="CL528" s="13"/>
      <c r="CM528" s="13"/>
      <c r="CN528" s="13"/>
      <c r="CO528" s="13"/>
      <c r="CP528" s="13"/>
      <c r="CQ528" s="13"/>
      <c r="CR528" s="13"/>
      <c r="CS528" s="13"/>
      <c r="CT528" s="13"/>
      <c r="CU528" s="13"/>
    </row>
    <row r="529" spans="1:99" ht="12.75">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c r="CA529" s="13"/>
      <c r="CB529" s="13"/>
      <c r="CC529" s="13"/>
      <c r="CD529" s="13"/>
      <c r="CE529" s="13"/>
      <c r="CF529" s="13"/>
      <c r="CG529" s="13"/>
      <c r="CH529" s="13"/>
      <c r="CI529" s="13"/>
      <c r="CJ529" s="13"/>
      <c r="CK529" s="13"/>
      <c r="CL529" s="13"/>
      <c r="CM529" s="13"/>
      <c r="CN529" s="13"/>
      <c r="CO529" s="13"/>
      <c r="CP529" s="13"/>
      <c r="CQ529" s="13"/>
      <c r="CR529" s="13"/>
      <c r="CS529" s="13"/>
      <c r="CT529" s="13"/>
      <c r="CU529" s="13"/>
    </row>
    <row r="530" spans="1:99" ht="12.75">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c r="CA530" s="13"/>
      <c r="CB530" s="13"/>
      <c r="CC530" s="13"/>
      <c r="CD530" s="13"/>
      <c r="CE530" s="13"/>
      <c r="CF530" s="13"/>
      <c r="CG530" s="13"/>
      <c r="CH530" s="13"/>
      <c r="CI530" s="13"/>
      <c r="CJ530" s="13"/>
      <c r="CK530" s="13"/>
      <c r="CL530" s="13"/>
      <c r="CM530" s="13"/>
      <c r="CN530" s="13"/>
      <c r="CO530" s="13"/>
      <c r="CP530" s="13"/>
      <c r="CQ530" s="13"/>
      <c r="CR530" s="13"/>
      <c r="CS530" s="13"/>
      <c r="CT530" s="13"/>
      <c r="CU530" s="13"/>
    </row>
    <row r="531" spans="1:99" ht="12.75">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c r="CA531" s="13"/>
      <c r="CB531" s="13"/>
      <c r="CC531" s="13"/>
      <c r="CD531" s="13"/>
      <c r="CE531" s="13"/>
      <c r="CF531" s="13"/>
      <c r="CG531" s="13"/>
      <c r="CH531" s="13"/>
      <c r="CI531" s="13"/>
      <c r="CJ531" s="13"/>
      <c r="CK531" s="13"/>
      <c r="CL531" s="13"/>
      <c r="CM531" s="13"/>
      <c r="CN531" s="13"/>
      <c r="CO531" s="13"/>
      <c r="CP531" s="13"/>
      <c r="CQ531" s="13"/>
      <c r="CR531" s="13"/>
      <c r="CS531" s="13"/>
      <c r="CT531" s="13"/>
      <c r="CU531" s="13"/>
    </row>
    <row r="532" spans="1:99" ht="12.75">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c r="CA532" s="13"/>
      <c r="CB532" s="13"/>
      <c r="CC532" s="13"/>
      <c r="CD532" s="13"/>
      <c r="CE532" s="13"/>
      <c r="CF532" s="13"/>
      <c r="CG532" s="13"/>
      <c r="CH532" s="13"/>
      <c r="CI532" s="13"/>
      <c r="CJ532" s="13"/>
      <c r="CK532" s="13"/>
      <c r="CL532" s="13"/>
      <c r="CM532" s="13"/>
      <c r="CN532" s="13"/>
      <c r="CO532" s="13"/>
      <c r="CP532" s="13"/>
      <c r="CQ532" s="13"/>
      <c r="CR532" s="13"/>
      <c r="CS532" s="13"/>
      <c r="CT532" s="13"/>
      <c r="CU532" s="13"/>
    </row>
    <row r="533" spans="1:99" ht="12.75">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c r="CA533" s="13"/>
      <c r="CB533" s="13"/>
      <c r="CC533" s="13"/>
      <c r="CD533" s="13"/>
      <c r="CE533" s="13"/>
      <c r="CF533" s="13"/>
      <c r="CG533" s="13"/>
      <c r="CH533" s="13"/>
      <c r="CI533" s="13"/>
      <c r="CJ533" s="13"/>
      <c r="CK533" s="13"/>
      <c r="CL533" s="13"/>
      <c r="CM533" s="13"/>
      <c r="CN533" s="13"/>
      <c r="CO533" s="13"/>
      <c r="CP533" s="13"/>
      <c r="CQ533" s="13"/>
      <c r="CR533" s="13"/>
      <c r="CS533" s="13"/>
      <c r="CT533" s="13"/>
      <c r="CU533" s="13"/>
    </row>
    <row r="534" spans="1:99" ht="12.75">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row>
    <row r="535" spans="1:99" ht="12.75">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c r="CA535" s="13"/>
      <c r="CB535" s="13"/>
      <c r="CC535" s="13"/>
      <c r="CD535" s="13"/>
      <c r="CE535" s="13"/>
      <c r="CF535" s="13"/>
      <c r="CG535" s="13"/>
      <c r="CH535" s="13"/>
      <c r="CI535" s="13"/>
      <c r="CJ535" s="13"/>
      <c r="CK535" s="13"/>
      <c r="CL535" s="13"/>
      <c r="CM535" s="13"/>
      <c r="CN535" s="13"/>
      <c r="CO535" s="13"/>
      <c r="CP535" s="13"/>
      <c r="CQ535" s="13"/>
      <c r="CR535" s="13"/>
      <c r="CS535" s="13"/>
      <c r="CT535" s="13"/>
      <c r="CU535" s="13"/>
    </row>
    <row r="536" spans="1:99" ht="12.75">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c r="CE536" s="13"/>
      <c r="CF536" s="13"/>
      <c r="CG536" s="13"/>
      <c r="CH536" s="13"/>
      <c r="CI536" s="13"/>
      <c r="CJ536" s="13"/>
      <c r="CK536" s="13"/>
      <c r="CL536" s="13"/>
      <c r="CM536" s="13"/>
      <c r="CN536" s="13"/>
      <c r="CO536" s="13"/>
      <c r="CP536" s="13"/>
      <c r="CQ536" s="13"/>
      <c r="CR536" s="13"/>
      <c r="CS536" s="13"/>
      <c r="CT536" s="13"/>
      <c r="CU536" s="13"/>
    </row>
    <row r="537" spans="1:99" ht="12.75">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c r="CE537" s="13"/>
      <c r="CF537" s="13"/>
      <c r="CG537" s="13"/>
      <c r="CH537" s="13"/>
      <c r="CI537" s="13"/>
      <c r="CJ537" s="13"/>
      <c r="CK537" s="13"/>
      <c r="CL537" s="13"/>
      <c r="CM537" s="13"/>
      <c r="CN537" s="13"/>
      <c r="CO537" s="13"/>
      <c r="CP537" s="13"/>
      <c r="CQ537" s="13"/>
      <c r="CR537" s="13"/>
      <c r="CS537" s="13"/>
      <c r="CT537" s="13"/>
      <c r="CU537" s="13"/>
    </row>
    <row r="538" spans="1:99" ht="12.75">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c r="CA538" s="13"/>
      <c r="CB538" s="13"/>
      <c r="CC538" s="13"/>
      <c r="CD538" s="13"/>
      <c r="CE538" s="13"/>
      <c r="CF538" s="13"/>
      <c r="CG538" s="13"/>
      <c r="CH538" s="13"/>
      <c r="CI538" s="13"/>
      <c r="CJ538" s="13"/>
      <c r="CK538" s="13"/>
      <c r="CL538" s="13"/>
      <c r="CM538" s="13"/>
      <c r="CN538" s="13"/>
      <c r="CO538" s="13"/>
      <c r="CP538" s="13"/>
      <c r="CQ538" s="13"/>
      <c r="CR538" s="13"/>
      <c r="CS538" s="13"/>
      <c r="CT538" s="13"/>
      <c r="CU538" s="13"/>
    </row>
    <row r="539" spans="1:99" ht="12.75">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c r="CA539" s="13"/>
      <c r="CB539" s="13"/>
      <c r="CC539" s="13"/>
      <c r="CD539" s="13"/>
      <c r="CE539" s="13"/>
      <c r="CF539" s="13"/>
      <c r="CG539" s="13"/>
      <c r="CH539" s="13"/>
      <c r="CI539" s="13"/>
      <c r="CJ539" s="13"/>
      <c r="CK539" s="13"/>
      <c r="CL539" s="13"/>
      <c r="CM539" s="13"/>
      <c r="CN539" s="13"/>
      <c r="CO539" s="13"/>
      <c r="CP539" s="13"/>
      <c r="CQ539" s="13"/>
      <c r="CR539" s="13"/>
      <c r="CS539" s="13"/>
      <c r="CT539" s="13"/>
      <c r="CU539" s="13"/>
    </row>
    <row r="540" spans="1:99" ht="12.75">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c r="CA540" s="13"/>
      <c r="CB540" s="13"/>
      <c r="CC540" s="13"/>
      <c r="CD540" s="13"/>
      <c r="CE540" s="13"/>
      <c r="CF540" s="13"/>
      <c r="CG540" s="13"/>
      <c r="CH540" s="13"/>
      <c r="CI540" s="13"/>
      <c r="CJ540" s="13"/>
      <c r="CK540" s="13"/>
      <c r="CL540" s="13"/>
      <c r="CM540" s="13"/>
      <c r="CN540" s="13"/>
      <c r="CO540" s="13"/>
      <c r="CP540" s="13"/>
      <c r="CQ540" s="13"/>
      <c r="CR540" s="13"/>
      <c r="CS540" s="13"/>
      <c r="CT540" s="13"/>
      <c r="CU540" s="13"/>
    </row>
    <row r="541" spans="1:99" ht="12.75">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c r="CA541" s="13"/>
      <c r="CB541" s="13"/>
      <c r="CC541" s="13"/>
      <c r="CD541" s="13"/>
      <c r="CE541" s="13"/>
      <c r="CF541" s="13"/>
      <c r="CG541" s="13"/>
      <c r="CH541" s="13"/>
      <c r="CI541" s="13"/>
      <c r="CJ541" s="13"/>
      <c r="CK541" s="13"/>
      <c r="CL541" s="13"/>
      <c r="CM541" s="13"/>
      <c r="CN541" s="13"/>
      <c r="CO541" s="13"/>
      <c r="CP541" s="13"/>
      <c r="CQ541" s="13"/>
      <c r="CR541" s="13"/>
      <c r="CS541" s="13"/>
      <c r="CT541" s="13"/>
      <c r="CU541" s="13"/>
    </row>
    <row r="542" spans="1:99" ht="12.75">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row>
    <row r="543" spans="1:99" ht="12.75">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c r="CA543" s="13"/>
      <c r="CB543" s="13"/>
      <c r="CC543" s="13"/>
      <c r="CD543" s="13"/>
      <c r="CE543" s="13"/>
      <c r="CF543" s="13"/>
      <c r="CG543" s="13"/>
      <c r="CH543" s="13"/>
      <c r="CI543" s="13"/>
      <c r="CJ543" s="13"/>
      <c r="CK543" s="13"/>
      <c r="CL543" s="13"/>
      <c r="CM543" s="13"/>
      <c r="CN543" s="13"/>
      <c r="CO543" s="13"/>
      <c r="CP543" s="13"/>
      <c r="CQ543" s="13"/>
      <c r="CR543" s="13"/>
      <c r="CS543" s="13"/>
      <c r="CT543" s="13"/>
      <c r="CU543" s="13"/>
    </row>
    <row r="544" spans="1:99" ht="12.75">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c r="CE544" s="13"/>
      <c r="CF544" s="13"/>
      <c r="CG544" s="13"/>
      <c r="CH544" s="13"/>
      <c r="CI544" s="13"/>
      <c r="CJ544" s="13"/>
      <c r="CK544" s="13"/>
      <c r="CL544" s="13"/>
      <c r="CM544" s="13"/>
      <c r="CN544" s="13"/>
      <c r="CO544" s="13"/>
      <c r="CP544" s="13"/>
      <c r="CQ544" s="13"/>
      <c r="CR544" s="13"/>
      <c r="CS544" s="13"/>
      <c r="CT544" s="13"/>
      <c r="CU544" s="13"/>
    </row>
    <row r="545" spans="1:99" ht="12.75">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c r="CA545" s="13"/>
      <c r="CB545" s="13"/>
      <c r="CC545" s="13"/>
      <c r="CD545" s="13"/>
      <c r="CE545" s="13"/>
      <c r="CF545" s="13"/>
      <c r="CG545" s="13"/>
      <c r="CH545" s="13"/>
      <c r="CI545" s="13"/>
      <c r="CJ545" s="13"/>
      <c r="CK545" s="13"/>
      <c r="CL545" s="13"/>
      <c r="CM545" s="13"/>
      <c r="CN545" s="13"/>
      <c r="CO545" s="13"/>
      <c r="CP545" s="13"/>
      <c r="CQ545" s="13"/>
      <c r="CR545" s="13"/>
      <c r="CS545" s="13"/>
      <c r="CT545" s="13"/>
      <c r="CU545" s="13"/>
    </row>
    <row r="546" spans="1:99" ht="12.75">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c r="CE546" s="13"/>
      <c r="CF546" s="13"/>
      <c r="CG546" s="13"/>
      <c r="CH546" s="13"/>
      <c r="CI546" s="13"/>
      <c r="CJ546" s="13"/>
      <c r="CK546" s="13"/>
      <c r="CL546" s="13"/>
      <c r="CM546" s="13"/>
      <c r="CN546" s="13"/>
      <c r="CO546" s="13"/>
      <c r="CP546" s="13"/>
      <c r="CQ546" s="13"/>
      <c r="CR546" s="13"/>
      <c r="CS546" s="13"/>
      <c r="CT546" s="13"/>
      <c r="CU546" s="13"/>
    </row>
    <row r="547" spans="1:99" ht="12.75">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A547" s="13"/>
      <c r="CB547" s="13"/>
      <c r="CC547" s="13"/>
      <c r="CD547" s="13"/>
      <c r="CE547" s="13"/>
      <c r="CF547" s="13"/>
      <c r="CG547" s="13"/>
      <c r="CH547" s="13"/>
      <c r="CI547" s="13"/>
      <c r="CJ547" s="13"/>
      <c r="CK547" s="13"/>
      <c r="CL547" s="13"/>
      <c r="CM547" s="13"/>
      <c r="CN547" s="13"/>
      <c r="CO547" s="13"/>
      <c r="CP547" s="13"/>
      <c r="CQ547" s="13"/>
      <c r="CR547" s="13"/>
      <c r="CS547" s="13"/>
      <c r="CT547" s="13"/>
      <c r="CU547" s="13"/>
    </row>
    <row r="548" spans="1:99" ht="12.75">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c r="BE548" s="13"/>
      <c r="BF548" s="13"/>
      <c r="BG548" s="13"/>
      <c r="BH548" s="13"/>
      <c r="BI548" s="13"/>
      <c r="BJ548" s="13"/>
      <c r="BK548" s="13"/>
      <c r="BL548" s="13"/>
      <c r="BM548" s="13"/>
      <c r="BN548" s="13"/>
      <c r="BO548" s="13"/>
      <c r="BP548" s="13"/>
      <c r="BQ548" s="13"/>
      <c r="BR548" s="13"/>
      <c r="BS548" s="13"/>
      <c r="BT548" s="13"/>
      <c r="BU548" s="13"/>
      <c r="BV548" s="13"/>
      <c r="BW548" s="13"/>
      <c r="BX548" s="13"/>
      <c r="BY548" s="13"/>
      <c r="BZ548" s="13"/>
      <c r="CA548" s="13"/>
      <c r="CB548" s="13"/>
      <c r="CC548" s="13"/>
      <c r="CD548" s="13"/>
      <c r="CE548" s="13"/>
      <c r="CF548" s="13"/>
      <c r="CG548" s="13"/>
      <c r="CH548" s="13"/>
      <c r="CI548" s="13"/>
      <c r="CJ548" s="13"/>
      <c r="CK548" s="13"/>
      <c r="CL548" s="13"/>
      <c r="CM548" s="13"/>
      <c r="CN548" s="13"/>
      <c r="CO548" s="13"/>
      <c r="CP548" s="13"/>
      <c r="CQ548" s="13"/>
      <c r="CR548" s="13"/>
      <c r="CS548" s="13"/>
      <c r="CT548" s="13"/>
      <c r="CU548" s="13"/>
    </row>
    <row r="549" spans="1:99" ht="12.75">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c r="CA549" s="13"/>
      <c r="CB549" s="13"/>
      <c r="CC549" s="13"/>
      <c r="CD549" s="13"/>
      <c r="CE549" s="13"/>
      <c r="CF549" s="13"/>
      <c r="CG549" s="13"/>
      <c r="CH549" s="13"/>
      <c r="CI549" s="13"/>
      <c r="CJ549" s="13"/>
      <c r="CK549" s="13"/>
      <c r="CL549" s="13"/>
      <c r="CM549" s="13"/>
      <c r="CN549" s="13"/>
      <c r="CO549" s="13"/>
      <c r="CP549" s="13"/>
      <c r="CQ549" s="13"/>
      <c r="CR549" s="13"/>
      <c r="CS549" s="13"/>
      <c r="CT549" s="13"/>
      <c r="CU549" s="13"/>
    </row>
    <row r="550" spans="1:99" ht="12.75">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row>
    <row r="551" spans="1:99" ht="12.75">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c r="CA551" s="13"/>
      <c r="CB551" s="13"/>
      <c r="CC551" s="13"/>
      <c r="CD551" s="13"/>
      <c r="CE551" s="13"/>
      <c r="CF551" s="13"/>
      <c r="CG551" s="13"/>
      <c r="CH551" s="13"/>
      <c r="CI551" s="13"/>
      <c r="CJ551" s="13"/>
      <c r="CK551" s="13"/>
      <c r="CL551" s="13"/>
      <c r="CM551" s="13"/>
      <c r="CN551" s="13"/>
      <c r="CO551" s="13"/>
      <c r="CP551" s="13"/>
      <c r="CQ551" s="13"/>
      <c r="CR551" s="13"/>
      <c r="CS551" s="13"/>
      <c r="CT551" s="13"/>
      <c r="CU551" s="13"/>
    </row>
    <row r="552" spans="1:99" ht="12.75">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c r="CA552" s="13"/>
      <c r="CB552" s="13"/>
      <c r="CC552" s="13"/>
      <c r="CD552" s="13"/>
      <c r="CE552" s="13"/>
      <c r="CF552" s="13"/>
      <c r="CG552" s="13"/>
      <c r="CH552" s="13"/>
      <c r="CI552" s="13"/>
      <c r="CJ552" s="13"/>
      <c r="CK552" s="13"/>
      <c r="CL552" s="13"/>
      <c r="CM552" s="13"/>
      <c r="CN552" s="13"/>
      <c r="CO552" s="13"/>
      <c r="CP552" s="13"/>
      <c r="CQ552" s="13"/>
      <c r="CR552" s="13"/>
      <c r="CS552" s="13"/>
      <c r="CT552" s="13"/>
      <c r="CU552" s="13"/>
    </row>
    <row r="553" spans="1:99" ht="12.75">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c r="CA553" s="13"/>
      <c r="CB553" s="13"/>
      <c r="CC553" s="13"/>
      <c r="CD553" s="13"/>
      <c r="CE553" s="13"/>
      <c r="CF553" s="13"/>
      <c r="CG553" s="13"/>
      <c r="CH553" s="13"/>
      <c r="CI553" s="13"/>
      <c r="CJ553" s="13"/>
      <c r="CK553" s="13"/>
      <c r="CL553" s="13"/>
      <c r="CM553" s="13"/>
      <c r="CN553" s="13"/>
      <c r="CO553" s="13"/>
      <c r="CP553" s="13"/>
      <c r="CQ553" s="13"/>
      <c r="CR553" s="13"/>
      <c r="CS553" s="13"/>
      <c r="CT553" s="13"/>
      <c r="CU553" s="13"/>
    </row>
    <row r="554" spans="1:99" ht="12.75">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s="13"/>
      <c r="CB554" s="13"/>
      <c r="CC554" s="13"/>
      <c r="CD554" s="13"/>
      <c r="CE554" s="13"/>
      <c r="CF554" s="13"/>
      <c r="CG554" s="13"/>
      <c r="CH554" s="13"/>
      <c r="CI554" s="13"/>
      <c r="CJ554" s="13"/>
      <c r="CK554" s="13"/>
      <c r="CL554" s="13"/>
      <c r="CM554" s="13"/>
      <c r="CN554" s="13"/>
      <c r="CO554" s="13"/>
      <c r="CP554" s="13"/>
      <c r="CQ554" s="13"/>
      <c r="CR554" s="13"/>
      <c r="CS554" s="13"/>
      <c r="CT554" s="13"/>
      <c r="CU554" s="13"/>
    </row>
    <row r="555" spans="1:99" ht="12.75">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c r="CA555" s="13"/>
      <c r="CB555" s="13"/>
      <c r="CC555" s="13"/>
      <c r="CD555" s="13"/>
      <c r="CE555" s="13"/>
      <c r="CF555" s="13"/>
      <c r="CG555" s="13"/>
      <c r="CH555" s="13"/>
      <c r="CI555" s="13"/>
      <c r="CJ555" s="13"/>
      <c r="CK555" s="13"/>
      <c r="CL555" s="13"/>
      <c r="CM555" s="13"/>
      <c r="CN555" s="13"/>
      <c r="CO555" s="13"/>
      <c r="CP555" s="13"/>
      <c r="CQ555" s="13"/>
      <c r="CR555" s="13"/>
      <c r="CS555" s="13"/>
      <c r="CT555" s="13"/>
      <c r="CU555" s="13"/>
    </row>
    <row r="556" spans="1:99" ht="12.75">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c r="CA556" s="13"/>
      <c r="CB556" s="13"/>
      <c r="CC556" s="13"/>
      <c r="CD556" s="13"/>
      <c r="CE556" s="13"/>
      <c r="CF556" s="13"/>
      <c r="CG556" s="13"/>
      <c r="CH556" s="13"/>
      <c r="CI556" s="13"/>
      <c r="CJ556" s="13"/>
      <c r="CK556" s="13"/>
      <c r="CL556" s="13"/>
      <c r="CM556" s="13"/>
      <c r="CN556" s="13"/>
      <c r="CO556" s="13"/>
      <c r="CP556" s="13"/>
      <c r="CQ556" s="13"/>
      <c r="CR556" s="13"/>
      <c r="CS556" s="13"/>
      <c r="CT556" s="13"/>
      <c r="CU556" s="13"/>
    </row>
    <row r="557" spans="1:99" ht="12.75">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c r="CA557" s="13"/>
      <c r="CB557" s="13"/>
      <c r="CC557" s="13"/>
      <c r="CD557" s="13"/>
      <c r="CE557" s="13"/>
      <c r="CF557" s="13"/>
      <c r="CG557" s="13"/>
      <c r="CH557" s="13"/>
      <c r="CI557" s="13"/>
      <c r="CJ557" s="13"/>
      <c r="CK557" s="13"/>
      <c r="CL557" s="13"/>
      <c r="CM557" s="13"/>
      <c r="CN557" s="13"/>
      <c r="CO557" s="13"/>
      <c r="CP557" s="13"/>
      <c r="CQ557" s="13"/>
      <c r="CR557" s="13"/>
      <c r="CS557" s="13"/>
      <c r="CT557" s="13"/>
      <c r="CU557" s="13"/>
    </row>
    <row r="558" spans="1:99" ht="12.75">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row>
    <row r="559" spans="1:99" ht="12.75">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c r="CA559" s="13"/>
      <c r="CB559" s="13"/>
      <c r="CC559" s="13"/>
      <c r="CD559" s="13"/>
      <c r="CE559" s="13"/>
      <c r="CF559" s="13"/>
      <c r="CG559" s="13"/>
      <c r="CH559" s="13"/>
      <c r="CI559" s="13"/>
      <c r="CJ559" s="13"/>
      <c r="CK559" s="13"/>
      <c r="CL559" s="13"/>
      <c r="CM559" s="13"/>
      <c r="CN559" s="13"/>
      <c r="CO559" s="13"/>
      <c r="CP559" s="13"/>
      <c r="CQ559" s="13"/>
      <c r="CR559" s="13"/>
      <c r="CS559" s="13"/>
      <c r="CT559" s="13"/>
      <c r="CU559" s="13"/>
    </row>
    <row r="560" spans="1:99" ht="12.75">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c r="CA560" s="13"/>
      <c r="CB560" s="13"/>
      <c r="CC560" s="13"/>
      <c r="CD560" s="13"/>
      <c r="CE560" s="13"/>
      <c r="CF560" s="13"/>
      <c r="CG560" s="13"/>
      <c r="CH560" s="13"/>
      <c r="CI560" s="13"/>
      <c r="CJ560" s="13"/>
      <c r="CK560" s="13"/>
      <c r="CL560" s="13"/>
      <c r="CM560" s="13"/>
      <c r="CN560" s="13"/>
      <c r="CO560" s="13"/>
      <c r="CP560" s="13"/>
      <c r="CQ560" s="13"/>
      <c r="CR560" s="13"/>
      <c r="CS560" s="13"/>
      <c r="CT560" s="13"/>
      <c r="CU560" s="13"/>
    </row>
    <row r="561" spans="1:99" ht="12.75">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c r="BO561" s="13"/>
      <c r="BP561" s="13"/>
      <c r="BQ561" s="13"/>
      <c r="BR561" s="13"/>
      <c r="BS561" s="13"/>
      <c r="BT561" s="13"/>
      <c r="BU561" s="13"/>
      <c r="BV561" s="13"/>
      <c r="BW561" s="13"/>
      <c r="BX561" s="13"/>
      <c r="BY561" s="13"/>
      <c r="BZ561" s="13"/>
      <c r="CA561" s="13"/>
      <c r="CB561" s="13"/>
      <c r="CC561" s="13"/>
      <c r="CD561" s="13"/>
      <c r="CE561" s="13"/>
      <c r="CF561" s="13"/>
      <c r="CG561" s="13"/>
      <c r="CH561" s="13"/>
      <c r="CI561" s="13"/>
      <c r="CJ561" s="13"/>
      <c r="CK561" s="13"/>
      <c r="CL561" s="13"/>
      <c r="CM561" s="13"/>
      <c r="CN561" s="13"/>
      <c r="CO561" s="13"/>
      <c r="CP561" s="13"/>
      <c r="CQ561" s="13"/>
      <c r="CR561" s="13"/>
      <c r="CS561" s="13"/>
      <c r="CT561" s="13"/>
      <c r="CU561" s="13"/>
    </row>
    <row r="562" spans="1:99" ht="12.75">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c r="CA562" s="13"/>
      <c r="CB562" s="13"/>
      <c r="CC562" s="13"/>
      <c r="CD562" s="13"/>
      <c r="CE562" s="13"/>
      <c r="CF562" s="13"/>
      <c r="CG562" s="13"/>
      <c r="CH562" s="13"/>
      <c r="CI562" s="13"/>
      <c r="CJ562" s="13"/>
      <c r="CK562" s="13"/>
      <c r="CL562" s="13"/>
      <c r="CM562" s="13"/>
      <c r="CN562" s="13"/>
      <c r="CO562" s="13"/>
      <c r="CP562" s="13"/>
      <c r="CQ562" s="13"/>
      <c r="CR562" s="13"/>
      <c r="CS562" s="13"/>
      <c r="CT562" s="13"/>
      <c r="CU562" s="13"/>
    </row>
    <row r="563" spans="1:99" ht="12.75">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c r="BK563" s="13"/>
      <c r="BL563" s="13"/>
      <c r="BM563" s="13"/>
      <c r="BN563" s="13"/>
      <c r="BO563" s="13"/>
      <c r="BP563" s="13"/>
      <c r="BQ563" s="13"/>
      <c r="BR563" s="13"/>
      <c r="BS563" s="13"/>
      <c r="BT563" s="13"/>
      <c r="BU563" s="13"/>
      <c r="BV563" s="13"/>
      <c r="BW563" s="13"/>
      <c r="BX563" s="13"/>
      <c r="BY563" s="13"/>
      <c r="BZ563" s="13"/>
      <c r="CA563" s="13"/>
      <c r="CB563" s="13"/>
      <c r="CC563" s="13"/>
      <c r="CD563" s="13"/>
      <c r="CE563" s="13"/>
      <c r="CF563" s="13"/>
      <c r="CG563" s="13"/>
      <c r="CH563" s="13"/>
      <c r="CI563" s="13"/>
      <c r="CJ563" s="13"/>
      <c r="CK563" s="13"/>
      <c r="CL563" s="13"/>
      <c r="CM563" s="13"/>
      <c r="CN563" s="13"/>
      <c r="CO563" s="13"/>
      <c r="CP563" s="13"/>
      <c r="CQ563" s="13"/>
      <c r="CR563" s="13"/>
      <c r="CS563" s="13"/>
      <c r="CT563" s="13"/>
      <c r="CU563" s="13"/>
    </row>
    <row r="564" spans="1:99" ht="12.75">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L564" s="13"/>
      <c r="BM564" s="13"/>
      <c r="BN564" s="13"/>
      <c r="BO564" s="13"/>
      <c r="BP564" s="13"/>
      <c r="BQ564" s="13"/>
      <c r="BR564" s="13"/>
      <c r="BS564" s="13"/>
      <c r="BT564" s="13"/>
      <c r="BU564" s="13"/>
      <c r="BV564" s="13"/>
      <c r="BW564" s="13"/>
      <c r="BX564" s="13"/>
      <c r="BY564" s="13"/>
      <c r="BZ564" s="13"/>
      <c r="CA564" s="13"/>
      <c r="CB564" s="13"/>
      <c r="CC564" s="13"/>
      <c r="CD564" s="13"/>
      <c r="CE564" s="13"/>
      <c r="CF564" s="13"/>
      <c r="CG564" s="13"/>
      <c r="CH564" s="13"/>
      <c r="CI564" s="13"/>
      <c r="CJ564" s="13"/>
      <c r="CK564" s="13"/>
      <c r="CL564" s="13"/>
      <c r="CM564" s="13"/>
      <c r="CN564" s="13"/>
      <c r="CO564" s="13"/>
      <c r="CP564" s="13"/>
      <c r="CQ564" s="13"/>
      <c r="CR564" s="13"/>
      <c r="CS564" s="13"/>
      <c r="CT564" s="13"/>
      <c r="CU564" s="13"/>
    </row>
    <row r="565" spans="1:99" ht="12.75">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c r="BP565" s="13"/>
      <c r="BQ565" s="13"/>
      <c r="BR565" s="13"/>
      <c r="BS565" s="13"/>
      <c r="BT565" s="13"/>
      <c r="BU565" s="13"/>
      <c r="BV565" s="13"/>
      <c r="BW565" s="13"/>
      <c r="BX565" s="13"/>
      <c r="BY565" s="13"/>
      <c r="BZ565" s="13"/>
      <c r="CA565" s="13"/>
      <c r="CB565" s="13"/>
      <c r="CC565" s="13"/>
      <c r="CD565" s="13"/>
      <c r="CE565" s="13"/>
      <c r="CF565" s="13"/>
      <c r="CG565" s="13"/>
      <c r="CH565" s="13"/>
      <c r="CI565" s="13"/>
      <c r="CJ565" s="13"/>
      <c r="CK565" s="13"/>
      <c r="CL565" s="13"/>
      <c r="CM565" s="13"/>
      <c r="CN565" s="13"/>
      <c r="CO565" s="13"/>
      <c r="CP565" s="13"/>
      <c r="CQ565" s="13"/>
      <c r="CR565" s="13"/>
      <c r="CS565" s="13"/>
      <c r="CT565" s="13"/>
      <c r="CU565" s="13"/>
    </row>
    <row r="566" spans="1:99" ht="12.75">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row>
    <row r="567" spans="1:99" ht="12.75">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c r="BO567" s="13"/>
      <c r="BP567" s="13"/>
      <c r="BQ567" s="13"/>
      <c r="BR567" s="13"/>
      <c r="BS567" s="13"/>
      <c r="BT567" s="13"/>
      <c r="BU567" s="13"/>
      <c r="BV567" s="13"/>
      <c r="BW567" s="13"/>
      <c r="BX567" s="13"/>
      <c r="BY567" s="13"/>
      <c r="BZ567" s="13"/>
      <c r="CA567" s="13"/>
      <c r="CB567" s="13"/>
      <c r="CC567" s="13"/>
      <c r="CD567" s="13"/>
      <c r="CE567" s="13"/>
      <c r="CF567" s="13"/>
      <c r="CG567" s="13"/>
      <c r="CH567" s="13"/>
      <c r="CI567" s="13"/>
      <c r="CJ567" s="13"/>
      <c r="CK567" s="13"/>
      <c r="CL567" s="13"/>
      <c r="CM567" s="13"/>
      <c r="CN567" s="13"/>
      <c r="CO567" s="13"/>
      <c r="CP567" s="13"/>
      <c r="CQ567" s="13"/>
      <c r="CR567" s="13"/>
      <c r="CS567" s="13"/>
      <c r="CT567" s="13"/>
      <c r="CU567" s="13"/>
    </row>
    <row r="568" spans="1:99" ht="12.75">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c r="BJ568" s="13"/>
      <c r="BK568" s="13"/>
      <c r="BL568" s="13"/>
      <c r="BM568" s="13"/>
      <c r="BN568" s="13"/>
      <c r="BO568" s="13"/>
      <c r="BP568" s="13"/>
      <c r="BQ568" s="13"/>
      <c r="BR568" s="13"/>
      <c r="BS568" s="13"/>
      <c r="BT568" s="13"/>
      <c r="BU568" s="13"/>
      <c r="BV568" s="13"/>
      <c r="BW568" s="13"/>
      <c r="BX568" s="13"/>
      <c r="BY568" s="13"/>
      <c r="BZ568" s="13"/>
      <c r="CA568" s="13"/>
      <c r="CB568" s="13"/>
      <c r="CC568" s="13"/>
      <c r="CD568" s="13"/>
      <c r="CE568" s="13"/>
      <c r="CF568" s="13"/>
      <c r="CG568" s="13"/>
      <c r="CH568" s="13"/>
      <c r="CI568" s="13"/>
      <c r="CJ568" s="13"/>
      <c r="CK568" s="13"/>
      <c r="CL568" s="13"/>
      <c r="CM568" s="13"/>
      <c r="CN568" s="13"/>
      <c r="CO568" s="13"/>
      <c r="CP568" s="13"/>
      <c r="CQ568" s="13"/>
      <c r="CR568" s="13"/>
      <c r="CS568" s="13"/>
      <c r="CT568" s="13"/>
      <c r="CU568" s="13"/>
    </row>
    <row r="569" spans="1:99" ht="12.75">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c r="BJ569" s="13"/>
      <c r="BK569" s="13"/>
      <c r="BL569" s="13"/>
      <c r="BM569" s="13"/>
      <c r="BN569" s="13"/>
      <c r="BO569" s="13"/>
      <c r="BP569" s="13"/>
      <c r="BQ569" s="13"/>
      <c r="BR569" s="13"/>
      <c r="BS569" s="13"/>
      <c r="BT569" s="13"/>
      <c r="BU569" s="13"/>
      <c r="BV569" s="13"/>
      <c r="BW569" s="13"/>
      <c r="BX569" s="13"/>
      <c r="BY569" s="13"/>
      <c r="BZ569" s="13"/>
      <c r="CA569" s="13"/>
      <c r="CB569" s="13"/>
      <c r="CC569" s="13"/>
      <c r="CD569" s="13"/>
      <c r="CE569" s="13"/>
      <c r="CF569" s="13"/>
      <c r="CG569" s="13"/>
      <c r="CH569" s="13"/>
      <c r="CI569" s="13"/>
      <c r="CJ569" s="13"/>
      <c r="CK569" s="13"/>
      <c r="CL569" s="13"/>
      <c r="CM569" s="13"/>
      <c r="CN569" s="13"/>
      <c r="CO569" s="13"/>
      <c r="CP569" s="13"/>
      <c r="CQ569" s="13"/>
      <c r="CR569" s="13"/>
      <c r="CS569" s="13"/>
      <c r="CT569" s="13"/>
      <c r="CU569" s="13"/>
    </row>
    <row r="570" spans="1:99" ht="12.75">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c r="BE570" s="13"/>
      <c r="BF570" s="13"/>
      <c r="BG570" s="13"/>
      <c r="BH570" s="13"/>
      <c r="BI570" s="13"/>
      <c r="BJ570" s="13"/>
      <c r="BK570" s="13"/>
      <c r="BL570" s="13"/>
      <c r="BM570" s="13"/>
      <c r="BN570" s="13"/>
      <c r="BO570" s="13"/>
      <c r="BP570" s="13"/>
      <c r="BQ570" s="13"/>
      <c r="BR570" s="13"/>
      <c r="BS570" s="13"/>
      <c r="BT570" s="13"/>
      <c r="BU570" s="13"/>
      <c r="BV570" s="13"/>
      <c r="BW570" s="13"/>
      <c r="BX570" s="13"/>
      <c r="BY570" s="13"/>
      <c r="BZ570" s="13"/>
      <c r="CA570" s="13"/>
      <c r="CB570" s="13"/>
      <c r="CC570" s="13"/>
      <c r="CD570" s="13"/>
      <c r="CE570" s="13"/>
      <c r="CF570" s="13"/>
      <c r="CG570" s="13"/>
      <c r="CH570" s="13"/>
      <c r="CI570" s="13"/>
      <c r="CJ570" s="13"/>
      <c r="CK570" s="13"/>
      <c r="CL570" s="13"/>
      <c r="CM570" s="13"/>
      <c r="CN570" s="13"/>
      <c r="CO570" s="13"/>
      <c r="CP570" s="13"/>
      <c r="CQ570" s="13"/>
      <c r="CR570" s="13"/>
      <c r="CS570" s="13"/>
      <c r="CT570" s="13"/>
      <c r="CU570" s="13"/>
    </row>
    <row r="571" spans="1:99" ht="12.75">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c r="BE571" s="13"/>
      <c r="BF571" s="13"/>
      <c r="BG571" s="13"/>
      <c r="BH571" s="13"/>
      <c r="BI571" s="13"/>
      <c r="BJ571" s="13"/>
      <c r="BK571" s="13"/>
      <c r="BL571" s="13"/>
      <c r="BM571" s="13"/>
      <c r="BN571" s="13"/>
      <c r="BO571" s="13"/>
      <c r="BP571" s="13"/>
      <c r="BQ571" s="13"/>
      <c r="BR571" s="13"/>
      <c r="BS571" s="13"/>
      <c r="BT571" s="13"/>
      <c r="BU571" s="13"/>
      <c r="BV571" s="13"/>
      <c r="BW571" s="13"/>
      <c r="BX571" s="13"/>
      <c r="BY571" s="13"/>
      <c r="BZ571" s="13"/>
      <c r="CA571" s="13"/>
      <c r="CB571" s="13"/>
      <c r="CC571" s="13"/>
      <c r="CD571" s="13"/>
      <c r="CE571" s="13"/>
      <c r="CF571" s="13"/>
      <c r="CG571" s="13"/>
      <c r="CH571" s="13"/>
      <c r="CI571" s="13"/>
      <c r="CJ571" s="13"/>
      <c r="CK571" s="13"/>
      <c r="CL571" s="13"/>
      <c r="CM571" s="13"/>
      <c r="CN571" s="13"/>
      <c r="CO571" s="13"/>
      <c r="CP571" s="13"/>
      <c r="CQ571" s="13"/>
      <c r="CR571" s="13"/>
      <c r="CS571" s="13"/>
      <c r="CT571" s="13"/>
      <c r="CU571" s="13"/>
    </row>
    <row r="572" spans="1:99" ht="12.75">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c r="CA572" s="13"/>
      <c r="CB572" s="13"/>
      <c r="CC572" s="13"/>
      <c r="CD572" s="13"/>
      <c r="CE572" s="13"/>
      <c r="CF572" s="13"/>
      <c r="CG572" s="13"/>
      <c r="CH572" s="13"/>
      <c r="CI572" s="13"/>
      <c r="CJ572" s="13"/>
      <c r="CK572" s="13"/>
      <c r="CL572" s="13"/>
      <c r="CM572" s="13"/>
      <c r="CN572" s="13"/>
      <c r="CO572" s="13"/>
      <c r="CP572" s="13"/>
      <c r="CQ572" s="13"/>
      <c r="CR572" s="13"/>
      <c r="CS572" s="13"/>
      <c r="CT572" s="13"/>
      <c r="CU572" s="13"/>
    </row>
    <row r="573" spans="1:99" ht="12.75">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c r="BI573" s="13"/>
      <c r="BJ573" s="13"/>
      <c r="BK573" s="13"/>
      <c r="BL573" s="13"/>
      <c r="BM573" s="13"/>
      <c r="BN573" s="13"/>
      <c r="BO573" s="13"/>
      <c r="BP573" s="13"/>
      <c r="BQ573" s="13"/>
      <c r="BR573" s="13"/>
      <c r="BS573" s="13"/>
      <c r="BT573" s="13"/>
      <c r="BU573" s="13"/>
      <c r="BV573" s="13"/>
      <c r="BW573" s="13"/>
      <c r="BX573" s="13"/>
      <c r="BY573" s="13"/>
      <c r="BZ573" s="13"/>
      <c r="CA573" s="13"/>
      <c r="CB573" s="13"/>
      <c r="CC573" s="13"/>
      <c r="CD573" s="13"/>
      <c r="CE573" s="13"/>
      <c r="CF573" s="13"/>
      <c r="CG573" s="13"/>
      <c r="CH573" s="13"/>
      <c r="CI573" s="13"/>
      <c r="CJ573" s="13"/>
      <c r="CK573" s="13"/>
      <c r="CL573" s="13"/>
      <c r="CM573" s="13"/>
      <c r="CN573" s="13"/>
      <c r="CO573" s="13"/>
      <c r="CP573" s="13"/>
      <c r="CQ573" s="13"/>
      <c r="CR573" s="13"/>
      <c r="CS573" s="13"/>
      <c r="CT573" s="13"/>
      <c r="CU573" s="13"/>
    </row>
    <row r="574" spans="1:99" ht="12.75">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c r="CE574" s="13"/>
      <c r="CF574" s="13"/>
      <c r="CG574" s="13"/>
      <c r="CH574" s="13"/>
      <c r="CI574" s="13"/>
      <c r="CJ574" s="13"/>
      <c r="CK574" s="13"/>
      <c r="CL574" s="13"/>
      <c r="CM574" s="13"/>
      <c r="CN574" s="13"/>
      <c r="CO574" s="13"/>
      <c r="CP574" s="13"/>
      <c r="CQ574" s="13"/>
      <c r="CR574" s="13"/>
      <c r="CS574" s="13"/>
      <c r="CT574" s="13"/>
      <c r="CU574" s="13"/>
    </row>
    <row r="575" spans="1:99" ht="12.75">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c r="CA575" s="13"/>
      <c r="CB575" s="13"/>
      <c r="CC575" s="13"/>
      <c r="CD575" s="13"/>
      <c r="CE575" s="13"/>
      <c r="CF575" s="13"/>
      <c r="CG575" s="13"/>
      <c r="CH575" s="13"/>
      <c r="CI575" s="13"/>
      <c r="CJ575" s="13"/>
      <c r="CK575" s="13"/>
      <c r="CL575" s="13"/>
      <c r="CM575" s="13"/>
      <c r="CN575" s="13"/>
      <c r="CO575" s="13"/>
      <c r="CP575" s="13"/>
      <c r="CQ575" s="13"/>
      <c r="CR575" s="13"/>
      <c r="CS575" s="13"/>
      <c r="CT575" s="13"/>
      <c r="CU575" s="13"/>
    </row>
    <row r="576" spans="1:99" ht="12.75">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c r="CA576" s="13"/>
      <c r="CB576" s="13"/>
      <c r="CC576" s="13"/>
      <c r="CD576" s="13"/>
      <c r="CE576" s="13"/>
      <c r="CF576" s="13"/>
      <c r="CG576" s="13"/>
      <c r="CH576" s="13"/>
      <c r="CI576" s="13"/>
      <c r="CJ576" s="13"/>
      <c r="CK576" s="13"/>
      <c r="CL576" s="13"/>
      <c r="CM576" s="13"/>
      <c r="CN576" s="13"/>
      <c r="CO576" s="13"/>
      <c r="CP576" s="13"/>
      <c r="CQ576" s="13"/>
      <c r="CR576" s="13"/>
      <c r="CS576" s="13"/>
      <c r="CT576" s="13"/>
      <c r="CU576" s="13"/>
    </row>
    <row r="577" spans="1:99" ht="12.75">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c r="BE577" s="13"/>
      <c r="BF577" s="13"/>
      <c r="BG577" s="13"/>
      <c r="BH577" s="13"/>
      <c r="BI577" s="13"/>
      <c r="BJ577" s="13"/>
      <c r="BK577" s="13"/>
      <c r="BL577" s="13"/>
      <c r="BM577" s="13"/>
      <c r="BN577" s="13"/>
      <c r="BO577" s="13"/>
      <c r="BP577" s="13"/>
      <c r="BQ577" s="13"/>
      <c r="BR577" s="13"/>
      <c r="BS577" s="13"/>
      <c r="BT577" s="13"/>
      <c r="BU577" s="13"/>
      <c r="BV577" s="13"/>
      <c r="BW577" s="13"/>
      <c r="BX577" s="13"/>
      <c r="BY577" s="13"/>
      <c r="BZ577" s="13"/>
      <c r="CA577" s="13"/>
      <c r="CB577" s="13"/>
      <c r="CC577" s="13"/>
      <c r="CD577" s="13"/>
      <c r="CE577" s="13"/>
      <c r="CF577" s="13"/>
      <c r="CG577" s="13"/>
      <c r="CH577" s="13"/>
      <c r="CI577" s="13"/>
      <c r="CJ577" s="13"/>
      <c r="CK577" s="13"/>
      <c r="CL577" s="13"/>
      <c r="CM577" s="13"/>
      <c r="CN577" s="13"/>
      <c r="CO577" s="13"/>
      <c r="CP577" s="13"/>
      <c r="CQ577" s="13"/>
      <c r="CR577" s="13"/>
      <c r="CS577" s="13"/>
      <c r="CT577" s="13"/>
      <c r="CU577" s="13"/>
    </row>
    <row r="578" spans="1:99" ht="12.75">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c r="BE578" s="13"/>
      <c r="BF578" s="13"/>
      <c r="BG578" s="13"/>
      <c r="BH578" s="13"/>
      <c r="BI578" s="13"/>
      <c r="BJ578" s="13"/>
      <c r="BK578" s="13"/>
      <c r="BL578" s="13"/>
      <c r="BM578" s="13"/>
      <c r="BN578" s="13"/>
      <c r="BO578" s="13"/>
      <c r="BP578" s="13"/>
      <c r="BQ578" s="13"/>
      <c r="BR578" s="13"/>
      <c r="BS578" s="13"/>
      <c r="BT578" s="13"/>
      <c r="BU578" s="13"/>
      <c r="BV578" s="13"/>
      <c r="BW578" s="13"/>
      <c r="BX578" s="13"/>
      <c r="BY578" s="13"/>
      <c r="BZ578" s="13"/>
      <c r="CA578" s="13"/>
      <c r="CB578" s="13"/>
      <c r="CC578" s="13"/>
      <c r="CD578" s="13"/>
      <c r="CE578" s="13"/>
      <c r="CF578" s="13"/>
      <c r="CG578" s="13"/>
      <c r="CH578" s="13"/>
      <c r="CI578" s="13"/>
      <c r="CJ578" s="13"/>
      <c r="CK578" s="13"/>
      <c r="CL578" s="13"/>
      <c r="CM578" s="13"/>
      <c r="CN578" s="13"/>
      <c r="CO578" s="13"/>
      <c r="CP578" s="13"/>
      <c r="CQ578" s="13"/>
      <c r="CR578" s="13"/>
      <c r="CS578" s="13"/>
      <c r="CT578" s="13"/>
      <c r="CU578" s="13"/>
    </row>
    <row r="579" spans="1:99" ht="12.75">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c r="BJ579" s="13"/>
      <c r="BK579" s="13"/>
      <c r="BL579" s="13"/>
      <c r="BM579" s="13"/>
      <c r="BN579" s="13"/>
      <c r="BO579" s="13"/>
      <c r="BP579" s="13"/>
      <c r="BQ579" s="13"/>
      <c r="BR579" s="13"/>
      <c r="BS579" s="13"/>
      <c r="BT579" s="13"/>
      <c r="BU579" s="13"/>
      <c r="BV579" s="13"/>
      <c r="BW579" s="13"/>
      <c r="BX579" s="13"/>
      <c r="BY579" s="13"/>
      <c r="BZ579" s="13"/>
      <c r="CA579" s="13"/>
      <c r="CB579" s="13"/>
      <c r="CC579" s="13"/>
      <c r="CD579" s="13"/>
      <c r="CE579" s="13"/>
      <c r="CF579" s="13"/>
      <c r="CG579" s="13"/>
      <c r="CH579" s="13"/>
      <c r="CI579" s="13"/>
      <c r="CJ579" s="13"/>
      <c r="CK579" s="13"/>
      <c r="CL579" s="13"/>
      <c r="CM579" s="13"/>
      <c r="CN579" s="13"/>
      <c r="CO579" s="13"/>
      <c r="CP579" s="13"/>
      <c r="CQ579" s="13"/>
      <c r="CR579" s="13"/>
      <c r="CS579" s="13"/>
      <c r="CT579" s="13"/>
      <c r="CU579" s="13"/>
    </row>
    <row r="580" spans="1:99" ht="12.75">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13"/>
      <c r="BK580" s="13"/>
      <c r="BL580" s="13"/>
      <c r="BM580" s="13"/>
      <c r="BN580" s="13"/>
      <c r="BO580" s="13"/>
      <c r="BP580" s="13"/>
      <c r="BQ580" s="13"/>
      <c r="BR580" s="13"/>
      <c r="BS580" s="13"/>
      <c r="BT580" s="13"/>
      <c r="BU580" s="13"/>
      <c r="BV580" s="13"/>
      <c r="BW580" s="13"/>
      <c r="BX580" s="13"/>
      <c r="BY580" s="13"/>
      <c r="BZ580" s="13"/>
      <c r="CA580" s="13"/>
      <c r="CB580" s="13"/>
      <c r="CC580" s="13"/>
      <c r="CD580" s="13"/>
      <c r="CE580" s="13"/>
      <c r="CF580" s="13"/>
      <c r="CG580" s="13"/>
      <c r="CH580" s="13"/>
      <c r="CI580" s="13"/>
      <c r="CJ580" s="13"/>
      <c r="CK580" s="13"/>
      <c r="CL580" s="13"/>
      <c r="CM580" s="13"/>
      <c r="CN580" s="13"/>
      <c r="CO580" s="13"/>
      <c r="CP580" s="13"/>
      <c r="CQ580" s="13"/>
      <c r="CR580" s="13"/>
      <c r="CS580" s="13"/>
      <c r="CT580" s="13"/>
      <c r="CU580" s="13"/>
    </row>
    <row r="581" spans="1:99" ht="12.75">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c r="CA581" s="13"/>
      <c r="CB581" s="13"/>
      <c r="CC581" s="13"/>
      <c r="CD581" s="13"/>
      <c r="CE581" s="13"/>
      <c r="CF581" s="13"/>
      <c r="CG581" s="13"/>
      <c r="CH581" s="13"/>
      <c r="CI581" s="13"/>
      <c r="CJ581" s="13"/>
      <c r="CK581" s="13"/>
      <c r="CL581" s="13"/>
      <c r="CM581" s="13"/>
      <c r="CN581" s="13"/>
      <c r="CO581" s="13"/>
      <c r="CP581" s="13"/>
      <c r="CQ581" s="13"/>
      <c r="CR581" s="13"/>
      <c r="CS581" s="13"/>
      <c r="CT581" s="13"/>
      <c r="CU581" s="13"/>
    </row>
    <row r="582" spans="1:99" ht="12.75">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c r="CE582" s="13"/>
      <c r="CF582" s="13"/>
      <c r="CG582" s="13"/>
      <c r="CH582" s="13"/>
      <c r="CI582" s="13"/>
      <c r="CJ582" s="13"/>
      <c r="CK582" s="13"/>
      <c r="CL582" s="13"/>
      <c r="CM582" s="13"/>
      <c r="CN582" s="13"/>
      <c r="CO582" s="13"/>
      <c r="CP582" s="13"/>
      <c r="CQ582" s="13"/>
      <c r="CR582" s="13"/>
      <c r="CS582" s="13"/>
      <c r="CT582" s="13"/>
      <c r="CU582" s="13"/>
    </row>
    <row r="583" spans="1:99" ht="12.75">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c r="BJ583" s="13"/>
      <c r="BK583" s="13"/>
      <c r="BL583" s="13"/>
      <c r="BM583" s="13"/>
      <c r="BN583" s="13"/>
      <c r="BO583" s="13"/>
      <c r="BP583" s="13"/>
      <c r="BQ583" s="13"/>
      <c r="BR583" s="13"/>
      <c r="BS583" s="13"/>
      <c r="BT583" s="13"/>
      <c r="BU583" s="13"/>
      <c r="BV583" s="13"/>
      <c r="BW583" s="13"/>
      <c r="BX583" s="13"/>
      <c r="BY583" s="13"/>
      <c r="BZ583" s="13"/>
      <c r="CA583" s="13"/>
      <c r="CB583" s="13"/>
      <c r="CC583" s="13"/>
      <c r="CD583" s="13"/>
      <c r="CE583" s="13"/>
      <c r="CF583" s="13"/>
      <c r="CG583" s="13"/>
      <c r="CH583" s="13"/>
      <c r="CI583" s="13"/>
      <c r="CJ583" s="13"/>
      <c r="CK583" s="13"/>
      <c r="CL583" s="13"/>
      <c r="CM583" s="13"/>
      <c r="CN583" s="13"/>
      <c r="CO583" s="13"/>
      <c r="CP583" s="13"/>
      <c r="CQ583" s="13"/>
      <c r="CR583" s="13"/>
      <c r="CS583" s="13"/>
      <c r="CT583" s="13"/>
      <c r="CU583" s="13"/>
    </row>
    <row r="584" spans="1:99" ht="12.75">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c r="CA584" s="13"/>
      <c r="CB584" s="13"/>
      <c r="CC584" s="13"/>
      <c r="CD584" s="13"/>
      <c r="CE584" s="13"/>
      <c r="CF584" s="13"/>
      <c r="CG584" s="13"/>
      <c r="CH584" s="13"/>
      <c r="CI584" s="13"/>
      <c r="CJ584" s="13"/>
      <c r="CK584" s="13"/>
      <c r="CL584" s="13"/>
      <c r="CM584" s="13"/>
      <c r="CN584" s="13"/>
      <c r="CO584" s="13"/>
      <c r="CP584" s="13"/>
      <c r="CQ584" s="13"/>
      <c r="CR584" s="13"/>
      <c r="CS584" s="13"/>
      <c r="CT584" s="13"/>
      <c r="CU584" s="13"/>
    </row>
    <row r="585" spans="1:99" ht="12.75">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3"/>
      <c r="BK585" s="13"/>
      <c r="BL585" s="13"/>
      <c r="BM585" s="13"/>
      <c r="BN585" s="13"/>
      <c r="BO585" s="13"/>
      <c r="BP585" s="13"/>
      <c r="BQ585" s="13"/>
      <c r="BR585" s="13"/>
      <c r="BS585" s="13"/>
      <c r="BT585" s="13"/>
      <c r="BU585" s="13"/>
      <c r="BV585" s="13"/>
      <c r="BW585" s="13"/>
      <c r="BX585" s="13"/>
      <c r="BY585" s="13"/>
      <c r="BZ585" s="13"/>
      <c r="CA585" s="13"/>
      <c r="CB585" s="13"/>
      <c r="CC585" s="13"/>
      <c r="CD585" s="13"/>
      <c r="CE585" s="13"/>
      <c r="CF585" s="13"/>
      <c r="CG585" s="13"/>
      <c r="CH585" s="13"/>
      <c r="CI585" s="13"/>
      <c r="CJ585" s="13"/>
      <c r="CK585" s="13"/>
      <c r="CL585" s="13"/>
      <c r="CM585" s="13"/>
      <c r="CN585" s="13"/>
      <c r="CO585" s="13"/>
      <c r="CP585" s="13"/>
      <c r="CQ585" s="13"/>
      <c r="CR585" s="13"/>
      <c r="CS585" s="13"/>
      <c r="CT585" s="13"/>
      <c r="CU585" s="13"/>
    </row>
    <row r="586" spans="1:99" ht="12.75">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c r="CA586" s="13"/>
      <c r="CB586" s="13"/>
      <c r="CC586" s="13"/>
      <c r="CD586" s="13"/>
      <c r="CE586" s="13"/>
      <c r="CF586" s="13"/>
      <c r="CG586" s="13"/>
      <c r="CH586" s="13"/>
      <c r="CI586" s="13"/>
      <c r="CJ586" s="13"/>
      <c r="CK586" s="13"/>
      <c r="CL586" s="13"/>
      <c r="CM586" s="13"/>
      <c r="CN586" s="13"/>
      <c r="CO586" s="13"/>
      <c r="CP586" s="13"/>
      <c r="CQ586" s="13"/>
      <c r="CR586" s="13"/>
      <c r="CS586" s="13"/>
      <c r="CT586" s="13"/>
      <c r="CU586" s="13"/>
    </row>
    <row r="587" spans="1:99" ht="12.75">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c r="CA587" s="13"/>
      <c r="CB587" s="13"/>
      <c r="CC587" s="13"/>
      <c r="CD587" s="13"/>
      <c r="CE587" s="13"/>
      <c r="CF587" s="13"/>
      <c r="CG587" s="13"/>
      <c r="CH587" s="13"/>
      <c r="CI587" s="13"/>
      <c r="CJ587" s="13"/>
      <c r="CK587" s="13"/>
      <c r="CL587" s="13"/>
      <c r="CM587" s="13"/>
      <c r="CN587" s="13"/>
      <c r="CO587" s="13"/>
      <c r="CP587" s="13"/>
      <c r="CQ587" s="13"/>
      <c r="CR587" s="13"/>
      <c r="CS587" s="13"/>
      <c r="CT587" s="13"/>
      <c r="CU587" s="13"/>
    </row>
    <row r="588" spans="1:99" ht="12.75">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c r="CA588" s="13"/>
      <c r="CB588" s="13"/>
      <c r="CC588" s="13"/>
      <c r="CD588" s="13"/>
      <c r="CE588" s="13"/>
      <c r="CF588" s="13"/>
      <c r="CG588" s="13"/>
      <c r="CH588" s="13"/>
      <c r="CI588" s="13"/>
      <c r="CJ588" s="13"/>
      <c r="CK588" s="13"/>
      <c r="CL588" s="13"/>
      <c r="CM588" s="13"/>
      <c r="CN588" s="13"/>
      <c r="CO588" s="13"/>
      <c r="CP588" s="13"/>
      <c r="CQ588" s="13"/>
      <c r="CR588" s="13"/>
      <c r="CS588" s="13"/>
      <c r="CT588" s="13"/>
      <c r="CU588" s="13"/>
    </row>
    <row r="589" spans="1:99" ht="12.75">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c r="BJ589" s="13"/>
      <c r="BK589" s="13"/>
      <c r="BL589" s="13"/>
      <c r="BM589" s="13"/>
      <c r="BN589" s="13"/>
      <c r="BO589" s="13"/>
      <c r="BP589" s="13"/>
      <c r="BQ589" s="13"/>
      <c r="BR589" s="13"/>
      <c r="BS589" s="13"/>
      <c r="BT589" s="13"/>
      <c r="BU589" s="13"/>
      <c r="BV589" s="13"/>
      <c r="BW589" s="13"/>
      <c r="BX589" s="13"/>
      <c r="BY589" s="13"/>
      <c r="BZ589" s="13"/>
      <c r="CA589" s="13"/>
      <c r="CB589" s="13"/>
      <c r="CC589" s="13"/>
      <c r="CD589" s="13"/>
      <c r="CE589" s="13"/>
      <c r="CF589" s="13"/>
      <c r="CG589" s="13"/>
      <c r="CH589" s="13"/>
      <c r="CI589" s="13"/>
      <c r="CJ589" s="13"/>
      <c r="CK589" s="13"/>
      <c r="CL589" s="13"/>
      <c r="CM589" s="13"/>
      <c r="CN589" s="13"/>
      <c r="CO589" s="13"/>
      <c r="CP589" s="13"/>
      <c r="CQ589" s="13"/>
      <c r="CR589" s="13"/>
      <c r="CS589" s="13"/>
      <c r="CT589" s="13"/>
      <c r="CU589" s="13"/>
    </row>
    <row r="590" spans="1:99" ht="12.75">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c r="CE590" s="13"/>
      <c r="CF590" s="13"/>
      <c r="CG590" s="13"/>
      <c r="CH590" s="13"/>
      <c r="CI590" s="13"/>
      <c r="CJ590" s="13"/>
      <c r="CK590" s="13"/>
      <c r="CL590" s="13"/>
      <c r="CM590" s="13"/>
      <c r="CN590" s="13"/>
      <c r="CO590" s="13"/>
      <c r="CP590" s="13"/>
      <c r="CQ590" s="13"/>
      <c r="CR590" s="13"/>
      <c r="CS590" s="13"/>
      <c r="CT590" s="13"/>
      <c r="CU590" s="13"/>
    </row>
    <row r="591" spans="1:99" ht="12.75">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c r="BD591" s="13"/>
      <c r="BE591" s="13"/>
      <c r="BF591" s="13"/>
      <c r="BG591" s="13"/>
      <c r="BH591" s="13"/>
      <c r="BI591" s="13"/>
      <c r="BJ591" s="13"/>
      <c r="BK591" s="13"/>
      <c r="BL591" s="13"/>
      <c r="BM591" s="13"/>
      <c r="BN591" s="13"/>
      <c r="BO591" s="13"/>
      <c r="BP591" s="13"/>
      <c r="BQ591" s="13"/>
      <c r="BR591" s="13"/>
      <c r="BS591" s="13"/>
      <c r="BT591" s="13"/>
      <c r="BU591" s="13"/>
      <c r="BV591" s="13"/>
      <c r="BW591" s="13"/>
      <c r="BX591" s="13"/>
      <c r="BY591" s="13"/>
      <c r="BZ591" s="13"/>
      <c r="CA591" s="13"/>
      <c r="CB591" s="13"/>
      <c r="CC591" s="13"/>
      <c r="CD591" s="13"/>
      <c r="CE591" s="13"/>
      <c r="CF591" s="13"/>
      <c r="CG591" s="13"/>
      <c r="CH591" s="13"/>
      <c r="CI591" s="13"/>
      <c r="CJ591" s="13"/>
      <c r="CK591" s="13"/>
      <c r="CL591" s="13"/>
      <c r="CM591" s="13"/>
      <c r="CN591" s="13"/>
      <c r="CO591" s="13"/>
      <c r="CP591" s="13"/>
      <c r="CQ591" s="13"/>
      <c r="CR591" s="13"/>
      <c r="CS591" s="13"/>
      <c r="CT591" s="13"/>
      <c r="CU591" s="13"/>
    </row>
    <row r="592" spans="1:99" ht="12.75">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c r="CA592" s="13"/>
      <c r="CB592" s="13"/>
      <c r="CC592" s="13"/>
      <c r="CD592" s="13"/>
      <c r="CE592" s="13"/>
      <c r="CF592" s="13"/>
      <c r="CG592" s="13"/>
      <c r="CH592" s="13"/>
      <c r="CI592" s="13"/>
      <c r="CJ592" s="13"/>
      <c r="CK592" s="13"/>
      <c r="CL592" s="13"/>
      <c r="CM592" s="13"/>
      <c r="CN592" s="13"/>
      <c r="CO592" s="13"/>
      <c r="CP592" s="13"/>
      <c r="CQ592" s="13"/>
      <c r="CR592" s="13"/>
      <c r="CS592" s="13"/>
      <c r="CT592" s="13"/>
      <c r="CU592" s="13"/>
    </row>
    <row r="593" spans="1:99" ht="12.75">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c r="CA593" s="13"/>
      <c r="CB593" s="13"/>
      <c r="CC593" s="13"/>
      <c r="CD593" s="13"/>
      <c r="CE593" s="13"/>
      <c r="CF593" s="13"/>
      <c r="CG593" s="13"/>
      <c r="CH593" s="13"/>
      <c r="CI593" s="13"/>
      <c r="CJ593" s="13"/>
      <c r="CK593" s="13"/>
      <c r="CL593" s="13"/>
      <c r="CM593" s="13"/>
      <c r="CN593" s="13"/>
      <c r="CO593" s="13"/>
      <c r="CP593" s="13"/>
      <c r="CQ593" s="13"/>
      <c r="CR593" s="13"/>
      <c r="CS593" s="13"/>
      <c r="CT593" s="13"/>
      <c r="CU593" s="13"/>
    </row>
    <row r="594" spans="1:99" ht="12.75">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c r="BJ594" s="13"/>
      <c r="BK594" s="13"/>
      <c r="BL594" s="13"/>
      <c r="BM594" s="13"/>
      <c r="BN594" s="13"/>
      <c r="BO594" s="13"/>
      <c r="BP594" s="13"/>
      <c r="BQ594" s="13"/>
      <c r="BR594" s="13"/>
      <c r="BS594" s="13"/>
      <c r="BT594" s="13"/>
      <c r="BU594" s="13"/>
      <c r="BV594" s="13"/>
      <c r="BW594" s="13"/>
      <c r="BX594" s="13"/>
      <c r="BY594" s="13"/>
      <c r="BZ594" s="13"/>
      <c r="CA594" s="13"/>
      <c r="CB594" s="13"/>
      <c r="CC594" s="13"/>
      <c r="CD594" s="13"/>
      <c r="CE594" s="13"/>
      <c r="CF594" s="13"/>
      <c r="CG594" s="13"/>
      <c r="CH594" s="13"/>
      <c r="CI594" s="13"/>
      <c r="CJ594" s="13"/>
      <c r="CK594" s="13"/>
      <c r="CL594" s="13"/>
      <c r="CM594" s="13"/>
      <c r="CN594" s="13"/>
      <c r="CO594" s="13"/>
      <c r="CP594" s="13"/>
      <c r="CQ594" s="13"/>
      <c r="CR594" s="13"/>
      <c r="CS594" s="13"/>
      <c r="CT594" s="13"/>
      <c r="CU594" s="13"/>
    </row>
    <row r="595" spans="1:99" ht="12.75">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c r="CA595" s="13"/>
      <c r="CB595" s="13"/>
      <c r="CC595" s="13"/>
      <c r="CD595" s="13"/>
      <c r="CE595" s="13"/>
      <c r="CF595" s="13"/>
      <c r="CG595" s="13"/>
      <c r="CH595" s="13"/>
      <c r="CI595" s="13"/>
      <c r="CJ595" s="13"/>
      <c r="CK595" s="13"/>
      <c r="CL595" s="13"/>
      <c r="CM595" s="13"/>
      <c r="CN595" s="13"/>
      <c r="CO595" s="13"/>
      <c r="CP595" s="13"/>
      <c r="CQ595" s="13"/>
      <c r="CR595" s="13"/>
      <c r="CS595" s="13"/>
      <c r="CT595" s="13"/>
      <c r="CU595" s="13"/>
    </row>
    <row r="596" spans="1:99" ht="12.75">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3"/>
      <c r="BO596" s="13"/>
      <c r="BP596" s="13"/>
      <c r="BQ596" s="13"/>
      <c r="BR596" s="13"/>
      <c r="BS596" s="13"/>
      <c r="BT596" s="13"/>
      <c r="BU596" s="13"/>
      <c r="BV596" s="13"/>
      <c r="BW596" s="13"/>
      <c r="BX596" s="13"/>
      <c r="BY596" s="13"/>
      <c r="BZ596" s="13"/>
      <c r="CA596" s="13"/>
      <c r="CB596" s="13"/>
      <c r="CC596" s="13"/>
      <c r="CD596" s="13"/>
      <c r="CE596" s="13"/>
      <c r="CF596" s="13"/>
      <c r="CG596" s="13"/>
      <c r="CH596" s="13"/>
      <c r="CI596" s="13"/>
      <c r="CJ596" s="13"/>
      <c r="CK596" s="13"/>
      <c r="CL596" s="13"/>
      <c r="CM596" s="13"/>
      <c r="CN596" s="13"/>
      <c r="CO596" s="13"/>
      <c r="CP596" s="13"/>
      <c r="CQ596" s="13"/>
      <c r="CR596" s="13"/>
      <c r="CS596" s="13"/>
      <c r="CT596" s="13"/>
      <c r="CU596" s="13"/>
    </row>
    <row r="597" spans="1:99" ht="12.75">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c r="BD597" s="13"/>
      <c r="BE597" s="13"/>
      <c r="BF597" s="13"/>
      <c r="BG597" s="13"/>
      <c r="BH597" s="13"/>
      <c r="BI597" s="13"/>
      <c r="BJ597" s="13"/>
      <c r="BK597" s="13"/>
      <c r="BL597" s="13"/>
      <c r="BM597" s="13"/>
      <c r="BN597" s="13"/>
      <c r="BO597" s="13"/>
      <c r="BP597" s="13"/>
      <c r="BQ597" s="13"/>
      <c r="BR597" s="13"/>
      <c r="BS597" s="13"/>
      <c r="BT597" s="13"/>
      <c r="BU597" s="13"/>
      <c r="BV597" s="13"/>
      <c r="BW597" s="13"/>
      <c r="BX597" s="13"/>
      <c r="BY597" s="13"/>
      <c r="BZ597" s="13"/>
      <c r="CA597" s="13"/>
      <c r="CB597" s="13"/>
      <c r="CC597" s="13"/>
      <c r="CD597" s="13"/>
      <c r="CE597" s="13"/>
      <c r="CF597" s="13"/>
      <c r="CG597" s="13"/>
      <c r="CH597" s="13"/>
      <c r="CI597" s="13"/>
      <c r="CJ597" s="13"/>
      <c r="CK597" s="13"/>
      <c r="CL597" s="13"/>
      <c r="CM597" s="13"/>
      <c r="CN597" s="13"/>
      <c r="CO597" s="13"/>
      <c r="CP597" s="13"/>
      <c r="CQ597" s="13"/>
      <c r="CR597" s="13"/>
      <c r="CS597" s="13"/>
      <c r="CT597" s="13"/>
      <c r="CU597" s="13"/>
    </row>
    <row r="598" spans="1:99" ht="12.75">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row>
    <row r="599" spans="1:99" ht="12.75">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c r="CA599" s="13"/>
      <c r="CB599" s="13"/>
      <c r="CC599" s="13"/>
      <c r="CD599" s="13"/>
      <c r="CE599" s="13"/>
      <c r="CF599" s="13"/>
      <c r="CG599" s="13"/>
      <c r="CH599" s="13"/>
      <c r="CI599" s="13"/>
      <c r="CJ599" s="13"/>
      <c r="CK599" s="13"/>
      <c r="CL599" s="13"/>
      <c r="CM599" s="13"/>
      <c r="CN599" s="13"/>
      <c r="CO599" s="13"/>
      <c r="CP599" s="13"/>
      <c r="CQ599" s="13"/>
      <c r="CR599" s="13"/>
      <c r="CS599" s="13"/>
      <c r="CT599" s="13"/>
      <c r="CU599" s="13"/>
    </row>
    <row r="600" spans="1:99" ht="12.75">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c r="BB600" s="13"/>
      <c r="BC600" s="13"/>
      <c r="BD600" s="13"/>
      <c r="BE600" s="13"/>
      <c r="BF600" s="13"/>
      <c r="BG600" s="13"/>
      <c r="BH600" s="13"/>
      <c r="BI600" s="13"/>
      <c r="BJ600" s="13"/>
      <c r="BK600" s="13"/>
      <c r="BL600" s="13"/>
      <c r="BM600" s="13"/>
      <c r="BN600" s="13"/>
      <c r="BO600" s="13"/>
      <c r="BP600" s="13"/>
      <c r="BQ600" s="13"/>
      <c r="BR600" s="13"/>
      <c r="BS600" s="13"/>
      <c r="BT600" s="13"/>
      <c r="BU600" s="13"/>
      <c r="BV600" s="13"/>
      <c r="BW600" s="13"/>
      <c r="BX600" s="13"/>
      <c r="BY600" s="13"/>
      <c r="BZ600" s="13"/>
      <c r="CA600" s="13"/>
      <c r="CB600" s="13"/>
      <c r="CC600" s="13"/>
      <c r="CD600" s="13"/>
      <c r="CE600" s="13"/>
      <c r="CF600" s="13"/>
      <c r="CG600" s="13"/>
      <c r="CH600" s="13"/>
      <c r="CI600" s="13"/>
      <c r="CJ600" s="13"/>
      <c r="CK600" s="13"/>
      <c r="CL600" s="13"/>
      <c r="CM600" s="13"/>
      <c r="CN600" s="13"/>
      <c r="CO600" s="13"/>
      <c r="CP600" s="13"/>
      <c r="CQ600" s="13"/>
      <c r="CR600" s="13"/>
      <c r="CS600" s="13"/>
      <c r="CT600" s="13"/>
      <c r="CU600" s="13"/>
    </row>
    <row r="601" spans="1:99" ht="12.75">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c r="BE601" s="13"/>
      <c r="BF601" s="13"/>
      <c r="BG601" s="13"/>
      <c r="BH601" s="13"/>
      <c r="BI601" s="13"/>
      <c r="BJ601" s="13"/>
      <c r="BK601" s="13"/>
      <c r="BL601" s="13"/>
      <c r="BM601" s="13"/>
      <c r="BN601" s="13"/>
      <c r="BO601" s="13"/>
      <c r="BP601" s="13"/>
      <c r="BQ601" s="13"/>
      <c r="BR601" s="13"/>
      <c r="BS601" s="13"/>
      <c r="BT601" s="13"/>
      <c r="BU601" s="13"/>
      <c r="BV601" s="13"/>
      <c r="BW601" s="13"/>
      <c r="BX601" s="13"/>
      <c r="BY601" s="13"/>
      <c r="BZ601" s="13"/>
      <c r="CA601" s="13"/>
      <c r="CB601" s="13"/>
      <c r="CC601" s="13"/>
      <c r="CD601" s="13"/>
      <c r="CE601" s="13"/>
      <c r="CF601" s="13"/>
      <c r="CG601" s="13"/>
      <c r="CH601" s="13"/>
      <c r="CI601" s="13"/>
      <c r="CJ601" s="13"/>
      <c r="CK601" s="13"/>
      <c r="CL601" s="13"/>
      <c r="CM601" s="13"/>
      <c r="CN601" s="13"/>
      <c r="CO601" s="13"/>
      <c r="CP601" s="13"/>
      <c r="CQ601" s="13"/>
      <c r="CR601" s="13"/>
      <c r="CS601" s="13"/>
      <c r="CT601" s="13"/>
      <c r="CU601" s="13"/>
    </row>
    <row r="602" spans="1:99" ht="12.75">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c r="CA602" s="13"/>
      <c r="CB602" s="13"/>
      <c r="CC602" s="13"/>
      <c r="CD602" s="13"/>
      <c r="CE602" s="13"/>
      <c r="CF602" s="13"/>
      <c r="CG602" s="13"/>
      <c r="CH602" s="13"/>
      <c r="CI602" s="13"/>
      <c r="CJ602" s="13"/>
      <c r="CK602" s="13"/>
      <c r="CL602" s="13"/>
      <c r="CM602" s="13"/>
      <c r="CN602" s="13"/>
      <c r="CO602" s="13"/>
      <c r="CP602" s="13"/>
      <c r="CQ602" s="13"/>
      <c r="CR602" s="13"/>
      <c r="CS602" s="13"/>
      <c r="CT602" s="13"/>
      <c r="CU602" s="13"/>
    </row>
    <row r="603" spans="1:99" ht="12.75">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3"/>
      <c r="BK603" s="13"/>
      <c r="BL603" s="13"/>
      <c r="BM603" s="13"/>
      <c r="BN603" s="13"/>
      <c r="BO603" s="13"/>
      <c r="BP603" s="13"/>
      <c r="BQ603" s="13"/>
      <c r="BR603" s="13"/>
      <c r="BS603" s="13"/>
      <c r="BT603" s="13"/>
      <c r="BU603" s="13"/>
      <c r="BV603" s="13"/>
      <c r="BW603" s="13"/>
      <c r="BX603" s="13"/>
      <c r="BY603" s="13"/>
      <c r="BZ603" s="13"/>
      <c r="CA603" s="13"/>
      <c r="CB603" s="13"/>
      <c r="CC603" s="13"/>
      <c r="CD603" s="13"/>
      <c r="CE603" s="13"/>
      <c r="CF603" s="13"/>
      <c r="CG603" s="13"/>
      <c r="CH603" s="13"/>
      <c r="CI603" s="13"/>
      <c r="CJ603" s="13"/>
      <c r="CK603" s="13"/>
      <c r="CL603" s="13"/>
      <c r="CM603" s="13"/>
      <c r="CN603" s="13"/>
      <c r="CO603" s="13"/>
      <c r="CP603" s="13"/>
      <c r="CQ603" s="13"/>
      <c r="CR603" s="13"/>
      <c r="CS603" s="13"/>
      <c r="CT603" s="13"/>
      <c r="CU603" s="13"/>
    </row>
    <row r="604" spans="1:99" ht="12.75">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c r="BJ604" s="13"/>
      <c r="BK604" s="13"/>
      <c r="BL604" s="13"/>
      <c r="BM604" s="13"/>
      <c r="BN604" s="13"/>
      <c r="BO604" s="13"/>
      <c r="BP604" s="13"/>
      <c r="BQ604" s="13"/>
      <c r="BR604" s="13"/>
      <c r="BS604" s="13"/>
      <c r="BT604" s="13"/>
      <c r="BU604" s="13"/>
      <c r="BV604" s="13"/>
      <c r="BW604" s="13"/>
      <c r="BX604" s="13"/>
      <c r="BY604" s="13"/>
      <c r="BZ604" s="13"/>
      <c r="CA604" s="13"/>
      <c r="CB604" s="13"/>
      <c r="CC604" s="13"/>
      <c r="CD604" s="13"/>
      <c r="CE604" s="13"/>
      <c r="CF604" s="13"/>
      <c r="CG604" s="13"/>
      <c r="CH604" s="13"/>
      <c r="CI604" s="13"/>
      <c r="CJ604" s="13"/>
      <c r="CK604" s="13"/>
      <c r="CL604" s="13"/>
      <c r="CM604" s="13"/>
      <c r="CN604" s="13"/>
      <c r="CO604" s="13"/>
      <c r="CP604" s="13"/>
      <c r="CQ604" s="13"/>
      <c r="CR604" s="13"/>
      <c r="CS604" s="13"/>
      <c r="CT604" s="13"/>
      <c r="CU604" s="13"/>
    </row>
    <row r="605" spans="1:99" ht="12.75">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c r="CA605" s="13"/>
      <c r="CB605" s="13"/>
      <c r="CC605" s="13"/>
      <c r="CD605" s="13"/>
      <c r="CE605" s="13"/>
      <c r="CF605" s="13"/>
      <c r="CG605" s="13"/>
      <c r="CH605" s="13"/>
      <c r="CI605" s="13"/>
      <c r="CJ605" s="13"/>
      <c r="CK605" s="13"/>
      <c r="CL605" s="13"/>
      <c r="CM605" s="13"/>
      <c r="CN605" s="13"/>
      <c r="CO605" s="13"/>
      <c r="CP605" s="13"/>
      <c r="CQ605" s="13"/>
      <c r="CR605" s="13"/>
      <c r="CS605" s="13"/>
      <c r="CT605" s="13"/>
      <c r="CU605" s="13"/>
    </row>
    <row r="606" spans="1:99" ht="12.75">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c r="CA606" s="13"/>
      <c r="CB606" s="13"/>
      <c r="CC606" s="13"/>
      <c r="CD606" s="13"/>
      <c r="CE606" s="13"/>
      <c r="CF606" s="13"/>
      <c r="CG606" s="13"/>
      <c r="CH606" s="13"/>
      <c r="CI606" s="13"/>
      <c r="CJ606" s="13"/>
      <c r="CK606" s="13"/>
      <c r="CL606" s="13"/>
      <c r="CM606" s="13"/>
      <c r="CN606" s="13"/>
      <c r="CO606" s="13"/>
      <c r="CP606" s="13"/>
      <c r="CQ606" s="13"/>
      <c r="CR606" s="13"/>
      <c r="CS606" s="13"/>
      <c r="CT606" s="13"/>
      <c r="CU606" s="13"/>
    </row>
    <row r="607" spans="1:99" ht="12.75">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c r="CA607" s="13"/>
      <c r="CB607" s="13"/>
      <c r="CC607" s="13"/>
      <c r="CD607" s="13"/>
      <c r="CE607" s="13"/>
      <c r="CF607" s="13"/>
      <c r="CG607" s="13"/>
      <c r="CH607" s="13"/>
      <c r="CI607" s="13"/>
      <c r="CJ607" s="13"/>
      <c r="CK607" s="13"/>
      <c r="CL607" s="13"/>
      <c r="CM607" s="13"/>
      <c r="CN607" s="13"/>
      <c r="CO607" s="13"/>
      <c r="CP607" s="13"/>
      <c r="CQ607" s="13"/>
      <c r="CR607" s="13"/>
      <c r="CS607" s="13"/>
      <c r="CT607" s="13"/>
      <c r="CU607" s="13"/>
    </row>
    <row r="608" spans="1:99" ht="12.75">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13"/>
      <c r="BK608" s="13"/>
      <c r="BL608" s="13"/>
      <c r="BM608" s="13"/>
      <c r="BN608" s="13"/>
      <c r="BO608" s="13"/>
      <c r="BP608" s="13"/>
      <c r="BQ608" s="13"/>
      <c r="BR608" s="13"/>
      <c r="BS608" s="13"/>
      <c r="BT608" s="13"/>
      <c r="BU608" s="13"/>
      <c r="BV608" s="13"/>
      <c r="BW608" s="13"/>
      <c r="BX608" s="13"/>
      <c r="BY608" s="13"/>
      <c r="BZ608" s="13"/>
      <c r="CA608" s="13"/>
      <c r="CB608" s="13"/>
      <c r="CC608" s="13"/>
      <c r="CD608" s="13"/>
      <c r="CE608" s="13"/>
      <c r="CF608" s="13"/>
      <c r="CG608" s="13"/>
      <c r="CH608" s="13"/>
      <c r="CI608" s="13"/>
      <c r="CJ608" s="13"/>
      <c r="CK608" s="13"/>
      <c r="CL608" s="13"/>
      <c r="CM608" s="13"/>
      <c r="CN608" s="13"/>
      <c r="CO608" s="13"/>
      <c r="CP608" s="13"/>
      <c r="CQ608" s="13"/>
      <c r="CR608" s="13"/>
      <c r="CS608" s="13"/>
      <c r="CT608" s="13"/>
      <c r="CU608" s="13"/>
    </row>
    <row r="609" spans="1:99" ht="12.75">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c r="BD609" s="13"/>
      <c r="BE609" s="13"/>
      <c r="BF609" s="13"/>
      <c r="BG609" s="13"/>
      <c r="BH609" s="13"/>
      <c r="BI609" s="13"/>
      <c r="BJ609" s="13"/>
      <c r="BK609" s="13"/>
      <c r="BL609" s="13"/>
      <c r="BM609" s="13"/>
      <c r="BN609" s="13"/>
      <c r="BO609" s="13"/>
      <c r="BP609" s="13"/>
      <c r="BQ609" s="13"/>
      <c r="BR609" s="13"/>
      <c r="BS609" s="13"/>
      <c r="BT609" s="13"/>
      <c r="BU609" s="13"/>
      <c r="BV609" s="13"/>
      <c r="BW609" s="13"/>
      <c r="BX609" s="13"/>
      <c r="BY609" s="13"/>
      <c r="BZ609" s="13"/>
      <c r="CA609" s="13"/>
      <c r="CB609" s="13"/>
      <c r="CC609" s="13"/>
      <c r="CD609" s="13"/>
      <c r="CE609" s="13"/>
      <c r="CF609" s="13"/>
      <c r="CG609" s="13"/>
      <c r="CH609" s="13"/>
      <c r="CI609" s="13"/>
      <c r="CJ609" s="13"/>
      <c r="CK609" s="13"/>
      <c r="CL609" s="13"/>
      <c r="CM609" s="13"/>
      <c r="CN609" s="13"/>
      <c r="CO609" s="13"/>
      <c r="CP609" s="13"/>
      <c r="CQ609" s="13"/>
      <c r="CR609" s="13"/>
      <c r="CS609" s="13"/>
      <c r="CT609" s="13"/>
      <c r="CU609" s="13"/>
    </row>
    <row r="610" spans="1:99" ht="12.75">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c r="AX610" s="13"/>
      <c r="AY610" s="13"/>
      <c r="AZ610" s="13"/>
      <c r="BA610" s="13"/>
      <c r="BB610" s="13"/>
      <c r="BC610" s="13"/>
      <c r="BD610" s="13"/>
      <c r="BE610" s="13"/>
      <c r="BF610" s="13"/>
      <c r="BG610" s="13"/>
      <c r="BH610" s="13"/>
      <c r="BI610" s="13"/>
      <c r="BJ610" s="13"/>
      <c r="BK610" s="13"/>
      <c r="BL610" s="13"/>
      <c r="BM610" s="13"/>
      <c r="BN610" s="13"/>
      <c r="BO610" s="13"/>
      <c r="BP610" s="13"/>
      <c r="BQ610" s="13"/>
      <c r="BR610" s="13"/>
      <c r="BS610" s="13"/>
      <c r="BT610" s="13"/>
      <c r="BU610" s="13"/>
      <c r="BV610" s="13"/>
      <c r="BW610" s="13"/>
      <c r="BX610" s="13"/>
      <c r="BY610" s="13"/>
      <c r="BZ610" s="13"/>
      <c r="CA610" s="13"/>
      <c r="CB610" s="13"/>
      <c r="CC610" s="13"/>
      <c r="CD610" s="13"/>
      <c r="CE610" s="13"/>
      <c r="CF610" s="13"/>
      <c r="CG610" s="13"/>
      <c r="CH610" s="13"/>
      <c r="CI610" s="13"/>
      <c r="CJ610" s="13"/>
      <c r="CK610" s="13"/>
      <c r="CL610" s="13"/>
      <c r="CM610" s="13"/>
      <c r="CN610" s="13"/>
      <c r="CO610" s="13"/>
      <c r="CP610" s="13"/>
      <c r="CQ610" s="13"/>
      <c r="CR610" s="13"/>
      <c r="CS610" s="13"/>
      <c r="CT610" s="13"/>
      <c r="CU610" s="13"/>
    </row>
    <row r="611" spans="1:99" ht="12.75">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c r="BD611" s="13"/>
      <c r="BE611" s="13"/>
      <c r="BF611" s="13"/>
      <c r="BG611" s="13"/>
      <c r="BH611" s="13"/>
      <c r="BI611" s="13"/>
      <c r="BJ611" s="13"/>
      <c r="BK611" s="13"/>
      <c r="BL611" s="13"/>
      <c r="BM611" s="13"/>
      <c r="BN611" s="13"/>
      <c r="BO611" s="13"/>
      <c r="BP611" s="13"/>
      <c r="BQ611" s="13"/>
      <c r="BR611" s="13"/>
      <c r="BS611" s="13"/>
      <c r="BT611" s="13"/>
      <c r="BU611" s="13"/>
      <c r="BV611" s="13"/>
      <c r="BW611" s="13"/>
      <c r="BX611" s="13"/>
      <c r="BY611" s="13"/>
      <c r="BZ611" s="13"/>
      <c r="CA611" s="13"/>
      <c r="CB611" s="13"/>
      <c r="CC611" s="13"/>
      <c r="CD611" s="13"/>
      <c r="CE611" s="13"/>
      <c r="CF611" s="13"/>
      <c r="CG611" s="13"/>
      <c r="CH611" s="13"/>
      <c r="CI611" s="13"/>
      <c r="CJ611" s="13"/>
      <c r="CK611" s="13"/>
      <c r="CL611" s="13"/>
      <c r="CM611" s="13"/>
      <c r="CN611" s="13"/>
      <c r="CO611" s="13"/>
      <c r="CP611" s="13"/>
      <c r="CQ611" s="13"/>
      <c r="CR611" s="13"/>
      <c r="CS611" s="13"/>
      <c r="CT611" s="13"/>
      <c r="CU611" s="13"/>
    </row>
    <row r="612" spans="1:99" ht="12.75">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c r="BD612" s="13"/>
      <c r="BE612" s="13"/>
      <c r="BF612" s="13"/>
      <c r="BG612" s="13"/>
      <c r="BH612" s="13"/>
      <c r="BI612" s="13"/>
      <c r="BJ612" s="13"/>
      <c r="BK612" s="13"/>
      <c r="BL612" s="13"/>
      <c r="BM612" s="13"/>
      <c r="BN612" s="13"/>
      <c r="BO612" s="13"/>
      <c r="BP612" s="13"/>
      <c r="BQ612" s="13"/>
      <c r="BR612" s="13"/>
      <c r="BS612" s="13"/>
      <c r="BT612" s="13"/>
      <c r="BU612" s="13"/>
      <c r="BV612" s="13"/>
      <c r="BW612" s="13"/>
      <c r="BX612" s="13"/>
      <c r="BY612" s="13"/>
      <c r="BZ612" s="13"/>
      <c r="CA612" s="13"/>
      <c r="CB612" s="13"/>
      <c r="CC612" s="13"/>
      <c r="CD612" s="13"/>
      <c r="CE612" s="13"/>
      <c r="CF612" s="13"/>
      <c r="CG612" s="13"/>
      <c r="CH612" s="13"/>
      <c r="CI612" s="13"/>
      <c r="CJ612" s="13"/>
      <c r="CK612" s="13"/>
      <c r="CL612" s="13"/>
      <c r="CM612" s="13"/>
      <c r="CN612" s="13"/>
      <c r="CO612" s="13"/>
      <c r="CP612" s="13"/>
      <c r="CQ612" s="13"/>
      <c r="CR612" s="13"/>
      <c r="CS612" s="13"/>
      <c r="CT612" s="13"/>
      <c r="CU612" s="13"/>
    </row>
    <row r="613" spans="1:99" ht="12.75">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c r="CA613" s="13"/>
      <c r="CB613" s="13"/>
      <c r="CC613" s="13"/>
      <c r="CD613" s="13"/>
      <c r="CE613" s="13"/>
      <c r="CF613" s="13"/>
      <c r="CG613" s="13"/>
      <c r="CH613" s="13"/>
      <c r="CI613" s="13"/>
      <c r="CJ613" s="13"/>
      <c r="CK613" s="13"/>
      <c r="CL613" s="13"/>
      <c r="CM613" s="13"/>
      <c r="CN613" s="13"/>
      <c r="CO613" s="13"/>
      <c r="CP613" s="13"/>
      <c r="CQ613" s="13"/>
      <c r="CR613" s="13"/>
      <c r="CS613" s="13"/>
      <c r="CT613" s="13"/>
      <c r="CU613" s="13"/>
    </row>
    <row r="614" spans="1:99" ht="12.75">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c r="CA614" s="13"/>
      <c r="CB614" s="13"/>
      <c r="CC614" s="13"/>
      <c r="CD614" s="13"/>
      <c r="CE614" s="13"/>
      <c r="CF614" s="13"/>
      <c r="CG614" s="13"/>
      <c r="CH614" s="13"/>
      <c r="CI614" s="13"/>
      <c r="CJ614" s="13"/>
      <c r="CK614" s="13"/>
      <c r="CL614" s="13"/>
      <c r="CM614" s="13"/>
      <c r="CN614" s="13"/>
      <c r="CO614" s="13"/>
      <c r="CP614" s="13"/>
      <c r="CQ614" s="13"/>
      <c r="CR614" s="13"/>
      <c r="CS614" s="13"/>
      <c r="CT614" s="13"/>
      <c r="CU614" s="13"/>
    </row>
    <row r="615" spans="1:99" ht="12.75">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c r="BE615" s="13"/>
      <c r="BF615" s="13"/>
      <c r="BG615" s="13"/>
      <c r="BH615" s="13"/>
      <c r="BI615" s="13"/>
      <c r="BJ615" s="13"/>
      <c r="BK615" s="13"/>
      <c r="BL615" s="13"/>
      <c r="BM615" s="13"/>
      <c r="BN615" s="13"/>
      <c r="BO615" s="13"/>
      <c r="BP615" s="13"/>
      <c r="BQ615" s="13"/>
      <c r="BR615" s="13"/>
      <c r="BS615" s="13"/>
      <c r="BT615" s="13"/>
      <c r="BU615" s="13"/>
      <c r="BV615" s="13"/>
      <c r="BW615" s="13"/>
      <c r="BX615" s="13"/>
      <c r="BY615" s="13"/>
      <c r="BZ615" s="13"/>
      <c r="CA615" s="13"/>
      <c r="CB615" s="13"/>
      <c r="CC615" s="13"/>
      <c r="CD615" s="13"/>
      <c r="CE615" s="13"/>
      <c r="CF615" s="13"/>
      <c r="CG615" s="13"/>
      <c r="CH615" s="13"/>
      <c r="CI615" s="13"/>
      <c r="CJ615" s="13"/>
      <c r="CK615" s="13"/>
      <c r="CL615" s="13"/>
      <c r="CM615" s="13"/>
      <c r="CN615" s="13"/>
      <c r="CO615" s="13"/>
      <c r="CP615" s="13"/>
      <c r="CQ615" s="13"/>
      <c r="CR615" s="13"/>
      <c r="CS615" s="13"/>
      <c r="CT615" s="13"/>
      <c r="CU615" s="13"/>
    </row>
    <row r="616" spans="1:99" ht="12.75">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c r="BE616" s="13"/>
      <c r="BF616" s="13"/>
      <c r="BG616" s="13"/>
      <c r="BH616" s="13"/>
      <c r="BI616" s="13"/>
      <c r="BJ616" s="13"/>
      <c r="BK616" s="13"/>
      <c r="BL616" s="13"/>
      <c r="BM616" s="13"/>
      <c r="BN616" s="13"/>
      <c r="BO616" s="13"/>
      <c r="BP616" s="13"/>
      <c r="BQ616" s="13"/>
      <c r="BR616" s="13"/>
      <c r="BS616" s="13"/>
      <c r="BT616" s="13"/>
      <c r="BU616" s="13"/>
      <c r="BV616" s="13"/>
      <c r="BW616" s="13"/>
      <c r="BX616" s="13"/>
      <c r="BY616" s="13"/>
      <c r="BZ616" s="13"/>
      <c r="CA616" s="13"/>
      <c r="CB616" s="13"/>
      <c r="CC616" s="13"/>
      <c r="CD616" s="13"/>
      <c r="CE616" s="13"/>
      <c r="CF616" s="13"/>
      <c r="CG616" s="13"/>
      <c r="CH616" s="13"/>
      <c r="CI616" s="13"/>
      <c r="CJ616" s="13"/>
      <c r="CK616" s="13"/>
      <c r="CL616" s="13"/>
      <c r="CM616" s="13"/>
      <c r="CN616" s="13"/>
      <c r="CO616" s="13"/>
      <c r="CP616" s="13"/>
      <c r="CQ616" s="13"/>
      <c r="CR616" s="13"/>
      <c r="CS616" s="13"/>
      <c r="CT616" s="13"/>
      <c r="CU616" s="13"/>
    </row>
    <row r="617" spans="1:99" ht="12.75">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c r="BD617" s="13"/>
      <c r="BE617" s="13"/>
      <c r="BF617" s="13"/>
      <c r="BG617" s="13"/>
      <c r="BH617" s="13"/>
      <c r="BI617" s="13"/>
      <c r="BJ617" s="13"/>
      <c r="BK617" s="13"/>
      <c r="BL617" s="13"/>
      <c r="BM617" s="13"/>
      <c r="BN617" s="13"/>
      <c r="BO617" s="13"/>
      <c r="BP617" s="13"/>
      <c r="BQ617" s="13"/>
      <c r="BR617" s="13"/>
      <c r="BS617" s="13"/>
      <c r="BT617" s="13"/>
      <c r="BU617" s="13"/>
      <c r="BV617" s="13"/>
      <c r="BW617" s="13"/>
      <c r="BX617" s="13"/>
      <c r="BY617" s="13"/>
      <c r="BZ617" s="13"/>
      <c r="CA617" s="13"/>
      <c r="CB617" s="13"/>
      <c r="CC617" s="13"/>
      <c r="CD617" s="13"/>
      <c r="CE617" s="13"/>
      <c r="CF617" s="13"/>
      <c r="CG617" s="13"/>
      <c r="CH617" s="13"/>
      <c r="CI617" s="13"/>
      <c r="CJ617" s="13"/>
      <c r="CK617" s="13"/>
      <c r="CL617" s="13"/>
      <c r="CM617" s="13"/>
      <c r="CN617" s="13"/>
      <c r="CO617" s="13"/>
      <c r="CP617" s="13"/>
      <c r="CQ617" s="13"/>
      <c r="CR617" s="13"/>
      <c r="CS617" s="13"/>
      <c r="CT617" s="13"/>
      <c r="CU617" s="13"/>
    </row>
    <row r="618" spans="1:99" ht="12.75">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c r="AX618" s="13"/>
      <c r="AY618" s="13"/>
      <c r="AZ618" s="13"/>
      <c r="BA618" s="13"/>
      <c r="BB618" s="13"/>
      <c r="BC618" s="13"/>
      <c r="BD618" s="13"/>
      <c r="BE618" s="13"/>
      <c r="BF618" s="13"/>
      <c r="BG618" s="13"/>
      <c r="BH618" s="13"/>
      <c r="BI618" s="13"/>
      <c r="BJ618" s="13"/>
      <c r="BK618" s="13"/>
      <c r="BL618" s="13"/>
      <c r="BM618" s="13"/>
      <c r="BN618" s="13"/>
      <c r="BO618" s="13"/>
      <c r="BP618" s="13"/>
      <c r="BQ618" s="13"/>
      <c r="BR618" s="13"/>
      <c r="BS618" s="13"/>
      <c r="BT618" s="13"/>
      <c r="BU618" s="13"/>
      <c r="BV618" s="13"/>
      <c r="BW618" s="13"/>
      <c r="BX618" s="13"/>
      <c r="BY618" s="13"/>
      <c r="BZ618" s="13"/>
      <c r="CA618" s="13"/>
      <c r="CB618" s="13"/>
      <c r="CC618" s="13"/>
      <c r="CD618" s="13"/>
      <c r="CE618" s="13"/>
      <c r="CF618" s="13"/>
      <c r="CG618" s="13"/>
      <c r="CH618" s="13"/>
      <c r="CI618" s="13"/>
      <c r="CJ618" s="13"/>
      <c r="CK618" s="13"/>
      <c r="CL618" s="13"/>
      <c r="CM618" s="13"/>
      <c r="CN618" s="13"/>
      <c r="CO618" s="13"/>
      <c r="CP618" s="13"/>
      <c r="CQ618" s="13"/>
      <c r="CR618" s="13"/>
      <c r="CS618" s="13"/>
      <c r="CT618" s="13"/>
      <c r="CU618" s="13"/>
    </row>
    <row r="619" spans="1:99" ht="12.75">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c r="AX619" s="13"/>
      <c r="AY619" s="13"/>
      <c r="AZ619" s="13"/>
      <c r="BA619" s="13"/>
      <c r="BB619" s="13"/>
      <c r="BC619" s="13"/>
      <c r="BD619" s="13"/>
      <c r="BE619" s="13"/>
      <c r="BF619" s="13"/>
      <c r="BG619" s="13"/>
      <c r="BH619" s="13"/>
      <c r="BI619" s="13"/>
      <c r="BJ619" s="13"/>
      <c r="BK619" s="13"/>
      <c r="BL619" s="13"/>
      <c r="BM619" s="13"/>
      <c r="BN619" s="13"/>
      <c r="BO619" s="13"/>
      <c r="BP619" s="13"/>
      <c r="BQ619" s="13"/>
      <c r="BR619" s="13"/>
      <c r="BS619" s="13"/>
      <c r="BT619" s="13"/>
      <c r="BU619" s="13"/>
      <c r="BV619" s="13"/>
      <c r="BW619" s="13"/>
      <c r="BX619" s="13"/>
      <c r="BY619" s="13"/>
      <c r="BZ619" s="13"/>
      <c r="CA619" s="13"/>
      <c r="CB619" s="13"/>
      <c r="CC619" s="13"/>
      <c r="CD619" s="13"/>
      <c r="CE619" s="13"/>
      <c r="CF619" s="13"/>
      <c r="CG619" s="13"/>
      <c r="CH619" s="13"/>
      <c r="CI619" s="13"/>
      <c r="CJ619" s="13"/>
      <c r="CK619" s="13"/>
      <c r="CL619" s="13"/>
      <c r="CM619" s="13"/>
      <c r="CN619" s="13"/>
      <c r="CO619" s="13"/>
      <c r="CP619" s="13"/>
      <c r="CQ619" s="13"/>
      <c r="CR619" s="13"/>
      <c r="CS619" s="13"/>
      <c r="CT619" s="13"/>
      <c r="CU619" s="13"/>
    </row>
    <row r="620" spans="1:99" ht="12.75">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c r="BH620" s="13"/>
      <c r="BI620" s="13"/>
      <c r="BJ620" s="13"/>
      <c r="BK620" s="13"/>
      <c r="BL620" s="13"/>
      <c r="BM620" s="13"/>
      <c r="BN620" s="13"/>
      <c r="BO620" s="13"/>
      <c r="BP620" s="13"/>
      <c r="BQ620" s="13"/>
      <c r="BR620" s="13"/>
      <c r="BS620" s="13"/>
      <c r="BT620" s="13"/>
      <c r="BU620" s="13"/>
      <c r="BV620" s="13"/>
      <c r="BW620" s="13"/>
      <c r="BX620" s="13"/>
      <c r="BY620" s="13"/>
      <c r="BZ620" s="13"/>
      <c r="CA620" s="13"/>
      <c r="CB620" s="13"/>
      <c r="CC620" s="13"/>
      <c r="CD620" s="13"/>
      <c r="CE620" s="13"/>
      <c r="CF620" s="13"/>
      <c r="CG620" s="13"/>
      <c r="CH620" s="13"/>
      <c r="CI620" s="13"/>
      <c r="CJ620" s="13"/>
      <c r="CK620" s="13"/>
      <c r="CL620" s="13"/>
      <c r="CM620" s="13"/>
      <c r="CN620" s="13"/>
      <c r="CO620" s="13"/>
      <c r="CP620" s="13"/>
      <c r="CQ620" s="13"/>
      <c r="CR620" s="13"/>
      <c r="CS620" s="13"/>
      <c r="CT620" s="13"/>
      <c r="CU620" s="13"/>
    </row>
    <row r="621" spans="1:99" ht="12.75">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c r="BB621" s="13"/>
      <c r="BC621" s="13"/>
      <c r="BD621" s="13"/>
      <c r="BE621" s="13"/>
      <c r="BF621" s="13"/>
      <c r="BG621" s="13"/>
      <c r="BH621" s="13"/>
      <c r="BI621" s="13"/>
      <c r="BJ621" s="13"/>
      <c r="BK621" s="13"/>
      <c r="BL621" s="13"/>
      <c r="BM621" s="13"/>
      <c r="BN621" s="13"/>
      <c r="BO621" s="13"/>
      <c r="BP621" s="13"/>
      <c r="BQ621" s="13"/>
      <c r="BR621" s="13"/>
      <c r="BS621" s="13"/>
      <c r="BT621" s="13"/>
      <c r="BU621" s="13"/>
      <c r="BV621" s="13"/>
      <c r="BW621" s="13"/>
      <c r="BX621" s="13"/>
      <c r="BY621" s="13"/>
      <c r="BZ621" s="13"/>
      <c r="CA621" s="13"/>
      <c r="CB621" s="13"/>
      <c r="CC621" s="13"/>
      <c r="CD621" s="13"/>
      <c r="CE621" s="13"/>
      <c r="CF621" s="13"/>
      <c r="CG621" s="13"/>
      <c r="CH621" s="13"/>
      <c r="CI621" s="13"/>
      <c r="CJ621" s="13"/>
      <c r="CK621" s="13"/>
      <c r="CL621" s="13"/>
      <c r="CM621" s="13"/>
      <c r="CN621" s="13"/>
      <c r="CO621" s="13"/>
      <c r="CP621" s="13"/>
      <c r="CQ621" s="13"/>
      <c r="CR621" s="13"/>
      <c r="CS621" s="13"/>
      <c r="CT621" s="13"/>
      <c r="CU621" s="13"/>
    </row>
    <row r="622" spans="1:99" ht="12.75">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c r="CA622" s="13"/>
      <c r="CB622" s="13"/>
      <c r="CC622" s="13"/>
      <c r="CD622" s="13"/>
      <c r="CE622" s="13"/>
      <c r="CF622" s="13"/>
      <c r="CG622" s="13"/>
      <c r="CH622" s="13"/>
      <c r="CI622" s="13"/>
      <c r="CJ622" s="13"/>
      <c r="CK622" s="13"/>
      <c r="CL622" s="13"/>
      <c r="CM622" s="13"/>
      <c r="CN622" s="13"/>
      <c r="CO622" s="13"/>
      <c r="CP622" s="13"/>
      <c r="CQ622" s="13"/>
      <c r="CR622" s="13"/>
      <c r="CS622" s="13"/>
      <c r="CT622" s="13"/>
      <c r="CU622" s="13"/>
    </row>
    <row r="623" spans="1:99" ht="12.75">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c r="AX623" s="13"/>
      <c r="AY623" s="13"/>
      <c r="AZ623" s="13"/>
      <c r="BA623" s="13"/>
      <c r="BB623" s="13"/>
      <c r="BC623" s="13"/>
      <c r="BD623" s="13"/>
      <c r="BE623" s="13"/>
      <c r="BF623" s="13"/>
      <c r="BG623" s="13"/>
      <c r="BH623" s="13"/>
      <c r="BI623" s="13"/>
      <c r="BJ623" s="13"/>
      <c r="BK623" s="13"/>
      <c r="BL623" s="13"/>
      <c r="BM623" s="13"/>
      <c r="BN623" s="13"/>
      <c r="BO623" s="13"/>
      <c r="BP623" s="13"/>
      <c r="BQ623" s="13"/>
      <c r="BR623" s="13"/>
      <c r="BS623" s="13"/>
      <c r="BT623" s="13"/>
      <c r="BU623" s="13"/>
      <c r="BV623" s="13"/>
      <c r="BW623" s="13"/>
      <c r="BX623" s="13"/>
      <c r="BY623" s="13"/>
      <c r="BZ623" s="13"/>
      <c r="CA623" s="13"/>
      <c r="CB623" s="13"/>
      <c r="CC623" s="13"/>
      <c r="CD623" s="13"/>
      <c r="CE623" s="13"/>
      <c r="CF623" s="13"/>
      <c r="CG623" s="13"/>
      <c r="CH623" s="13"/>
      <c r="CI623" s="13"/>
      <c r="CJ623" s="13"/>
      <c r="CK623" s="13"/>
      <c r="CL623" s="13"/>
      <c r="CM623" s="13"/>
      <c r="CN623" s="13"/>
      <c r="CO623" s="13"/>
      <c r="CP623" s="13"/>
      <c r="CQ623" s="13"/>
      <c r="CR623" s="13"/>
      <c r="CS623" s="13"/>
      <c r="CT623" s="13"/>
      <c r="CU623" s="13"/>
    </row>
    <row r="624" spans="1:99" ht="12.75">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c r="BD624" s="13"/>
      <c r="BE624" s="13"/>
      <c r="BF624" s="13"/>
      <c r="BG624" s="13"/>
      <c r="BH624" s="13"/>
      <c r="BI624" s="13"/>
      <c r="BJ624" s="13"/>
      <c r="BK624" s="13"/>
      <c r="BL624" s="13"/>
      <c r="BM624" s="13"/>
      <c r="BN624" s="13"/>
      <c r="BO624" s="13"/>
      <c r="BP624" s="13"/>
      <c r="BQ624" s="13"/>
      <c r="BR624" s="13"/>
      <c r="BS624" s="13"/>
      <c r="BT624" s="13"/>
      <c r="BU624" s="13"/>
      <c r="BV624" s="13"/>
      <c r="BW624" s="13"/>
      <c r="BX624" s="13"/>
      <c r="BY624" s="13"/>
      <c r="BZ624" s="13"/>
      <c r="CA624" s="13"/>
      <c r="CB624" s="13"/>
      <c r="CC624" s="13"/>
      <c r="CD624" s="13"/>
      <c r="CE624" s="13"/>
      <c r="CF624" s="13"/>
      <c r="CG624" s="13"/>
      <c r="CH624" s="13"/>
      <c r="CI624" s="13"/>
      <c r="CJ624" s="13"/>
      <c r="CK624" s="13"/>
      <c r="CL624" s="13"/>
      <c r="CM624" s="13"/>
      <c r="CN624" s="13"/>
      <c r="CO624" s="13"/>
      <c r="CP624" s="13"/>
      <c r="CQ624" s="13"/>
      <c r="CR624" s="13"/>
      <c r="CS624" s="13"/>
      <c r="CT624" s="13"/>
      <c r="CU624" s="13"/>
    </row>
    <row r="625" spans="1:99" ht="12.75">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c r="BB625" s="13"/>
      <c r="BC625" s="13"/>
      <c r="BD625" s="13"/>
      <c r="BE625" s="13"/>
      <c r="BF625" s="13"/>
      <c r="BG625" s="13"/>
      <c r="BH625" s="13"/>
      <c r="BI625" s="13"/>
      <c r="BJ625" s="13"/>
      <c r="BK625" s="13"/>
      <c r="BL625" s="13"/>
      <c r="BM625" s="13"/>
      <c r="BN625" s="13"/>
      <c r="BO625" s="13"/>
      <c r="BP625" s="13"/>
      <c r="BQ625" s="13"/>
      <c r="BR625" s="13"/>
      <c r="BS625" s="13"/>
      <c r="BT625" s="13"/>
      <c r="BU625" s="13"/>
      <c r="BV625" s="13"/>
      <c r="BW625" s="13"/>
      <c r="BX625" s="13"/>
      <c r="BY625" s="13"/>
      <c r="BZ625" s="13"/>
      <c r="CA625" s="13"/>
      <c r="CB625" s="13"/>
      <c r="CC625" s="13"/>
      <c r="CD625" s="13"/>
      <c r="CE625" s="13"/>
      <c r="CF625" s="13"/>
      <c r="CG625" s="13"/>
      <c r="CH625" s="13"/>
      <c r="CI625" s="13"/>
      <c r="CJ625" s="13"/>
      <c r="CK625" s="13"/>
      <c r="CL625" s="13"/>
      <c r="CM625" s="13"/>
      <c r="CN625" s="13"/>
      <c r="CO625" s="13"/>
      <c r="CP625" s="13"/>
      <c r="CQ625" s="13"/>
      <c r="CR625" s="13"/>
      <c r="CS625" s="13"/>
      <c r="CT625" s="13"/>
      <c r="CU625" s="13"/>
    </row>
    <row r="626" spans="1:99" ht="12.75">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c r="BB626" s="13"/>
      <c r="BC626" s="13"/>
      <c r="BD626" s="13"/>
      <c r="BE626" s="13"/>
      <c r="BF626" s="13"/>
      <c r="BG626" s="13"/>
      <c r="BH626" s="13"/>
      <c r="BI626" s="13"/>
      <c r="BJ626" s="13"/>
      <c r="BK626" s="13"/>
      <c r="BL626" s="13"/>
      <c r="BM626" s="13"/>
      <c r="BN626" s="13"/>
      <c r="BO626" s="13"/>
      <c r="BP626" s="13"/>
      <c r="BQ626" s="13"/>
      <c r="BR626" s="13"/>
      <c r="BS626" s="13"/>
      <c r="BT626" s="13"/>
      <c r="BU626" s="13"/>
      <c r="BV626" s="13"/>
      <c r="BW626" s="13"/>
      <c r="BX626" s="13"/>
      <c r="BY626" s="13"/>
      <c r="BZ626" s="13"/>
      <c r="CA626" s="13"/>
      <c r="CB626" s="13"/>
      <c r="CC626" s="13"/>
      <c r="CD626" s="13"/>
      <c r="CE626" s="13"/>
      <c r="CF626" s="13"/>
      <c r="CG626" s="13"/>
      <c r="CH626" s="13"/>
      <c r="CI626" s="13"/>
      <c r="CJ626" s="13"/>
      <c r="CK626" s="13"/>
      <c r="CL626" s="13"/>
      <c r="CM626" s="13"/>
      <c r="CN626" s="13"/>
      <c r="CO626" s="13"/>
      <c r="CP626" s="13"/>
      <c r="CQ626" s="13"/>
      <c r="CR626" s="13"/>
      <c r="CS626" s="13"/>
      <c r="CT626" s="13"/>
      <c r="CU626" s="13"/>
    </row>
    <row r="627" spans="1:99" ht="12.75">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c r="AX627" s="13"/>
      <c r="AY627" s="13"/>
      <c r="AZ627" s="13"/>
      <c r="BA627" s="13"/>
      <c r="BB627" s="13"/>
      <c r="BC627" s="13"/>
      <c r="BD627" s="13"/>
      <c r="BE627" s="13"/>
      <c r="BF627" s="13"/>
      <c r="BG627" s="13"/>
      <c r="BH627" s="13"/>
      <c r="BI627" s="13"/>
      <c r="BJ627" s="13"/>
      <c r="BK627" s="13"/>
      <c r="BL627" s="13"/>
      <c r="BM627" s="13"/>
      <c r="BN627" s="13"/>
      <c r="BO627" s="13"/>
      <c r="BP627" s="13"/>
      <c r="BQ627" s="13"/>
      <c r="BR627" s="13"/>
      <c r="BS627" s="13"/>
      <c r="BT627" s="13"/>
      <c r="BU627" s="13"/>
      <c r="BV627" s="13"/>
      <c r="BW627" s="13"/>
      <c r="BX627" s="13"/>
      <c r="BY627" s="13"/>
      <c r="BZ627" s="13"/>
      <c r="CA627" s="13"/>
      <c r="CB627" s="13"/>
      <c r="CC627" s="13"/>
      <c r="CD627" s="13"/>
      <c r="CE627" s="13"/>
      <c r="CF627" s="13"/>
      <c r="CG627" s="13"/>
      <c r="CH627" s="13"/>
      <c r="CI627" s="13"/>
      <c r="CJ627" s="13"/>
      <c r="CK627" s="13"/>
      <c r="CL627" s="13"/>
      <c r="CM627" s="13"/>
      <c r="CN627" s="13"/>
      <c r="CO627" s="13"/>
      <c r="CP627" s="13"/>
      <c r="CQ627" s="13"/>
      <c r="CR627" s="13"/>
      <c r="CS627" s="13"/>
      <c r="CT627" s="13"/>
      <c r="CU627" s="13"/>
    </row>
    <row r="628" spans="1:99" ht="12.75">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c r="BD628" s="13"/>
      <c r="BE628" s="13"/>
      <c r="BF628" s="13"/>
      <c r="BG628" s="13"/>
      <c r="BH628" s="13"/>
      <c r="BI628" s="13"/>
      <c r="BJ628" s="13"/>
      <c r="BK628" s="13"/>
      <c r="BL628" s="13"/>
      <c r="BM628" s="13"/>
      <c r="BN628" s="13"/>
      <c r="BO628" s="13"/>
      <c r="BP628" s="13"/>
      <c r="BQ628" s="13"/>
      <c r="BR628" s="13"/>
      <c r="BS628" s="13"/>
      <c r="BT628" s="13"/>
      <c r="BU628" s="13"/>
      <c r="BV628" s="13"/>
      <c r="BW628" s="13"/>
      <c r="BX628" s="13"/>
      <c r="BY628" s="13"/>
      <c r="BZ628" s="13"/>
      <c r="CA628" s="13"/>
      <c r="CB628" s="13"/>
      <c r="CC628" s="13"/>
      <c r="CD628" s="13"/>
      <c r="CE628" s="13"/>
      <c r="CF628" s="13"/>
      <c r="CG628" s="13"/>
      <c r="CH628" s="13"/>
      <c r="CI628" s="13"/>
      <c r="CJ628" s="13"/>
      <c r="CK628" s="13"/>
      <c r="CL628" s="13"/>
      <c r="CM628" s="13"/>
      <c r="CN628" s="13"/>
      <c r="CO628" s="13"/>
      <c r="CP628" s="13"/>
      <c r="CQ628" s="13"/>
      <c r="CR628" s="13"/>
      <c r="CS628" s="13"/>
      <c r="CT628" s="13"/>
      <c r="CU628" s="13"/>
    </row>
    <row r="629" spans="1:99" ht="12.75">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c r="BE629" s="13"/>
      <c r="BF629" s="13"/>
      <c r="BG629" s="13"/>
      <c r="BH629" s="13"/>
      <c r="BI629" s="13"/>
      <c r="BJ629" s="13"/>
      <c r="BK629" s="13"/>
      <c r="BL629" s="13"/>
      <c r="BM629" s="13"/>
      <c r="BN629" s="13"/>
      <c r="BO629" s="13"/>
      <c r="BP629" s="13"/>
      <c r="BQ629" s="13"/>
      <c r="BR629" s="13"/>
      <c r="BS629" s="13"/>
      <c r="BT629" s="13"/>
      <c r="BU629" s="13"/>
      <c r="BV629" s="13"/>
      <c r="BW629" s="13"/>
      <c r="BX629" s="13"/>
      <c r="BY629" s="13"/>
      <c r="BZ629" s="13"/>
      <c r="CA629" s="13"/>
      <c r="CB629" s="13"/>
      <c r="CC629" s="13"/>
      <c r="CD629" s="13"/>
      <c r="CE629" s="13"/>
      <c r="CF629" s="13"/>
      <c r="CG629" s="13"/>
      <c r="CH629" s="13"/>
      <c r="CI629" s="13"/>
      <c r="CJ629" s="13"/>
      <c r="CK629" s="13"/>
      <c r="CL629" s="13"/>
      <c r="CM629" s="13"/>
      <c r="CN629" s="13"/>
      <c r="CO629" s="13"/>
      <c r="CP629" s="13"/>
      <c r="CQ629" s="13"/>
      <c r="CR629" s="13"/>
      <c r="CS629" s="13"/>
      <c r="CT629" s="13"/>
      <c r="CU629" s="13"/>
    </row>
    <row r="630" spans="1:99" ht="12.75">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c r="CA630" s="13"/>
      <c r="CB630" s="13"/>
      <c r="CC630" s="13"/>
      <c r="CD630" s="13"/>
      <c r="CE630" s="13"/>
      <c r="CF630" s="13"/>
      <c r="CG630" s="13"/>
      <c r="CH630" s="13"/>
      <c r="CI630" s="13"/>
      <c r="CJ630" s="13"/>
      <c r="CK630" s="13"/>
      <c r="CL630" s="13"/>
      <c r="CM630" s="13"/>
      <c r="CN630" s="13"/>
      <c r="CO630" s="13"/>
      <c r="CP630" s="13"/>
      <c r="CQ630" s="13"/>
      <c r="CR630" s="13"/>
      <c r="CS630" s="13"/>
      <c r="CT630" s="13"/>
      <c r="CU630" s="13"/>
    </row>
    <row r="631" spans="1:99" ht="12.75">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13"/>
      <c r="AZ631" s="13"/>
      <c r="BA631" s="13"/>
      <c r="BB631" s="13"/>
      <c r="BC631" s="13"/>
      <c r="BD631" s="13"/>
      <c r="BE631" s="13"/>
      <c r="BF631" s="13"/>
      <c r="BG631" s="13"/>
      <c r="BH631" s="13"/>
      <c r="BI631" s="13"/>
      <c r="BJ631" s="13"/>
      <c r="BK631" s="13"/>
      <c r="BL631" s="13"/>
      <c r="BM631" s="13"/>
      <c r="BN631" s="13"/>
      <c r="BO631" s="13"/>
      <c r="BP631" s="13"/>
      <c r="BQ631" s="13"/>
      <c r="BR631" s="13"/>
      <c r="BS631" s="13"/>
      <c r="BT631" s="13"/>
      <c r="BU631" s="13"/>
      <c r="BV631" s="13"/>
      <c r="BW631" s="13"/>
      <c r="BX631" s="13"/>
      <c r="BY631" s="13"/>
      <c r="BZ631" s="13"/>
      <c r="CA631" s="13"/>
      <c r="CB631" s="13"/>
      <c r="CC631" s="13"/>
      <c r="CD631" s="13"/>
      <c r="CE631" s="13"/>
      <c r="CF631" s="13"/>
      <c r="CG631" s="13"/>
      <c r="CH631" s="13"/>
      <c r="CI631" s="13"/>
      <c r="CJ631" s="13"/>
      <c r="CK631" s="13"/>
      <c r="CL631" s="13"/>
      <c r="CM631" s="13"/>
      <c r="CN631" s="13"/>
      <c r="CO631" s="13"/>
      <c r="CP631" s="13"/>
      <c r="CQ631" s="13"/>
      <c r="CR631" s="13"/>
      <c r="CS631" s="13"/>
      <c r="CT631" s="13"/>
      <c r="CU631" s="13"/>
    </row>
    <row r="632" spans="1:99" ht="12.75">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c r="BE632" s="13"/>
      <c r="BF632" s="13"/>
      <c r="BG632" s="13"/>
      <c r="BH632" s="13"/>
      <c r="BI632" s="13"/>
      <c r="BJ632" s="13"/>
      <c r="BK632" s="13"/>
      <c r="BL632" s="13"/>
      <c r="BM632" s="13"/>
      <c r="BN632" s="13"/>
      <c r="BO632" s="13"/>
      <c r="BP632" s="13"/>
      <c r="BQ632" s="13"/>
      <c r="BR632" s="13"/>
      <c r="BS632" s="13"/>
      <c r="BT632" s="13"/>
      <c r="BU632" s="13"/>
      <c r="BV632" s="13"/>
      <c r="BW632" s="13"/>
      <c r="BX632" s="13"/>
      <c r="BY632" s="13"/>
      <c r="BZ632" s="13"/>
      <c r="CA632" s="13"/>
      <c r="CB632" s="13"/>
      <c r="CC632" s="13"/>
      <c r="CD632" s="13"/>
      <c r="CE632" s="13"/>
      <c r="CF632" s="13"/>
      <c r="CG632" s="13"/>
      <c r="CH632" s="13"/>
      <c r="CI632" s="13"/>
      <c r="CJ632" s="13"/>
      <c r="CK632" s="13"/>
      <c r="CL632" s="13"/>
      <c r="CM632" s="13"/>
      <c r="CN632" s="13"/>
      <c r="CO632" s="13"/>
      <c r="CP632" s="13"/>
      <c r="CQ632" s="13"/>
      <c r="CR632" s="13"/>
      <c r="CS632" s="13"/>
      <c r="CT632" s="13"/>
      <c r="CU632" s="13"/>
    </row>
    <row r="633" spans="1:99" ht="12.75">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c r="AX633" s="13"/>
      <c r="AY633" s="13"/>
      <c r="AZ633" s="13"/>
      <c r="BA633" s="13"/>
      <c r="BB633" s="13"/>
      <c r="BC633" s="13"/>
      <c r="BD633" s="13"/>
      <c r="BE633" s="13"/>
      <c r="BF633" s="13"/>
      <c r="BG633" s="13"/>
      <c r="BH633" s="13"/>
      <c r="BI633" s="13"/>
      <c r="BJ633" s="13"/>
      <c r="BK633" s="13"/>
      <c r="BL633" s="13"/>
      <c r="BM633" s="13"/>
      <c r="BN633" s="13"/>
      <c r="BO633" s="13"/>
      <c r="BP633" s="13"/>
      <c r="BQ633" s="13"/>
      <c r="BR633" s="13"/>
      <c r="BS633" s="13"/>
      <c r="BT633" s="13"/>
      <c r="BU633" s="13"/>
      <c r="BV633" s="13"/>
      <c r="BW633" s="13"/>
      <c r="BX633" s="13"/>
      <c r="BY633" s="13"/>
      <c r="BZ633" s="13"/>
      <c r="CA633" s="13"/>
      <c r="CB633" s="13"/>
      <c r="CC633" s="13"/>
      <c r="CD633" s="13"/>
      <c r="CE633" s="13"/>
      <c r="CF633" s="13"/>
      <c r="CG633" s="13"/>
      <c r="CH633" s="13"/>
      <c r="CI633" s="13"/>
      <c r="CJ633" s="13"/>
      <c r="CK633" s="13"/>
      <c r="CL633" s="13"/>
      <c r="CM633" s="13"/>
      <c r="CN633" s="13"/>
      <c r="CO633" s="13"/>
      <c r="CP633" s="13"/>
      <c r="CQ633" s="13"/>
      <c r="CR633" s="13"/>
      <c r="CS633" s="13"/>
      <c r="CT633" s="13"/>
      <c r="CU633" s="13"/>
    </row>
    <row r="634" spans="1:99" ht="12.75">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c r="BB634" s="13"/>
      <c r="BC634" s="13"/>
      <c r="BD634" s="13"/>
      <c r="BE634" s="13"/>
      <c r="BF634" s="13"/>
      <c r="BG634" s="13"/>
      <c r="BH634" s="13"/>
      <c r="BI634" s="13"/>
      <c r="BJ634" s="13"/>
      <c r="BK634" s="13"/>
      <c r="BL634" s="13"/>
      <c r="BM634" s="13"/>
      <c r="BN634" s="13"/>
      <c r="BO634" s="13"/>
      <c r="BP634" s="13"/>
      <c r="BQ634" s="13"/>
      <c r="BR634" s="13"/>
      <c r="BS634" s="13"/>
      <c r="BT634" s="13"/>
      <c r="BU634" s="13"/>
      <c r="BV634" s="13"/>
      <c r="BW634" s="13"/>
      <c r="BX634" s="13"/>
      <c r="BY634" s="13"/>
      <c r="BZ634" s="13"/>
      <c r="CA634" s="13"/>
      <c r="CB634" s="13"/>
      <c r="CC634" s="13"/>
      <c r="CD634" s="13"/>
      <c r="CE634" s="13"/>
      <c r="CF634" s="13"/>
      <c r="CG634" s="13"/>
      <c r="CH634" s="13"/>
      <c r="CI634" s="13"/>
      <c r="CJ634" s="13"/>
      <c r="CK634" s="13"/>
      <c r="CL634" s="13"/>
      <c r="CM634" s="13"/>
      <c r="CN634" s="13"/>
      <c r="CO634" s="13"/>
      <c r="CP634" s="13"/>
      <c r="CQ634" s="13"/>
      <c r="CR634" s="13"/>
      <c r="CS634" s="13"/>
      <c r="CT634" s="13"/>
      <c r="CU634" s="13"/>
    </row>
    <row r="635" spans="1:99" ht="12.75">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c r="AO635" s="13"/>
      <c r="AP635" s="13"/>
      <c r="AQ635" s="13"/>
      <c r="AR635" s="13"/>
      <c r="AS635" s="13"/>
      <c r="AT635" s="13"/>
      <c r="AU635" s="13"/>
      <c r="AV635" s="13"/>
      <c r="AW635" s="13"/>
      <c r="AX635" s="13"/>
      <c r="AY635" s="13"/>
      <c r="AZ635" s="13"/>
      <c r="BA635" s="13"/>
      <c r="BB635" s="13"/>
      <c r="BC635" s="13"/>
      <c r="BD635" s="13"/>
      <c r="BE635" s="13"/>
      <c r="BF635" s="13"/>
      <c r="BG635" s="13"/>
      <c r="BH635" s="13"/>
      <c r="BI635" s="13"/>
      <c r="BJ635" s="13"/>
      <c r="BK635" s="13"/>
      <c r="BL635" s="13"/>
      <c r="BM635" s="13"/>
      <c r="BN635" s="13"/>
      <c r="BO635" s="13"/>
      <c r="BP635" s="13"/>
      <c r="BQ635" s="13"/>
      <c r="BR635" s="13"/>
      <c r="BS635" s="13"/>
      <c r="BT635" s="13"/>
      <c r="BU635" s="13"/>
      <c r="BV635" s="13"/>
      <c r="BW635" s="13"/>
      <c r="BX635" s="13"/>
      <c r="BY635" s="13"/>
      <c r="BZ635" s="13"/>
      <c r="CA635" s="13"/>
      <c r="CB635" s="13"/>
      <c r="CC635" s="13"/>
      <c r="CD635" s="13"/>
      <c r="CE635" s="13"/>
      <c r="CF635" s="13"/>
      <c r="CG635" s="13"/>
      <c r="CH635" s="13"/>
      <c r="CI635" s="13"/>
      <c r="CJ635" s="13"/>
      <c r="CK635" s="13"/>
      <c r="CL635" s="13"/>
      <c r="CM635" s="13"/>
      <c r="CN635" s="13"/>
      <c r="CO635" s="13"/>
      <c r="CP635" s="13"/>
      <c r="CQ635" s="13"/>
      <c r="CR635" s="13"/>
      <c r="CS635" s="13"/>
      <c r="CT635" s="13"/>
      <c r="CU635" s="13"/>
    </row>
    <row r="636" spans="1:99" ht="12.75">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c r="BJ636" s="13"/>
      <c r="BK636" s="13"/>
      <c r="BL636" s="13"/>
      <c r="BM636" s="13"/>
      <c r="BN636" s="13"/>
      <c r="BO636" s="13"/>
      <c r="BP636" s="13"/>
      <c r="BQ636" s="13"/>
      <c r="BR636" s="13"/>
      <c r="BS636" s="13"/>
      <c r="BT636" s="13"/>
      <c r="BU636" s="13"/>
      <c r="BV636" s="13"/>
      <c r="BW636" s="13"/>
      <c r="BX636" s="13"/>
      <c r="BY636" s="13"/>
      <c r="BZ636" s="13"/>
      <c r="CA636" s="13"/>
      <c r="CB636" s="13"/>
      <c r="CC636" s="13"/>
      <c r="CD636" s="13"/>
      <c r="CE636" s="13"/>
      <c r="CF636" s="13"/>
      <c r="CG636" s="13"/>
      <c r="CH636" s="13"/>
      <c r="CI636" s="13"/>
      <c r="CJ636" s="13"/>
      <c r="CK636" s="13"/>
      <c r="CL636" s="13"/>
      <c r="CM636" s="13"/>
      <c r="CN636" s="13"/>
      <c r="CO636" s="13"/>
      <c r="CP636" s="13"/>
      <c r="CQ636" s="13"/>
      <c r="CR636" s="13"/>
      <c r="CS636" s="13"/>
      <c r="CT636" s="13"/>
      <c r="CU636" s="13"/>
    </row>
    <row r="637" spans="1:99" ht="12.75">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c r="AO637" s="13"/>
      <c r="AP637" s="13"/>
      <c r="AQ637" s="13"/>
      <c r="AR637" s="13"/>
      <c r="AS637" s="13"/>
      <c r="AT637" s="13"/>
      <c r="AU637" s="13"/>
      <c r="AV637" s="13"/>
      <c r="AW637" s="13"/>
      <c r="AX637" s="13"/>
      <c r="AY637" s="13"/>
      <c r="AZ637" s="13"/>
      <c r="BA637" s="13"/>
      <c r="BB637" s="13"/>
      <c r="BC637" s="13"/>
      <c r="BD637" s="13"/>
      <c r="BE637" s="13"/>
      <c r="BF637" s="13"/>
      <c r="BG637" s="13"/>
      <c r="BH637" s="13"/>
      <c r="BI637" s="13"/>
      <c r="BJ637" s="13"/>
      <c r="BK637" s="13"/>
      <c r="BL637" s="13"/>
      <c r="BM637" s="13"/>
      <c r="BN637" s="13"/>
      <c r="BO637" s="13"/>
      <c r="BP637" s="13"/>
      <c r="BQ637" s="13"/>
      <c r="BR637" s="13"/>
      <c r="BS637" s="13"/>
      <c r="BT637" s="13"/>
      <c r="BU637" s="13"/>
      <c r="BV637" s="13"/>
      <c r="BW637" s="13"/>
      <c r="BX637" s="13"/>
      <c r="BY637" s="13"/>
      <c r="BZ637" s="13"/>
      <c r="CA637" s="13"/>
      <c r="CB637" s="13"/>
      <c r="CC637" s="13"/>
      <c r="CD637" s="13"/>
      <c r="CE637" s="13"/>
      <c r="CF637" s="13"/>
      <c r="CG637" s="13"/>
      <c r="CH637" s="13"/>
      <c r="CI637" s="13"/>
      <c r="CJ637" s="13"/>
      <c r="CK637" s="13"/>
      <c r="CL637" s="13"/>
      <c r="CM637" s="13"/>
      <c r="CN637" s="13"/>
      <c r="CO637" s="13"/>
      <c r="CP637" s="13"/>
      <c r="CQ637" s="13"/>
      <c r="CR637" s="13"/>
      <c r="CS637" s="13"/>
      <c r="CT637" s="13"/>
      <c r="CU637" s="13"/>
    </row>
    <row r="638" spans="1:99" ht="12.75">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c r="CA638" s="13"/>
      <c r="CB638" s="13"/>
      <c r="CC638" s="13"/>
      <c r="CD638" s="13"/>
      <c r="CE638" s="13"/>
      <c r="CF638" s="13"/>
      <c r="CG638" s="13"/>
      <c r="CH638" s="13"/>
      <c r="CI638" s="13"/>
      <c r="CJ638" s="13"/>
      <c r="CK638" s="13"/>
      <c r="CL638" s="13"/>
      <c r="CM638" s="13"/>
      <c r="CN638" s="13"/>
      <c r="CO638" s="13"/>
      <c r="CP638" s="13"/>
      <c r="CQ638" s="13"/>
      <c r="CR638" s="13"/>
      <c r="CS638" s="13"/>
      <c r="CT638" s="13"/>
      <c r="CU638" s="13"/>
    </row>
    <row r="639" spans="1:99" ht="12.75">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c r="BE639" s="13"/>
      <c r="BF639" s="13"/>
      <c r="BG639" s="13"/>
      <c r="BH639" s="13"/>
      <c r="BI639" s="13"/>
      <c r="BJ639" s="13"/>
      <c r="BK639" s="13"/>
      <c r="BL639" s="13"/>
      <c r="BM639" s="13"/>
      <c r="BN639" s="13"/>
      <c r="BO639" s="13"/>
      <c r="BP639" s="13"/>
      <c r="BQ639" s="13"/>
      <c r="BR639" s="13"/>
      <c r="BS639" s="13"/>
      <c r="BT639" s="13"/>
      <c r="BU639" s="13"/>
      <c r="BV639" s="13"/>
      <c r="BW639" s="13"/>
      <c r="BX639" s="13"/>
      <c r="BY639" s="13"/>
      <c r="BZ639" s="13"/>
      <c r="CA639" s="13"/>
      <c r="CB639" s="13"/>
      <c r="CC639" s="13"/>
      <c r="CD639" s="13"/>
      <c r="CE639" s="13"/>
      <c r="CF639" s="13"/>
      <c r="CG639" s="13"/>
      <c r="CH639" s="13"/>
      <c r="CI639" s="13"/>
      <c r="CJ639" s="13"/>
      <c r="CK639" s="13"/>
      <c r="CL639" s="13"/>
      <c r="CM639" s="13"/>
      <c r="CN639" s="13"/>
      <c r="CO639" s="13"/>
      <c r="CP639" s="13"/>
      <c r="CQ639" s="13"/>
      <c r="CR639" s="13"/>
      <c r="CS639" s="13"/>
      <c r="CT639" s="13"/>
      <c r="CU639" s="13"/>
    </row>
    <row r="640" spans="1:99" ht="12.75">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c r="BE640" s="13"/>
      <c r="BF640" s="13"/>
      <c r="BG640" s="13"/>
      <c r="BH640" s="13"/>
      <c r="BI640" s="13"/>
      <c r="BJ640" s="13"/>
      <c r="BK640" s="13"/>
      <c r="BL640" s="13"/>
      <c r="BM640" s="13"/>
      <c r="BN640" s="13"/>
      <c r="BO640" s="13"/>
      <c r="BP640" s="13"/>
      <c r="BQ640" s="13"/>
      <c r="BR640" s="13"/>
      <c r="BS640" s="13"/>
      <c r="BT640" s="13"/>
      <c r="BU640" s="13"/>
      <c r="BV640" s="13"/>
      <c r="BW640" s="13"/>
      <c r="BX640" s="13"/>
      <c r="BY640" s="13"/>
      <c r="BZ640" s="13"/>
      <c r="CA640" s="13"/>
      <c r="CB640" s="13"/>
      <c r="CC640" s="13"/>
      <c r="CD640" s="13"/>
      <c r="CE640" s="13"/>
      <c r="CF640" s="13"/>
      <c r="CG640" s="13"/>
      <c r="CH640" s="13"/>
      <c r="CI640" s="13"/>
      <c r="CJ640" s="13"/>
      <c r="CK640" s="13"/>
      <c r="CL640" s="13"/>
      <c r="CM640" s="13"/>
      <c r="CN640" s="13"/>
      <c r="CO640" s="13"/>
      <c r="CP640" s="13"/>
      <c r="CQ640" s="13"/>
      <c r="CR640" s="13"/>
      <c r="CS640" s="13"/>
      <c r="CT640" s="13"/>
      <c r="CU640" s="13"/>
    </row>
    <row r="641" spans="1:99" ht="12.75">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c r="AO641" s="13"/>
      <c r="AP641" s="13"/>
      <c r="AQ641" s="13"/>
      <c r="AR641" s="13"/>
      <c r="AS641" s="13"/>
      <c r="AT641" s="13"/>
      <c r="AU641" s="13"/>
      <c r="AV641" s="13"/>
      <c r="AW641" s="13"/>
      <c r="AX641" s="13"/>
      <c r="AY641" s="13"/>
      <c r="AZ641" s="13"/>
      <c r="BA641" s="13"/>
      <c r="BB641" s="13"/>
      <c r="BC641" s="13"/>
      <c r="BD641" s="13"/>
      <c r="BE641" s="13"/>
      <c r="BF641" s="13"/>
      <c r="BG641" s="13"/>
      <c r="BH641" s="13"/>
      <c r="BI641" s="13"/>
      <c r="BJ641" s="13"/>
      <c r="BK641" s="13"/>
      <c r="BL641" s="13"/>
      <c r="BM641" s="13"/>
      <c r="BN641" s="13"/>
      <c r="BO641" s="13"/>
      <c r="BP641" s="13"/>
      <c r="BQ641" s="13"/>
      <c r="BR641" s="13"/>
      <c r="BS641" s="13"/>
      <c r="BT641" s="13"/>
      <c r="BU641" s="13"/>
      <c r="BV641" s="13"/>
      <c r="BW641" s="13"/>
      <c r="BX641" s="13"/>
      <c r="BY641" s="13"/>
      <c r="BZ641" s="13"/>
      <c r="CA641" s="13"/>
      <c r="CB641" s="13"/>
      <c r="CC641" s="13"/>
      <c r="CD641" s="13"/>
      <c r="CE641" s="13"/>
      <c r="CF641" s="13"/>
      <c r="CG641" s="13"/>
      <c r="CH641" s="13"/>
      <c r="CI641" s="13"/>
      <c r="CJ641" s="13"/>
      <c r="CK641" s="13"/>
      <c r="CL641" s="13"/>
      <c r="CM641" s="13"/>
      <c r="CN641" s="13"/>
      <c r="CO641" s="13"/>
      <c r="CP641" s="13"/>
      <c r="CQ641" s="13"/>
      <c r="CR641" s="13"/>
      <c r="CS641" s="13"/>
      <c r="CT641" s="13"/>
      <c r="CU641" s="13"/>
    </row>
    <row r="642" spans="1:99" ht="12.75">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c r="AX642" s="13"/>
      <c r="AY642" s="13"/>
      <c r="AZ642" s="13"/>
      <c r="BA642" s="13"/>
      <c r="BB642" s="13"/>
      <c r="BC642" s="13"/>
      <c r="BD642" s="13"/>
      <c r="BE642" s="13"/>
      <c r="BF642" s="13"/>
      <c r="BG642" s="13"/>
      <c r="BH642" s="13"/>
      <c r="BI642" s="13"/>
      <c r="BJ642" s="13"/>
      <c r="BK642" s="13"/>
      <c r="BL642" s="13"/>
      <c r="BM642" s="13"/>
      <c r="BN642" s="13"/>
      <c r="BO642" s="13"/>
      <c r="BP642" s="13"/>
      <c r="BQ642" s="13"/>
      <c r="BR642" s="13"/>
      <c r="BS642" s="13"/>
      <c r="BT642" s="13"/>
      <c r="BU642" s="13"/>
      <c r="BV642" s="13"/>
      <c r="BW642" s="13"/>
      <c r="BX642" s="13"/>
      <c r="BY642" s="13"/>
      <c r="BZ642" s="13"/>
      <c r="CA642" s="13"/>
      <c r="CB642" s="13"/>
      <c r="CC642" s="13"/>
      <c r="CD642" s="13"/>
      <c r="CE642" s="13"/>
      <c r="CF642" s="13"/>
      <c r="CG642" s="13"/>
      <c r="CH642" s="13"/>
      <c r="CI642" s="13"/>
      <c r="CJ642" s="13"/>
      <c r="CK642" s="13"/>
      <c r="CL642" s="13"/>
      <c r="CM642" s="13"/>
      <c r="CN642" s="13"/>
      <c r="CO642" s="13"/>
      <c r="CP642" s="13"/>
      <c r="CQ642" s="13"/>
      <c r="CR642" s="13"/>
      <c r="CS642" s="13"/>
      <c r="CT642" s="13"/>
      <c r="CU642" s="13"/>
    </row>
    <row r="643" spans="1:99" ht="12.75">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c r="AN643" s="13"/>
      <c r="AO643" s="13"/>
      <c r="AP643" s="13"/>
      <c r="AQ643" s="13"/>
      <c r="AR643" s="13"/>
      <c r="AS643" s="13"/>
      <c r="AT643" s="13"/>
      <c r="AU643" s="13"/>
      <c r="AV643" s="13"/>
      <c r="AW643" s="13"/>
      <c r="AX643" s="13"/>
      <c r="AY643" s="13"/>
      <c r="AZ643" s="13"/>
      <c r="BA643" s="13"/>
      <c r="BB643" s="13"/>
      <c r="BC643" s="13"/>
      <c r="BD643" s="13"/>
      <c r="BE643" s="13"/>
      <c r="BF643" s="13"/>
      <c r="BG643" s="13"/>
      <c r="BH643" s="13"/>
      <c r="BI643" s="13"/>
      <c r="BJ643" s="13"/>
      <c r="BK643" s="13"/>
      <c r="BL643" s="13"/>
      <c r="BM643" s="13"/>
      <c r="BN643" s="13"/>
      <c r="BO643" s="13"/>
      <c r="BP643" s="13"/>
      <c r="BQ643" s="13"/>
      <c r="BR643" s="13"/>
      <c r="BS643" s="13"/>
      <c r="BT643" s="13"/>
      <c r="BU643" s="13"/>
      <c r="BV643" s="13"/>
      <c r="BW643" s="13"/>
      <c r="BX643" s="13"/>
      <c r="BY643" s="13"/>
      <c r="BZ643" s="13"/>
      <c r="CA643" s="13"/>
      <c r="CB643" s="13"/>
      <c r="CC643" s="13"/>
      <c r="CD643" s="13"/>
      <c r="CE643" s="13"/>
      <c r="CF643" s="13"/>
      <c r="CG643" s="13"/>
      <c r="CH643" s="13"/>
      <c r="CI643" s="13"/>
      <c r="CJ643" s="13"/>
      <c r="CK643" s="13"/>
      <c r="CL643" s="13"/>
      <c r="CM643" s="13"/>
      <c r="CN643" s="13"/>
      <c r="CO643" s="13"/>
      <c r="CP643" s="13"/>
      <c r="CQ643" s="13"/>
      <c r="CR643" s="13"/>
      <c r="CS643" s="13"/>
      <c r="CT643" s="13"/>
      <c r="CU643" s="13"/>
    </row>
    <row r="644" spans="1:99" ht="12.75">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c r="AL644" s="13"/>
      <c r="AM644" s="13"/>
      <c r="AN644" s="13"/>
      <c r="AO644" s="13"/>
      <c r="AP644" s="13"/>
      <c r="AQ644" s="13"/>
      <c r="AR644" s="13"/>
      <c r="AS644" s="13"/>
      <c r="AT644" s="13"/>
      <c r="AU644" s="13"/>
      <c r="AV644" s="13"/>
      <c r="AW644" s="13"/>
      <c r="AX644" s="13"/>
      <c r="AY644" s="13"/>
      <c r="AZ644" s="13"/>
      <c r="BA644" s="13"/>
      <c r="BB644" s="13"/>
      <c r="BC644" s="13"/>
      <c r="BD644" s="13"/>
      <c r="BE644" s="13"/>
      <c r="BF644" s="13"/>
      <c r="BG644" s="13"/>
      <c r="BH644" s="13"/>
      <c r="BI644" s="13"/>
      <c r="BJ644" s="13"/>
      <c r="BK644" s="13"/>
      <c r="BL644" s="13"/>
      <c r="BM644" s="13"/>
      <c r="BN644" s="13"/>
      <c r="BO644" s="13"/>
      <c r="BP644" s="13"/>
      <c r="BQ644" s="13"/>
      <c r="BR644" s="13"/>
      <c r="BS644" s="13"/>
      <c r="BT644" s="13"/>
      <c r="BU644" s="13"/>
      <c r="BV644" s="13"/>
      <c r="BW644" s="13"/>
      <c r="BX644" s="13"/>
      <c r="BY644" s="13"/>
      <c r="BZ644" s="13"/>
      <c r="CA644" s="13"/>
      <c r="CB644" s="13"/>
      <c r="CC644" s="13"/>
      <c r="CD644" s="13"/>
      <c r="CE644" s="13"/>
      <c r="CF644" s="13"/>
      <c r="CG644" s="13"/>
      <c r="CH644" s="13"/>
      <c r="CI644" s="13"/>
      <c r="CJ644" s="13"/>
      <c r="CK644" s="13"/>
      <c r="CL644" s="13"/>
      <c r="CM644" s="13"/>
      <c r="CN644" s="13"/>
      <c r="CO644" s="13"/>
      <c r="CP644" s="13"/>
      <c r="CQ644" s="13"/>
      <c r="CR644" s="13"/>
      <c r="CS644" s="13"/>
      <c r="CT644" s="13"/>
      <c r="CU644" s="13"/>
    </row>
    <row r="645" spans="1:99" ht="12.75">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c r="AN645" s="13"/>
      <c r="AO645" s="13"/>
      <c r="AP645" s="13"/>
      <c r="AQ645" s="13"/>
      <c r="AR645" s="13"/>
      <c r="AS645" s="13"/>
      <c r="AT645" s="13"/>
      <c r="AU645" s="13"/>
      <c r="AV645" s="13"/>
      <c r="AW645" s="13"/>
      <c r="AX645" s="13"/>
      <c r="AY645" s="13"/>
      <c r="AZ645" s="13"/>
      <c r="BA645" s="13"/>
      <c r="BB645" s="13"/>
      <c r="BC645" s="13"/>
      <c r="BD645" s="13"/>
      <c r="BE645" s="13"/>
      <c r="BF645" s="13"/>
      <c r="BG645" s="13"/>
      <c r="BH645" s="13"/>
      <c r="BI645" s="13"/>
      <c r="BJ645" s="13"/>
      <c r="BK645" s="13"/>
      <c r="BL645" s="13"/>
      <c r="BM645" s="13"/>
      <c r="BN645" s="13"/>
      <c r="BO645" s="13"/>
      <c r="BP645" s="13"/>
      <c r="BQ645" s="13"/>
      <c r="BR645" s="13"/>
      <c r="BS645" s="13"/>
      <c r="BT645" s="13"/>
      <c r="BU645" s="13"/>
      <c r="BV645" s="13"/>
      <c r="BW645" s="13"/>
      <c r="BX645" s="13"/>
      <c r="BY645" s="13"/>
      <c r="BZ645" s="13"/>
      <c r="CA645" s="13"/>
      <c r="CB645" s="13"/>
      <c r="CC645" s="13"/>
      <c r="CD645" s="13"/>
      <c r="CE645" s="13"/>
      <c r="CF645" s="13"/>
      <c r="CG645" s="13"/>
      <c r="CH645" s="13"/>
      <c r="CI645" s="13"/>
      <c r="CJ645" s="13"/>
      <c r="CK645" s="13"/>
      <c r="CL645" s="13"/>
      <c r="CM645" s="13"/>
      <c r="CN645" s="13"/>
      <c r="CO645" s="13"/>
      <c r="CP645" s="13"/>
      <c r="CQ645" s="13"/>
      <c r="CR645" s="13"/>
      <c r="CS645" s="13"/>
      <c r="CT645" s="13"/>
      <c r="CU645" s="13"/>
    </row>
    <row r="646" spans="1:99" ht="12.75">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3"/>
      <c r="BK646" s="13"/>
      <c r="BL646" s="13"/>
      <c r="BM646" s="13"/>
      <c r="BN646" s="13"/>
      <c r="BO646" s="13"/>
      <c r="BP646" s="13"/>
      <c r="BQ646" s="13"/>
      <c r="BR646" s="13"/>
      <c r="BS646" s="13"/>
      <c r="BT646" s="13"/>
      <c r="BU646" s="13"/>
      <c r="BV646" s="13"/>
      <c r="BW646" s="13"/>
      <c r="BX646" s="13"/>
      <c r="BY646" s="13"/>
      <c r="BZ646" s="13"/>
      <c r="CA646" s="13"/>
      <c r="CB646" s="13"/>
      <c r="CC646" s="13"/>
      <c r="CD646" s="13"/>
      <c r="CE646" s="13"/>
      <c r="CF646" s="13"/>
      <c r="CG646" s="13"/>
      <c r="CH646" s="13"/>
      <c r="CI646" s="13"/>
      <c r="CJ646" s="13"/>
      <c r="CK646" s="13"/>
      <c r="CL646" s="13"/>
      <c r="CM646" s="13"/>
      <c r="CN646" s="13"/>
      <c r="CO646" s="13"/>
      <c r="CP646" s="13"/>
      <c r="CQ646" s="13"/>
      <c r="CR646" s="13"/>
      <c r="CS646" s="13"/>
      <c r="CT646" s="13"/>
      <c r="CU646" s="13"/>
    </row>
    <row r="647" spans="1:99" ht="12.75">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c r="AO647" s="13"/>
      <c r="AP647" s="13"/>
      <c r="AQ647" s="13"/>
      <c r="AR647" s="13"/>
      <c r="AS647" s="13"/>
      <c r="AT647" s="13"/>
      <c r="AU647" s="13"/>
      <c r="AV647" s="13"/>
      <c r="AW647" s="13"/>
      <c r="AX647" s="13"/>
      <c r="AY647" s="13"/>
      <c r="AZ647" s="13"/>
      <c r="BA647" s="13"/>
      <c r="BB647" s="13"/>
      <c r="BC647" s="13"/>
      <c r="BD647" s="13"/>
      <c r="BE647" s="13"/>
      <c r="BF647" s="13"/>
      <c r="BG647" s="13"/>
      <c r="BH647" s="13"/>
      <c r="BI647" s="13"/>
      <c r="BJ647" s="13"/>
      <c r="BK647" s="13"/>
      <c r="BL647" s="13"/>
      <c r="BM647" s="13"/>
      <c r="BN647" s="13"/>
      <c r="BO647" s="13"/>
      <c r="BP647" s="13"/>
      <c r="BQ647" s="13"/>
      <c r="BR647" s="13"/>
      <c r="BS647" s="13"/>
      <c r="BT647" s="13"/>
      <c r="BU647" s="13"/>
      <c r="BV647" s="13"/>
      <c r="BW647" s="13"/>
      <c r="BX647" s="13"/>
      <c r="BY647" s="13"/>
      <c r="BZ647" s="13"/>
      <c r="CA647" s="13"/>
      <c r="CB647" s="13"/>
      <c r="CC647" s="13"/>
      <c r="CD647" s="13"/>
      <c r="CE647" s="13"/>
      <c r="CF647" s="13"/>
      <c r="CG647" s="13"/>
      <c r="CH647" s="13"/>
      <c r="CI647" s="13"/>
      <c r="CJ647" s="13"/>
      <c r="CK647" s="13"/>
      <c r="CL647" s="13"/>
      <c r="CM647" s="13"/>
      <c r="CN647" s="13"/>
      <c r="CO647" s="13"/>
      <c r="CP647" s="13"/>
      <c r="CQ647" s="13"/>
      <c r="CR647" s="13"/>
      <c r="CS647" s="13"/>
      <c r="CT647" s="13"/>
      <c r="CU647" s="13"/>
    </row>
    <row r="648" spans="1:99" ht="12.75">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c r="AO648" s="13"/>
      <c r="AP648" s="13"/>
      <c r="AQ648" s="13"/>
      <c r="AR648" s="13"/>
      <c r="AS648" s="13"/>
      <c r="AT648" s="13"/>
      <c r="AU648" s="13"/>
      <c r="AV648" s="13"/>
      <c r="AW648" s="13"/>
      <c r="AX648" s="13"/>
      <c r="AY648" s="13"/>
      <c r="AZ648" s="13"/>
      <c r="BA648" s="13"/>
      <c r="BB648" s="13"/>
      <c r="BC648" s="13"/>
      <c r="BD648" s="13"/>
      <c r="BE648" s="13"/>
      <c r="BF648" s="13"/>
      <c r="BG648" s="13"/>
      <c r="BH648" s="13"/>
      <c r="BI648" s="13"/>
      <c r="BJ648" s="13"/>
      <c r="BK648" s="13"/>
      <c r="BL648" s="13"/>
      <c r="BM648" s="13"/>
      <c r="BN648" s="13"/>
      <c r="BO648" s="13"/>
      <c r="BP648" s="13"/>
      <c r="BQ648" s="13"/>
      <c r="BR648" s="13"/>
      <c r="BS648" s="13"/>
      <c r="BT648" s="13"/>
      <c r="BU648" s="13"/>
      <c r="BV648" s="13"/>
      <c r="BW648" s="13"/>
      <c r="BX648" s="13"/>
      <c r="BY648" s="13"/>
      <c r="BZ648" s="13"/>
      <c r="CA648" s="13"/>
      <c r="CB648" s="13"/>
      <c r="CC648" s="13"/>
      <c r="CD648" s="13"/>
      <c r="CE648" s="13"/>
      <c r="CF648" s="13"/>
      <c r="CG648" s="13"/>
      <c r="CH648" s="13"/>
      <c r="CI648" s="13"/>
      <c r="CJ648" s="13"/>
      <c r="CK648" s="13"/>
      <c r="CL648" s="13"/>
      <c r="CM648" s="13"/>
      <c r="CN648" s="13"/>
      <c r="CO648" s="13"/>
      <c r="CP648" s="13"/>
      <c r="CQ648" s="13"/>
      <c r="CR648" s="13"/>
      <c r="CS648" s="13"/>
      <c r="CT648" s="13"/>
      <c r="CU648" s="13"/>
    </row>
    <row r="649" spans="1:99" ht="12.75">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c r="AN649" s="13"/>
      <c r="AO649" s="13"/>
      <c r="AP649" s="13"/>
      <c r="AQ649" s="13"/>
      <c r="AR649" s="13"/>
      <c r="AS649" s="13"/>
      <c r="AT649" s="13"/>
      <c r="AU649" s="13"/>
      <c r="AV649" s="13"/>
      <c r="AW649" s="13"/>
      <c r="AX649" s="13"/>
      <c r="AY649" s="13"/>
      <c r="AZ649" s="13"/>
      <c r="BA649" s="13"/>
      <c r="BB649" s="13"/>
      <c r="BC649" s="13"/>
      <c r="BD649" s="13"/>
      <c r="BE649" s="13"/>
      <c r="BF649" s="13"/>
      <c r="BG649" s="13"/>
      <c r="BH649" s="13"/>
      <c r="BI649" s="13"/>
      <c r="BJ649" s="13"/>
      <c r="BK649" s="13"/>
      <c r="BL649" s="13"/>
      <c r="BM649" s="13"/>
      <c r="BN649" s="13"/>
      <c r="BO649" s="13"/>
      <c r="BP649" s="13"/>
      <c r="BQ649" s="13"/>
      <c r="BR649" s="13"/>
      <c r="BS649" s="13"/>
      <c r="BT649" s="13"/>
      <c r="BU649" s="13"/>
      <c r="BV649" s="13"/>
      <c r="BW649" s="13"/>
      <c r="BX649" s="13"/>
      <c r="BY649" s="13"/>
      <c r="BZ649" s="13"/>
      <c r="CA649" s="13"/>
      <c r="CB649" s="13"/>
      <c r="CC649" s="13"/>
      <c r="CD649" s="13"/>
      <c r="CE649" s="13"/>
      <c r="CF649" s="13"/>
      <c r="CG649" s="13"/>
      <c r="CH649" s="13"/>
      <c r="CI649" s="13"/>
      <c r="CJ649" s="13"/>
      <c r="CK649" s="13"/>
      <c r="CL649" s="13"/>
      <c r="CM649" s="13"/>
      <c r="CN649" s="13"/>
      <c r="CO649" s="13"/>
      <c r="CP649" s="13"/>
      <c r="CQ649" s="13"/>
      <c r="CR649" s="13"/>
      <c r="CS649" s="13"/>
      <c r="CT649" s="13"/>
      <c r="CU649" s="13"/>
    </row>
    <row r="650" spans="1:99" ht="12.75">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13"/>
      <c r="AO650" s="13"/>
      <c r="AP650" s="13"/>
      <c r="AQ650" s="13"/>
      <c r="AR650" s="13"/>
      <c r="AS650" s="13"/>
      <c r="AT650" s="13"/>
      <c r="AU650" s="13"/>
      <c r="AV650" s="13"/>
      <c r="AW650" s="13"/>
      <c r="AX650" s="13"/>
      <c r="AY650" s="13"/>
      <c r="AZ650" s="13"/>
      <c r="BA650" s="13"/>
      <c r="BB650" s="13"/>
      <c r="BC650" s="13"/>
      <c r="BD650" s="13"/>
      <c r="BE650" s="13"/>
      <c r="BF650" s="13"/>
      <c r="BG650" s="13"/>
      <c r="BH650" s="13"/>
      <c r="BI650" s="13"/>
      <c r="BJ650" s="13"/>
      <c r="BK650" s="13"/>
      <c r="BL650" s="13"/>
      <c r="BM650" s="13"/>
      <c r="BN650" s="13"/>
      <c r="BO650" s="13"/>
      <c r="BP650" s="13"/>
      <c r="BQ650" s="13"/>
      <c r="BR650" s="13"/>
      <c r="BS650" s="13"/>
      <c r="BT650" s="13"/>
      <c r="BU650" s="13"/>
      <c r="BV650" s="13"/>
      <c r="BW650" s="13"/>
      <c r="BX650" s="13"/>
      <c r="BY650" s="13"/>
      <c r="BZ650" s="13"/>
      <c r="CA650" s="13"/>
      <c r="CB650" s="13"/>
      <c r="CC650" s="13"/>
      <c r="CD650" s="13"/>
      <c r="CE650" s="13"/>
      <c r="CF650" s="13"/>
      <c r="CG650" s="13"/>
      <c r="CH650" s="13"/>
      <c r="CI650" s="13"/>
      <c r="CJ650" s="13"/>
      <c r="CK650" s="13"/>
      <c r="CL650" s="13"/>
      <c r="CM650" s="13"/>
      <c r="CN650" s="13"/>
      <c r="CO650" s="13"/>
      <c r="CP650" s="13"/>
      <c r="CQ650" s="13"/>
      <c r="CR650" s="13"/>
      <c r="CS650" s="13"/>
      <c r="CT650" s="13"/>
      <c r="CU650" s="13"/>
    </row>
    <row r="651" spans="1:99" ht="12.75">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c r="AO651" s="13"/>
      <c r="AP651" s="13"/>
      <c r="AQ651" s="13"/>
      <c r="AR651" s="13"/>
      <c r="AS651" s="13"/>
      <c r="AT651" s="13"/>
      <c r="AU651" s="13"/>
      <c r="AV651" s="13"/>
      <c r="AW651" s="13"/>
      <c r="AX651" s="13"/>
      <c r="AY651" s="13"/>
      <c r="AZ651" s="13"/>
      <c r="BA651" s="13"/>
      <c r="BB651" s="13"/>
      <c r="BC651" s="13"/>
      <c r="BD651" s="13"/>
      <c r="BE651" s="13"/>
      <c r="BF651" s="13"/>
      <c r="BG651" s="13"/>
      <c r="BH651" s="13"/>
      <c r="BI651" s="13"/>
      <c r="BJ651" s="13"/>
      <c r="BK651" s="13"/>
      <c r="BL651" s="13"/>
      <c r="BM651" s="13"/>
      <c r="BN651" s="13"/>
      <c r="BO651" s="13"/>
      <c r="BP651" s="13"/>
      <c r="BQ651" s="13"/>
      <c r="BR651" s="13"/>
      <c r="BS651" s="13"/>
      <c r="BT651" s="13"/>
      <c r="BU651" s="13"/>
      <c r="BV651" s="13"/>
      <c r="BW651" s="13"/>
      <c r="BX651" s="13"/>
      <c r="BY651" s="13"/>
      <c r="BZ651" s="13"/>
      <c r="CA651" s="13"/>
      <c r="CB651" s="13"/>
      <c r="CC651" s="13"/>
      <c r="CD651" s="13"/>
      <c r="CE651" s="13"/>
      <c r="CF651" s="13"/>
      <c r="CG651" s="13"/>
      <c r="CH651" s="13"/>
      <c r="CI651" s="13"/>
      <c r="CJ651" s="13"/>
      <c r="CK651" s="13"/>
      <c r="CL651" s="13"/>
      <c r="CM651" s="13"/>
      <c r="CN651" s="13"/>
      <c r="CO651" s="13"/>
      <c r="CP651" s="13"/>
      <c r="CQ651" s="13"/>
      <c r="CR651" s="13"/>
      <c r="CS651" s="13"/>
      <c r="CT651" s="13"/>
      <c r="CU651" s="13"/>
    </row>
    <row r="652" spans="1:99" ht="12.75">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c r="AN652" s="13"/>
      <c r="AO652" s="13"/>
      <c r="AP652" s="13"/>
      <c r="AQ652" s="13"/>
      <c r="AR652" s="13"/>
      <c r="AS652" s="13"/>
      <c r="AT652" s="13"/>
      <c r="AU652" s="13"/>
      <c r="AV652" s="13"/>
      <c r="AW652" s="13"/>
      <c r="AX652" s="13"/>
      <c r="AY652" s="13"/>
      <c r="AZ652" s="13"/>
      <c r="BA652" s="13"/>
      <c r="BB652" s="13"/>
      <c r="BC652" s="13"/>
      <c r="BD652" s="13"/>
      <c r="BE652" s="13"/>
      <c r="BF652" s="13"/>
      <c r="BG652" s="13"/>
      <c r="BH652" s="13"/>
      <c r="BI652" s="13"/>
      <c r="BJ652" s="13"/>
      <c r="BK652" s="13"/>
      <c r="BL652" s="13"/>
      <c r="BM652" s="13"/>
      <c r="BN652" s="13"/>
      <c r="BO652" s="13"/>
      <c r="BP652" s="13"/>
      <c r="BQ652" s="13"/>
      <c r="BR652" s="13"/>
      <c r="BS652" s="13"/>
      <c r="BT652" s="13"/>
      <c r="BU652" s="13"/>
      <c r="BV652" s="13"/>
      <c r="BW652" s="13"/>
      <c r="BX652" s="13"/>
      <c r="BY652" s="13"/>
      <c r="BZ652" s="13"/>
      <c r="CA652" s="13"/>
      <c r="CB652" s="13"/>
      <c r="CC652" s="13"/>
      <c r="CD652" s="13"/>
      <c r="CE652" s="13"/>
      <c r="CF652" s="13"/>
      <c r="CG652" s="13"/>
      <c r="CH652" s="13"/>
      <c r="CI652" s="13"/>
      <c r="CJ652" s="13"/>
      <c r="CK652" s="13"/>
      <c r="CL652" s="13"/>
      <c r="CM652" s="13"/>
      <c r="CN652" s="13"/>
      <c r="CO652" s="13"/>
      <c r="CP652" s="13"/>
      <c r="CQ652" s="13"/>
      <c r="CR652" s="13"/>
      <c r="CS652" s="13"/>
      <c r="CT652" s="13"/>
      <c r="CU652" s="13"/>
    </row>
    <row r="653" spans="1:99" ht="12.75">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c r="AN653" s="13"/>
      <c r="AO653" s="13"/>
      <c r="AP653" s="13"/>
      <c r="AQ653" s="13"/>
      <c r="AR653" s="13"/>
      <c r="AS653" s="13"/>
      <c r="AT653" s="13"/>
      <c r="AU653" s="13"/>
      <c r="AV653" s="13"/>
      <c r="AW653" s="13"/>
      <c r="AX653" s="13"/>
      <c r="AY653" s="13"/>
      <c r="AZ653" s="13"/>
      <c r="BA653" s="13"/>
      <c r="BB653" s="13"/>
      <c r="BC653" s="13"/>
      <c r="BD653" s="13"/>
      <c r="BE653" s="13"/>
      <c r="BF653" s="13"/>
      <c r="BG653" s="13"/>
      <c r="BH653" s="13"/>
      <c r="BI653" s="13"/>
      <c r="BJ653" s="13"/>
      <c r="BK653" s="13"/>
      <c r="BL653" s="13"/>
      <c r="BM653" s="13"/>
      <c r="BN653" s="13"/>
      <c r="BO653" s="13"/>
      <c r="BP653" s="13"/>
      <c r="BQ653" s="13"/>
      <c r="BR653" s="13"/>
      <c r="BS653" s="13"/>
      <c r="BT653" s="13"/>
      <c r="BU653" s="13"/>
      <c r="BV653" s="13"/>
      <c r="BW653" s="13"/>
      <c r="BX653" s="13"/>
      <c r="BY653" s="13"/>
      <c r="BZ653" s="13"/>
      <c r="CA653" s="13"/>
      <c r="CB653" s="13"/>
      <c r="CC653" s="13"/>
      <c r="CD653" s="13"/>
      <c r="CE653" s="13"/>
      <c r="CF653" s="13"/>
      <c r="CG653" s="13"/>
      <c r="CH653" s="13"/>
      <c r="CI653" s="13"/>
      <c r="CJ653" s="13"/>
      <c r="CK653" s="13"/>
      <c r="CL653" s="13"/>
      <c r="CM653" s="13"/>
      <c r="CN653" s="13"/>
      <c r="CO653" s="13"/>
      <c r="CP653" s="13"/>
      <c r="CQ653" s="13"/>
      <c r="CR653" s="13"/>
      <c r="CS653" s="13"/>
      <c r="CT653" s="13"/>
      <c r="CU653" s="13"/>
    </row>
    <row r="654" spans="1:99" ht="12.75">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c r="AO654" s="13"/>
      <c r="AP654" s="13"/>
      <c r="AQ654" s="13"/>
      <c r="AR654" s="13"/>
      <c r="AS654" s="13"/>
      <c r="AT654" s="13"/>
      <c r="AU654" s="13"/>
      <c r="AV654" s="13"/>
      <c r="AW654" s="13"/>
      <c r="AX654" s="13"/>
      <c r="AY654" s="13"/>
      <c r="AZ654" s="13"/>
      <c r="BA654" s="13"/>
      <c r="BB654" s="13"/>
      <c r="BC654" s="13"/>
      <c r="BD654" s="13"/>
      <c r="BE654" s="13"/>
      <c r="BF654" s="13"/>
      <c r="BG654" s="13"/>
      <c r="BH654" s="13"/>
      <c r="BI654" s="13"/>
      <c r="BJ654" s="13"/>
      <c r="BK654" s="13"/>
      <c r="BL654" s="13"/>
      <c r="BM654" s="13"/>
      <c r="BN654" s="13"/>
      <c r="BO654" s="13"/>
      <c r="BP654" s="13"/>
      <c r="BQ654" s="13"/>
      <c r="BR654" s="13"/>
      <c r="BS654" s="13"/>
      <c r="BT654" s="13"/>
      <c r="BU654" s="13"/>
      <c r="BV654" s="13"/>
      <c r="BW654" s="13"/>
      <c r="BX654" s="13"/>
      <c r="BY654" s="13"/>
      <c r="BZ654" s="13"/>
      <c r="CA654" s="13"/>
      <c r="CB654" s="13"/>
      <c r="CC654" s="13"/>
      <c r="CD654" s="13"/>
      <c r="CE654" s="13"/>
      <c r="CF654" s="13"/>
      <c r="CG654" s="13"/>
      <c r="CH654" s="13"/>
      <c r="CI654" s="13"/>
      <c r="CJ654" s="13"/>
      <c r="CK654" s="13"/>
      <c r="CL654" s="13"/>
      <c r="CM654" s="13"/>
      <c r="CN654" s="13"/>
      <c r="CO654" s="13"/>
      <c r="CP654" s="13"/>
      <c r="CQ654" s="13"/>
      <c r="CR654" s="13"/>
      <c r="CS654" s="13"/>
      <c r="CT654" s="13"/>
      <c r="CU654" s="13"/>
    </row>
    <row r="655" spans="1:99" ht="12.75">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13"/>
      <c r="AO655" s="13"/>
      <c r="AP655" s="13"/>
      <c r="AQ655" s="13"/>
      <c r="AR655" s="13"/>
      <c r="AS655" s="13"/>
      <c r="AT655" s="13"/>
      <c r="AU655" s="13"/>
      <c r="AV655" s="13"/>
      <c r="AW655" s="13"/>
      <c r="AX655" s="13"/>
      <c r="AY655" s="13"/>
      <c r="AZ655" s="13"/>
      <c r="BA655" s="13"/>
      <c r="BB655" s="13"/>
      <c r="BC655" s="13"/>
      <c r="BD655" s="13"/>
      <c r="BE655" s="13"/>
      <c r="BF655" s="13"/>
      <c r="BG655" s="13"/>
      <c r="BH655" s="13"/>
      <c r="BI655" s="13"/>
      <c r="BJ655" s="13"/>
      <c r="BK655" s="13"/>
      <c r="BL655" s="13"/>
      <c r="BM655" s="13"/>
      <c r="BN655" s="13"/>
      <c r="BO655" s="13"/>
      <c r="BP655" s="13"/>
      <c r="BQ655" s="13"/>
      <c r="BR655" s="13"/>
      <c r="BS655" s="13"/>
      <c r="BT655" s="13"/>
      <c r="BU655" s="13"/>
      <c r="BV655" s="13"/>
      <c r="BW655" s="13"/>
      <c r="BX655" s="13"/>
      <c r="BY655" s="13"/>
      <c r="BZ655" s="13"/>
      <c r="CA655" s="13"/>
      <c r="CB655" s="13"/>
      <c r="CC655" s="13"/>
      <c r="CD655" s="13"/>
      <c r="CE655" s="13"/>
      <c r="CF655" s="13"/>
      <c r="CG655" s="13"/>
      <c r="CH655" s="13"/>
      <c r="CI655" s="13"/>
      <c r="CJ655" s="13"/>
      <c r="CK655" s="13"/>
      <c r="CL655" s="13"/>
      <c r="CM655" s="13"/>
      <c r="CN655" s="13"/>
      <c r="CO655" s="13"/>
      <c r="CP655" s="13"/>
      <c r="CQ655" s="13"/>
      <c r="CR655" s="13"/>
      <c r="CS655" s="13"/>
      <c r="CT655" s="13"/>
      <c r="CU655" s="13"/>
    </row>
    <row r="656" spans="1:99" ht="12.75">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c r="AN656" s="13"/>
      <c r="AO656" s="13"/>
      <c r="AP656" s="13"/>
      <c r="AQ656" s="13"/>
      <c r="AR656" s="13"/>
      <c r="AS656" s="13"/>
      <c r="AT656" s="13"/>
      <c r="AU656" s="13"/>
      <c r="AV656" s="13"/>
      <c r="AW656" s="13"/>
      <c r="AX656" s="13"/>
      <c r="AY656" s="13"/>
      <c r="AZ656" s="13"/>
      <c r="BA656" s="13"/>
      <c r="BB656" s="13"/>
      <c r="BC656" s="13"/>
      <c r="BD656" s="13"/>
      <c r="BE656" s="13"/>
      <c r="BF656" s="13"/>
      <c r="BG656" s="13"/>
      <c r="BH656" s="13"/>
      <c r="BI656" s="13"/>
      <c r="BJ656" s="13"/>
      <c r="BK656" s="13"/>
      <c r="BL656" s="13"/>
      <c r="BM656" s="13"/>
      <c r="BN656" s="13"/>
      <c r="BO656" s="13"/>
      <c r="BP656" s="13"/>
      <c r="BQ656" s="13"/>
      <c r="BR656" s="13"/>
      <c r="BS656" s="13"/>
      <c r="BT656" s="13"/>
      <c r="BU656" s="13"/>
      <c r="BV656" s="13"/>
      <c r="BW656" s="13"/>
      <c r="BX656" s="13"/>
      <c r="BY656" s="13"/>
      <c r="BZ656" s="13"/>
      <c r="CA656" s="13"/>
      <c r="CB656" s="13"/>
      <c r="CC656" s="13"/>
      <c r="CD656" s="13"/>
      <c r="CE656" s="13"/>
      <c r="CF656" s="13"/>
      <c r="CG656" s="13"/>
      <c r="CH656" s="13"/>
      <c r="CI656" s="13"/>
      <c r="CJ656" s="13"/>
      <c r="CK656" s="13"/>
      <c r="CL656" s="13"/>
      <c r="CM656" s="13"/>
      <c r="CN656" s="13"/>
      <c r="CO656" s="13"/>
      <c r="CP656" s="13"/>
      <c r="CQ656" s="13"/>
      <c r="CR656" s="13"/>
      <c r="CS656" s="13"/>
      <c r="CT656" s="13"/>
      <c r="CU656" s="13"/>
    </row>
    <row r="657" spans="1:99" ht="12.75">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c r="AO657" s="13"/>
      <c r="AP657" s="13"/>
      <c r="AQ657" s="13"/>
      <c r="AR657" s="13"/>
      <c r="AS657" s="13"/>
      <c r="AT657" s="13"/>
      <c r="AU657" s="13"/>
      <c r="AV657" s="13"/>
      <c r="AW657" s="13"/>
      <c r="AX657" s="13"/>
      <c r="AY657" s="13"/>
      <c r="AZ657" s="13"/>
      <c r="BA657" s="13"/>
      <c r="BB657" s="13"/>
      <c r="BC657" s="13"/>
      <c r="BD657" s="13"/>
      <c r="BE657" s="13"/>
      <c r="BF657" s="13"/>
      <c r="BG657" s="13"/>
      <c r="BH657" s="13"/>
      <c r="BI657" s="13"/>
      <c r="BJ657" s="13"/>
      <c r="BK657" s="13"/>
      <c r="BL657" s="13"/>
      <c r="BM657" s="13"/>
      <c r="BN657" s="13"/>
      <c r="BO657" s="13"/>
      <c r="BP657" s="13"/>
      <c r="BQ657" s="13"/>
      <c r="BR657" s="13"/>
      <c r="BS657" s="13"/>
      <c r="BT657" s="13"/>
      <c r="BU657" s="13"/>
      <c r="BV657" s="13"/>
      <c r="BW657" s="13"/>
      <c r="BX657" s="13"/>
      <c r="BY657" s="13"/>
      <c r="BZ657" s="13"/>
      <c r="CA657" s="13"/>
      <c r="CB657" s="13"/>
      <c r="CC657" s="13"/>
      <c r="CD657" s="13"/>
      <c r="CE657" s="13"/>
      <c r="CF657" s="13"/>
      <c r="CG657" s="13"/>
      <c r="CH657" s="13"/>
      <c r="CI657" s="13"/>
      <c r="CJ657" s="13"/>
      <c r="CK657" s="13"/>
      <c r="CL657" s="13"/>
      <c r="CM657" s="13"/>
      <c r="CN657" s="13"/>
      <c r="CO657" s="13"/>
      <c r="CP657" s="13"/>
      <c r="CQ657" s="13"/>
      <c r="CR657" s="13"/>
      <c r="CS657" s="13"/>
      <c r="CT657" s="13"/>
      <c r="CU657" s="13"/>
    </row>
    <row r="658" spans="1:99" ht="12.75">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c r="AN658" s="13"/>
      <c r="AO658" s="13"/>
      <c r="AP658" s="13"/>
      <c r="AQ658" s="13"/>
      <c r="AR658" s="13"/>
      <c r="AS658" s="13"/>
      <c r="AT658" s="13"/>
      <c r="AU658" s="13"/>
      <c r="AV658" s="13"/>
      <c r="AW658" s="13"/>
      <c r="AX658" s="13"/>
      <c r="AY658" s="13"/>
      <c r="AZ658" s="13"/>
      <c r="BA658" s="13"/>
      <c r="BB658" s="13"/>
      <c r="BC658" s="13"/>
      <c r="BD658" s="13"/>
      <c r="BE658" s="13"/>
      <c r="BF658" s="13"/>
      <c r="BG658" s="13"/>
      <c r="BH658" s="13"/>
      <c r="BI658" s="13"/>
      <c r="BJ658" s="13"/>
      <c r="BK658" s="13"/>
      <c r="BL658" s="13"/>
      <c r="BM658" s="13"/>
      <c r="BN658" s="13"/>
      <c r="BO658" s="13"/>
      <c r="BP658" s="13"/>
      <c r="BQ658" s="13"/>
      <c r="BR658" s="13"/>
      <c r="BS658" s="13"/>
      <c r="BT658" s="13"/>
      <c r="BU658" s="13"/>
      <c r="BV658" s="13"/>
      <c r="BW658" s="13"/>
      <c r="BX658" s="13"/>
      <c r="BY658" s="13"/>
      <c r="BZ658" s="13"/>
      <c r="CA658" s="13"/>
      <c r="CB658" s="13"/>
      <c r="CC658" s="13"/>
      <c r="CD658" s="13"/>
      <c r="CE658" s="13"/>
      <c r="CF658" s="13"/>
      <c r="CG658" s="13"/>
      <c r="CH658" s="13"/>
      <c r="CI658" s="13"/>
      <c r="CJ658" s="13"/>
      <c r="CK658" s="13"/>
      <c r="CL658" s="13"/>
      <c r="CM658" s="13"/>
      <c r="CN658" s="13"/>
      <c r="CO658" s="13"/>
      <c r="CP658" s="13"/>
      <c r="CQ658" s="13"/>
      <c r="CR658" s="13"/>
      <c r="CS658" s="13"/>
      <c r="CT658" s="13"/>
      <c r="CU658" s="13"/>
    </row>
    <row r="659" spans="1:99" ht="12.75">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c r="AN659" s="13"/>
      <c r="AO659" s="13"/>
      <c r="AP659" s="13"/>
      <c r="AQ659" s="13"/>
      <c r="AR659" s="13"/>
      <c r="AS659" s="13"/>
      <c r="AT659" s="13"/>
      <c r="AU659" s="13"/>
      <c r="AV659" s="13"/>
      <c r="AW659" s="13"/>
      <c r="AX659" s="13"/>
      <c r="AY659" s="13"/>
      <c r="AZ659" s="13"/>
      <c r="BA659" s="13"/>
      <c r="BB659" s="13"/>
      <c r="BC659" s="13"/>
      <c r="BD659" s="13"/>
      <c r="BE659" s="13"/>
      <c r="BF659" s="13"/>
      <c r="BG659" s="13"/>
      <c r="BH659" s="13"/>
      <c r="BI659" s="13"/>
      <c r="BJ659" s="13"/>
      <c r="BK659" s="13"/>
      <c r="BL659" s="13"/>
      <c r="BM659" s="13"/>
      <c r="BN659" s="13"/>
      <c r="BO659" s="13"/>
      <c r="BP659" s="13"/>
      <c r="BQ659" s="13"/>
      <c r="BR659" s="13"/>
      <c r="BS659" s="13"/>
      <c r="BT659" s="13"/>
      <c r="BU659" s="13"/>
      <c r="BV659" s="13"/>
      <c r="BW659" s="13"/>
      <c r="BX659" s="13"/>
      <c r="BY659" s="13"/>
      <c r="BZ659" s="13"/>
      <c r="CA659" s="13"/>
      <c r="CB659" s="13"/>
      <c r="CC659" s="13"/>
      <c r="CD659" s="13"/>
      <c r="CE659" s="13"/>
      <c r="CF659" s="13"/>
      <c r="CG659" s="13"/>
      <c r="CH659" s="13"/>
      <c r="CI659" s="13"/>
      <c r="CJ659" s="13"/>
      <c r="CK659" s="13"/>
      <c r="CL659" s="13"/>
      <c r="CM659" s="13"/>
      <c r="CN659" s="13"/>
      <c r="CO659" s="13"/>
      <c r="CP659" s="13"/>
      <c r="CQ659" s="13"/>
      <c r="CR659" s="13"/>
      <c r="CS659" s="13"/>
      <c r="CT659" s="13"/>
      <c r="CU659" s="13"/>
    </row>
    <row r="660" spans="1:99" ht="12.75">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c r="AN660" s="13"/>
      <c r="AO660" s="13"/>
      <c r="AP660" s="13"/>
      <c r="AQ660" s="13"/>
      <c r="AR660" s="13"/>
      <c r="AS660" s="13"/>
      <c r="AT660" s="13"/>
      <c r="AU660" s="13"/>
      <c r="AV660" s="13"/>
      <c r="AW660" s="13"/>
      <c r="AX660" s="13"/>
      <c r="AY660" s="13"/>
      <c r="AZ660" s="13"/>
      <c r="BA660" s="13"/>
      <c r="BB660" s="13"/>
      <c r="BC660" s="13"/>
      <c r="BD660" s="13"/>
      <c r="BE660" s="13"/>
      <c r="BF660" s="13"/>
      <c r="BG660" s="13"/>
      <c r="BH660" s="13"/>
      <c r="BI660" s="13"/>
      <c r="BJ660" s="13"/>
      <c r="BK660" s="13"/>
      <c r="BL660" s="13"/>
      <c r="BM660" s="13"/>
      <c r="BN660" s="13"/>
      <c r="BO660" s="13"/>
      <c r="BP660" s="13"/>
      <c r="BQ660" s="13"/>
      <c r="BR660" s="13"/>
      <c r="BS660" s="13"/>
      <c r="BT660" s="13"/>
      <c r="BU660" s="13"/>
      <c r="BV660" s="13"/>
      <c r="BW660" s="13"/>
      <c r="BX660" s="13"/>
      <c r="BY660" s="13"/>
      <c r="BZ660" s="13"/>
      <c r="CA660" s="13"/>
      <c r="CB660" s="13"/>
      <c r="CC660" s="13"/>
      <c r="CD660" s="13"/>
      <c r="CE660" s="13"/>
      <c r="CF660" s="13"/>
      <c r="CG660" s="13"/>
      <c r="CH660" s="13"/>
      <c r="CI660" s="13"/>
      <c r="CJ660" s="13"/>
      <c r="CK660" s="13"/>
      <c r="CL660" s="13"/>
      <c r="CM660" s="13"/>
      <c r="CN660" s="13"/>
      <c r="CO660" s="13"/>
      <c r="CP660" s="13"/>
      <c r="CQ660" s="13"/>
      <c r="CR660" s="13"/>
      <c r="CS660" s="13"/>
      <c r="CT660" s="13"/>
      <c r="CU660" s="13"/>
    </row>
    <row r="661" spans="1:99" ht="12.75">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c r="AN661" s="13"/>
      <c r="AO661" s="13"/>
      <c r="AP661" s="13"/>
      <c r="AQ661" s="13"/>
      <c r="AR661" s="13"/>
      <c r="AS661" s="13"/>
      <c r="AT661" s="13"/>
      <c r="AU661" s="13"/>
      <c r="AV661" s="13"/>
      <c r="AW661" s="13"/>
      <c r="AX661" s="13"/>
      <c r="AY661" s="13"/>
      <c r="AZ661" s="13"/>
      <c r="BA661" s="13"/>
      <c r="BB661" s="13"/>
      <c r="BC661" s="13"/>
      <c r="BD661" s="13"/>
      <c r="BE661" s="13"/>
      <c r="BF661" s="13"/>
      <c r="BG661" s="13"/>
      <c r="BH661" s="13"/>
      <c r="BI661" s="13"/>
      <c r="BJ661" s="13"/>
      <c r="BK661" s="13"/>
      <c r="BL661" s="13"/>
      <c r="BM661" s="13"/>
      <c r="BN661" s="13"/>
      <c r="BO661" s="13"/>
      <c r="BP661" s="13"/>
      <c r="BQ661" s="13"/>
      <c r="BR661" s="13"/>
      <c r="BS661" s="13"/>
      <c r="BT661" s="13"/>
      <c r="BU661" s="13"/>
      <c r="BV661" s="13"/>
      <c r="BW661" s="13"/>
      <c r="BX661" s="13"/>
      <c r="BY661" s="13"/>
      <c r="BZ661" s="13"/>
      <c r="CA661" s="13"/>
      <c r="CB661" s="13"/>
      <c r="CC661" s="13"/>
      <c r="CD661" s="13"/>
      <c r="CE661" s="13"/>
      <c r="CF661" s="13"/>
      <c r="CG661" s="13"/>
      <c r="CH661" s="13"/>
      <c r="CI661" s="13"/>
      <c r="CJ661" s="13"/>
      <c r="CK661" s="13"/>
      <c r="CL661" s="13"/>
      <c r="CM661" s="13"/>
      <c r="CN661" s="13"/>
      <c r="CO661" s="13"/>
      <c r="CP661" s="13"/>
      <c r="CQ661" s="13"/>
      <c r="CR661" s="13"/>
      <c r="CS661" s="13"/>
      <c r="CT661" s="13"/>
      <c r="CU661" s="13"/>
    </row>
    <row r="662" spans="1:99" ht="12.75">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c r="BJ662" s="13"/>
      <c r="BK662" s="13"/>
      <c r="BL662" s="13"/>
      <c r="BM662" s="13"/>
      <c r="BN662" s="13"/>
      <c r="BO662" s="13"/>
      <c r="BP662" s="13"/>
      <c r="BQ662" s="13"/>
      <c r="BR662" s="13"/>
      <c r="BS662" s="13"/>
      <c r="BT662" s="13"/>
      <c r="BU662" s="13"/>
      <c r="BV662" s="13"/>
      <c r="BW662" s="13"/>
      <c r="BX662" s="13"/>
      <c r="BY662" s="13"/>
      <c r="BZ662" s="13"/>
      <c r="CA662" s="13"/>
      <c r="CB662" s="13"/>
      <c r="CC662" s="13"/>
      <c r="CD662" s="13"/>
      <c r="CE662" s="13"/>
      <c r="CF662" s="13"/>
      <c r="CG662" s="13"/>
      <c r="CH662" s="13"/>
      <c r="CI662" s="13"/>
      <c r="CJ662" s="13"/>
      <c r="CK662" s="13"/>
      <c r="CL662" s="13"/>
      <c r="CM662" s="13"/>
      <c r="CN662" s="13"/>
      <c r="CO662" s="13"/>
      <c r="CP662" s="13"/>
      <c r="CQ662" s="13"/>
      <c r="CR662" s="13"/>
      <c r="CS662" s="13"/>
      <c r="CT662" s="13"/>
      <c r="CU662" s="13"/>
    </row>
    <row r="663" spans="1:99" ht="12.75">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c r="AO663" s="13"/>
      <c r="AP663" s="13"/>
      <c r="AQ663" s="13"/>
      <c r="AR663" s="13"/>
      <c r="AS663" s="13"/>
      <c r="AT663" s="13"/>
      <c r="AU663" s="13"/>
      <c r="AV663" s="13"/>
      <c r="AW663" s="13"/>
      <c r="AX663" s="13"/>
      <c r="AY663" s="13"/>
      <c r="AZ663" s="13"/>
      <c r="BA663" s="13"/>
      <c r="BB663" s="13"/>
      <c r="BC663" s="13"/>
      <c r="BD663" s="13"/>
      <c r="BE663" s="13"/>
      <c r="BF663" s="13"/>
      <c r="BG663" s="13"/>
      <c r="BH663" s="13"/>
      <c r="BI663" s="13"/>
      <c r="BJ663" s="13"/>
      <c r="BK663" s="13"/>
      <c r="BL663" s="13"/>
      <c r="BM663" s="13"/>
      <c r="BN663" s="13"/>
      <c r="BO663" s="13"/>
      <c r="BP663" s="13"/>
      <c r="BQ663" s="13"/>
      <c r="BR663" s="13"/>
      <c r="BS663" s="13"/>
      <c r="BT663" s="13"/>
      <c r="BU663" s="13"/>
      <c r="BV663" s="13"/>
      <c r="BW663" s="13"/>
      <c r="BX663" s="13"/>
      <c r="BY663" s="13"/>
      <c r="BZ663" s="13"/>
      <c r="CA663" s="13"/>
      <c r="CB663" s="13"/>
      <c r="CC663" s="13"/>
      <c r="CD663" s="13"/>
      <c r="CE663" s="13"/>
      <c r="CF663" s="13"/>
      <c r="CG663" s="13"/>
      <c r="CH663" s="13"/>
      <c r="CI663" s="13"/>
      <c r="CJ663" s="13"/>
      <c r="CK663" s="13"/>
      <c r="CL663" s="13"/>
      <c r="CM663" s="13"/>
      <c r="CN663" s="13"/>
      <c r="CO663" s="13"/>
      <c r="CP663" s="13"/>
      <c r="CQ663" s="13"/>
      <c r="CR663" s="13"/>
      <c r="CS663" s="13"/>
      <c r="CT663" s="13"/>
      <c r="CU663" s="13"/>
    </row>
    <row r="664" spans="1:99" ht="12.75">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c r="AN664" s="13"/>
      <c r="AO664" s="13"/>
      <c r="AP664" s="13"/>
      <c r="AQ664" s="13"/>
      <c r="AR664" s="13"/>
      <c r="AS664" s="13"/>
      <c r="AT664" s="13"/>
      <c r="AU664" s="13"/>
      <c r="AV664" s="13"/>
      <c r="AW664" s="13"/>
      <c r="AX664" s="13"/>
      <c r="AY664" s="13"/>
      <c r="AZ664" s="13"/>
      <c r="BA664" s="13"/>
      <c r="BB664" s="13"/>
      <c r="BC664" s="13"/>
      <c r="BD664" s="13"/>
      <c r="BE664" s="13"/>
      <c r="BF664" s="13"/>
      <c r="BG664" s="13"/>
      <c r="BH664" s="13"/>
      <c r="BI664" s="13"/>
      <c r="BJ664" s="13"/>
      <c r="BK664" s="13"/>
      <c r="BL664" s="13"/>
      <c r="BM664" s="13"/>
      <c r="BN664" s="13"/>
      <c r="BO664" s="13"/>
      <c r="BP664" s="13"/>
      <c r="BQ664" s="13"/>
      <c r="BR664" s="13"/>
      <c r="BS664" s="13"/>
      <c r="BT664" s="13"/>
      <c r="BU664" s="13"/>
      <c r="BV664" s="13"/>
      <c r="BW664" s="13"/>
      <c r="BX664" s="13"/>
      <c r="BY664" s="13"/>
      <c r="BZ664" s="13"/>
      <c r="CA664" s="13"/>
      <c r="CB664" s="13"/>
      <c r="CC664" s="13"/>
      <c r="CD664" s="13"/>
      <c r="CE664" s="13"/>
      <c r="CF664" s="13"/>
      <c r="CG664" s="13"/>
      <c r="CH664" s="13"/>
      <c r="CI664" s="13"/>
      <c r="CJ664" s="13"/>
      <c r="CK664" s="13"/>
      <c r="CL664" s="13"/>
      <c r="CM664" s="13"/>
      <c r="CN664" s="13"/>
      <c r="CO664" s="13"/>
      <c r="CP664" s="13"/>
      <c r="CQ664" s="13"/>
      <c r="CR664" s="13"/>
      <c r="CS664" s="13"/>
      <c r="CT664" s="13"/>
      <c r="CU664" s="13"/>
    </row>
    <row r="665" spans="1:99" ht="12.75">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13"/>
      <c r="AO665" s="13"/>
      <c r="AP665" s="13"/>
      <c r="AQ665" s="13"/>
      <c r="AR665" s="13"/>
      <c r="AS665" s="13"/>
      <c r="AT665" s="13"/>
      <c r="AU665" s="13"/>
      <c r="AV665" s="13"/>
      <c r="AW665" s="13"/>
      <c r="AX665" s="13"/>
      <c r="AY665" s="13"/>
      <c r="AZ665" s="13"/>
      <c r="BA665" s="13"/>
      <c r="BB665" s="13"/>
      <c r="BC665" s="13"/>
      <c r="BD665" s="13"/>
      <c r="BE665" s="13"/>
      <c r="BF665" s="13"/>
      <c r="BG665" s="13"/>
      <c r="BH665" s="13"/>
      <c r="BI665" s="13"/>
      <c r="BJ665" s="13"/>
      <c r="BK665" s="13"/>
      <c r="BL665" s="13"/>
      <c r="BM665" s="13"/>
      <c r="BN665" s="13"/>
      <c r="BO665" s="13"/>
      <c r="BP665" s="13"/>
      <c r="BQ665" s="13"/>
      <c r="BR665" s="13"/>
      <c r="BS665" s="13"/>
      <c r="BT665" s="13"/>
      <c r="BU665" s="13"/>
      <c r="BV665" s="13"/>
      <c r="BW665" s="13"/>
      <c r="BX665" s="13"/>
      <c r="BY665" s="13"/>
      <c r="BZ665" s="13"/>
      <c r="CA665" s="13"/>
      <c r="CB665" s="13"/>
      <c r="CC665" s="13"/>
      <c r="CD665" s="13"/>
      <c r="CE665" s="13"/>
      <c r="CF665" s="13"/>
      <c r="CG665" s="13"/>
      <c r="CH665" s="13"/>
      <c r="CI665" s="13"/>
      <c r="CJ665" s="13"/>
      <c r="CK665" s="13"/>
      <c r="CL665" s="13"/>
      <c r="CM665" s="13"/>
      <c r="CN665" s="13"/>
      <c r="CO665" s="13"/>
      <c r="CP665" s="13"/>
      <c r="CQ665" s="13"/>
      <c r="CR665" s="13"/>
      <c r="CS665" s="13"/>
      <c r="CT665" s="13"/>
      <c r="CU665" s="13"/>
    </row>
    <row r="666" spans="1:99" ht="12.75">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c r="AN666" s="13"/>
      <c r="AO666" s="13"/>
      <c r="AP666" s="13"/>
      <c r="AQ666" s="13"/>
      <c r="AR666" s="13"/>
      <c r="AS666" s="13"/>
      <c r="AT666" s="13"/>
      <c r="AU666" s="13"/>
      <c r="AV666" s="13"/>
      <c r="AW666" s="13"/>
      <c r="AX666" s="13"/>
      <c r="AY666" s="13"/>
      <c r="AZ666" s="13"/>
      <c r="BA666" s="13"/>
      <c r="BB666" s="13"/>
      <c r="BC666" s="13"/>
      <c r="BD666" s="13"/>
      <c r="BE666" s="13"/>
      <c r="BF666" s="13"/>
      <c r="BG666" s="13"/>
      <c r="BH666" s="13"/>
      <c r="BI666" s="13"/>
      <c r="BJ666" s="13"/>
      <c r="BK666" s="13"/>
      <c r="BL666" s="13"/>
      <c r="BM666" s="13"/>
      <c r="BN666" s="13"/>
      <c r="BO666" s="13"/>
      <c r="BP666" s="13"/>
      <c r="BQ666" s="13"/>
      <c r="BR666" s="13"/>
      <c r="BS666" s="13"/>
      <c r="BT666" s="13"/>
      <c r="BU666" s="13"/>
      <c r="BV666" s="13"/>
      <c r="BW666" s="13"/>
      <c r="BX666" s="13"/>
      <c r="BY666" s="13"/>
      <c r="BZ666" s="13"/>
      <c r="CA666" s="13"/>
      <c r="CB666" s="13"/>
      <c r="CC666" s="13"/>
      <c r="CD666" s="13"/>
      <c r="CE666" s="13"/>
      <c r="CF666" s="13"/>
      <c r="CG666" s="13"/>
      <c r="CH666" s="13"/>
      <c r="CI666" s="13"/>
      <c r="CJ666" s="13"/>
      <c r="CK666" s="13"/>
      <c r="CL666" s="13"/>
      <c r="CM666" s="13"/>
      <c r="CN666" s="13"/>
      <c r="CO666" s="13"/>
      <c r="CP666" s="13"/>
      <c r="CQ666" s="13"/>
      <c r="CR666" s="13"/>
      <c r="CS666" s="13"/>
      <c r="CT666" s="13"/>
      <c r="CU666" s="13"/>
    </row>
    <row r="667" spans="1:99" ht="12.75">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c r="AL667" s="13"/>
      <c r="AM667" s="13"/>
      <c r="AN667" s="13"/>
      <c r="AO667" s="13"/>
      <c r="AP667" s="13"/>
      <c r="AQ667" s="13"/>
      <c r="AR667" s="13"/>
      <c r="AS667" s="13"/>
      <c r="AT667" s="13"/>
      <c r="AU667" s="13"/>
      <c r="AV667" s="13"/>
      <c r="AW667" s="13"/>
      <c r="AX667" s="13"/>
      <c r="AY667" s="13"/>
      <c r="AZ667" s="13"/>
      <c r="BA667" s="13"/>
      <c r="BB667" s="13"/>
      <c r="BC667" s="13"/>
      <c r="BD667" s="13"/>
      <c r="BE667" s="13"/>
      <c r="BF667" s="13"/>
      <c r="BG667" s="13"/>
      <c r="BH667" s="13"/>
      <c r="BI667" s="13"/>
      <c r="BJ667" s="13"/>
      <c r="BK667" s="13"/>
      <c r="BL667" s="13"/>
      <c r="BM667" s="13"/>
      <c r="BN667" s="13"/>
      <c r="BO667" s="13"/>
      <c r="BP667" s="13"/>
      <c r="BQ667" s="13"/>
      <c r="BR667" s="13"/>
      <c r="BS667" s="13"/>
      <c r="BT667" s="13"/>
      <c r="BU667" s="13"/>
      <c r="BV667" s="13"/>
      <c r="BW667" s="13"/>
      <c r="BX667" s="13"/>
      <c r="BY667" s="13"/>
      <c r="BZ667" s="13"/>
      <c r="CA667" s="13"/>
      <c r="CB667" s="13"/>
      <c r="CC667" s="13"/>
      <c r="CD667" s="13"/>
      <c r="CE667" s="13"/>
      <c r="CF667" s="13"/>
      <c r="CG667" s="13"/>
      <c r="CH667" s="13"/>
      <c r="CI667" s="13"/>
      <c r="CJ667" s="13"/>
      <c r="CK667" s="13"/>
      <c r="CL667" s="13"/>
      <c r="CM667" s="13"/>
      <c r="CN667" s="13"/>
      <c r="CO667" s="13"/>
      <c r="CP667" s="13"/>
      <c r="CQ667" s="13"/>
      <c r="CR667" s="13"/>
      <c r="CS667" s="13"/>
      <c r="CT667" s="13"/>
      <c r="CU667" s="13"/>
    </row>
    <row r="668" spans="1:99" ht="12.75">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c r="AN668" s="13"/>
      <c r="AO668" s="13"/>
      <c r="AP668" s="13"/>
      <c r="AQ668" s="13"/>
      <c r="AR668" s="13"/>
      <c r="AS668" s="13"/>
      <c r="AT668" s="13"/>
      <c r="AU668" s="13"/>
      <c r="AV668" s="13"/>
      <c r="AW668" s="13"/>
      <c r="AX668" s="13"/>
      <c r="AY668" s="13"/>
      <c r="AZ668" s="13"/>
      <c r="BA668" s="13"/>
      <c r="BB668" s="13"/>
      <c r="BC668" s="13"/>
      <c r="BD668" s="13"/>
      <c r="BE668" s="13"/>
      <c r="BF668" s="13"/>
      <c r="BG668" s="13"/>
      <c r="BH668" s="13"/>
      <c r="BI668" s="13"/>
      <c r="BJ668" s="13"/>
      <c r="BK668" s="13"/>
      <c r="BL668" s="13"/>
      <c r="BM668" s="13"/>
      <c r="BN668" s="13"/>
      <c r="BO668" s="13"/>
      <c r="BP668" s="13"/>
      <c r="BQ668" s="13"/>
      <c r="BR668" s="13"/>
      <c r="BS668" s="13"/>
      <c r="BT668" s="13"/>
      <c r="BU668" s="13"/>
      <c r="BV668" s="13"/>
      <c r="BW668" s="13"/>
      <c r="BX668" s="13"/>
      <c r="BY668" s="13"/>
      <c r="BZ668" s="13"/>
      <c r="CA668" s="13"/>
      <c r="CB668" s="13"/>
      <c r="CC668" s="13"/>
      <c r="CD668" s="13"/>
      <c r="CE668" s="13"/>
      <c r="CF668" s="13"/>
      <c r="CG668" s="13"/>
      <c r="CH668" s="13"/>
      <c r="CI668" s="13"/>
      <c r="CJ668" s="13"/>
      <c r="CK668" s="13"/>
      <c r="CL668" s="13"/>
      <c r="CM668" s="13"/>
      <c r="CN668" s="13"/>
      <c r="CO668" s="13"/>
      <c r="CP668" s="13"/>
      <c r="CQ668" s="13"/>
      <c r="CR668" s="13"/>
      <c r="CS668" s="13"/>
      <c r="CT668" s="13"/>
      <c r="CU668" s="13"/>
    </row>
    <row r="669" spans="1:99" ht="12.75">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c r="AL669" s="13"/>
      <c r="AM669" s="13"/>
      <c r="AN669" s="13"/>
      <c r="AO669" s="13"/>
      <c r="AP669" s="13"/>
      <c r="AQ669" s="13"/>
      <c r="AR669" s="13"/>
      <c r="AS669" s="13"/>
      <c r="AT669" s="13"/>
      <c r="AU669" s="13"/>
      <c r="AV669" s="13"/>
      <c r="AW669" s="13"/>
      <c r="AX669" s="13"/>
      <c r="AY669" s="13"/>
      <c r="AZ669" s="13"/>
      <c r="BA669" s="13"/>
      <c r="BB669" s="13"/>
      <c r="BC669" s="13"/>
      <c r="BD669" s="13"/>
      <c r="BE669" s="13"/>
      <c r="BF669" s="13"/>
      <c r="BG669" s="13"/>
      <c r="BH669" s="13"/>
      <c r="BI669" s="13"/>
      <c r="BJ669" s="13"/>
      <c r="BK669" s="13"/>
      <c r="BL669" s="13"/>
      <c r="BM669" s="13"/>
      <c r="BN669" s="13"/>
      <c r="BO669" s="13"/>
      <c r="BP669" s="13"/>
      <c r="BQ669" s="13"/>
      <c r="BR669" s="13"/>
      <c r="BS669" s="13"/>
      <c r="BT669" s="13"/>
      <c r="BU669" s="13"/>
      <c r="BV669" s="13"/>
      <c r="BW669" s="13"/>
      <c r="BX669" s="13"/>
      <c r="BY669" s="13"/>
      <c r="BZ669" s="13"/>
      <c r="CA669" s="13"/>
      <c r="CB669" s="13"/>
      <c r="CC669" s="13"/>
      <c r="CD669" s="13"/>
      <c r="CE669" s="13"/>
      <c r="CF669" s="13"/>
      <c r="CG669" s="13"/>
      <c r="CH669" s="13"/>
      <c r="CI669" s="13"/>
      <c r="CJ669" s="13"/>
      <c r="CK669" s="13"/>
      <c r="CL669" s="13"/>
      <c r="CM669" s="13"/>
      <c r="CN669" s="13"/>
      <c r="CO669" s="13"/>
      <c r="CP669" s="13"/>
      <c r="CQ669" s="13"/>
      <c r="CR669" s="13"/>
      <c r="CS669" s="13"/>
      <c r="CT669" s="13"/>
      <c r="CU669" s="13"/>
    </row>
    <row r="670" spans="1:99" ht="12.75">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c r="AO670" s="13"/>
      <c r="AP670" s="13"/>
      <c r="AQ670" s="13"/>
      <c r="AR670" s="13"/>
      <c r="AS670" s="13"/>
      <c r="AT670" s="13"/>
      <c r="AU670" s="13"/>
      <c r="AV670" s="13"/>
      <c r="AW670" s="13"/>
      <c r="AX670" s="13"/>
      <c r="AY670" s="13"/>
      <c r="AZ670" s="13"/>
      <c r="BA670" s="13"/>
      <c r="BB670" s="13"/>
      <c r="BC670" s="13"/>
      <c r="BD670" s="13"/>
      <c r="BE670" s="13"/>
      <c r="BF670" s="13"/>
      <c r="BG670" s="13"/>
      <c r="BH670" s="13"/>
      <c r="BI670" s="13"/>
      <c r="BJ670" s="13"/>
      <c r="BK670" s="13"/>
      <c r="BL670" s="13"/>
      <c r="BM670" s="13"/>
      <c r="BN670" s="13"/>
      <c r="BO670" s="13"/>
      <c r="BP670" s="13"/>
      <c r="BQ670" s="13"/>
      <c r="BR670" s="13"/>
      <c r="BS670" s="13"/>
      <c r="BT670" s="13"/>
      <c r="BU670" s="13"/>
      <c r="BV670" s="13"/>
      <c r="BW670" s="13"/>
      <c r="BX670" s="13"/>
      <c r="BY670" s="13"/>
      <c r="BZ670" s="13"/>
      <c r="CA670" s="13"/>
      <c r="CB670" s="13"/>
      <c r="CC670" s="13"/>
      <c r="CD670" s="13"/>
      <c r="CE670" s="13"/>
      <c r="CF670" s="13"/>
      <c r="CG670" s="13"/>
      <c r="CH670" s="13"/>
      <c r="CI670" s="13"/>
      <c r="CJ670" s="13"/>
      <c r="CK670" s="13"/>
      <c r="CL670" s="13"/>
      <c r="CM670" s="13"/>
      <c r="CN670" s="13"/>
      <c r="CO670" s="13"/>
      <c r="CP670" s="13"/>
      <c r="CQ670" s="13"/>
      <c r="CR670" s="13"/>
      <c r="CS670" s="13"/>
      <c r="CT670" s="13"/>
      <c r="CU670" s="13"/>
    </row>
    <row r="671" spans="1:99" ht="12.75">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c r="AH671" s="13"/>
      <c r="AI671" s="13"/>
      <c r="AJ671" s="13"/>
      <c r="AK671" s="13"/>
      <c r="AL671" s="13"/>
      <c r="AM671" s="13"/>
      <c r="AN671" s="13"/>
      <c r="AO671" s="13"/>
      <c r="AP671" s="13"/>
      <c r="AQ671" s="13"/>
      <c r="AR671" s="13"/>
      <c r="AS671" s="13"/>
      <c r="AT671" s="13"/>
      <c r="AU671" s="13"/>
      <c r="AV671" s="13"/>
      <c r="AW671" s="13"/>
      <c r="AX671" s="13"/>
      <c r="AY671" s="13"/>
      <c r="AZ671" s="13"/>
      <c r="BA671" s="13"/>
      <c r="BB671" s="13"/>
      <c r="BC671" s="13"/>
      <c r="BD671" s="13"/>
      <c r="BE671" s="13"/>
      <c r="BF671" s="13"/>
      <c r="BG671" s="13"/>
      <c r="BH671" s="13"/>
      <c r="BI671" s="13"/>
      <c r="BJ671" s="13"/>
      <c r="BK671" s="13"/>
      <c r="BL671" s="13"/>
      <c r="BM671" s="13"/>
      <c r="BN671" s="13"/>
      <c r="BO671" s="13"/>
      <c r="BP671" s="13"/>
      <c r="BQ671" s="13"/>
      <c r="BR671" s="13"/>
      <c r="BS671" s="13"/>
      <c r="BT671" s="13"/>
      <c r="BU671" s="13"/>
      <c r="BV671" s="13"/>
      <c r="BW671" s="13"/>
      <c r="BX671" s="13"/>
      <c r="BY671" s="13"/>
      <c r="BZ671" s="13"/>
      <c r="CA671" s="13"/>
      <c r="CB671" s="13"/>
      <c r="CC671" s="13"/>
      <c r="CD671" s="13"/>
      <c r="CE671" s="13"/>
      <c r="CF671" s="13"/>
      <c r="CG671" s="13"/>
      <c r="CH671" s="13"/>
      <c r="CI671" s="13"/>
      <c r="CJ671" s="13"/>
      <c r="CK671" s="13"/>
      <c r="CL671" s="13"/>
      <c r="CM671" s="13"/>
      <c r="CN671" s="13"/>
      <c r="CO671" s="13"/>
      <c r="CP671" s="13"/>
      <c r="CQ671" s="13"/>
      <c r="CR671" s="13"/>
      <c r="CS671" s="13"/>
      <c r="CT671" s="13"/>
      <c r="CU671" s="13"/>
    </row>
    <row r="672" spans="1:99" ht="12.75">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c r="AN672" s="13"/>
      <c r="AO672" s="13"/>
      <c r="AP672" s="13"/>
      <c r="AQ672" s="13"/>
      <c r="AR672" s="13"/>
      <c r="AS672" s="13"/>
      <c r="AT672" s="13"/>
      <c r="AU672" s="13"/>
      <c r="AV672" s="13"/>
      <c r="AW672" s="13"/>
      <c r="AX672" s="13"/>
      <c r="AY672" s="13"/>
      <c r="AZ672" s="13"/>
      <c r="BA672" s="13"/>
      <c r="BB672" s="13"/>
      <c r="BC672" s="13"/>
      <c r="BD672" s="13"/>
      <c r="BE672" s="13"/>
      <c r="BF672" s="13"/>
      <c r="BG672" s="13"/>
      <c r="BH672" s="13"/>
      <c r="BI672" s="13"/>
      <c r="BJ672" s="13"/>
      <c r="BK672" s="13"/>
      <c r="BL672" s="13"/>
      <c r="BM672" s="13"/>
      <c r="BN672" s="13"/>
      <c r="BO672" s="13"/>
      <c r="BP672" s="13"/>
      <c r="BQ672" s="13"/>
      <c r="BR672" s="13"/>
      <c r="BS672" s="13"/>
      <c r="BT672" s="13"/>
      <c r="BU672" s="13"/>
      <c r="BV672" s="13"/>
      <c r="BW672" s="13"/>
      <c r="BX672" s="13"/>
      <c r="BY672" s="13"/>
      <c r="BZ672" s="13"/>
      <c r="CA672" s="13"/>
      <c r="CB672" s="13"/>
      <c r="CC672" s="13"/>
      <c r="CD672" s="13"/>
      <c r="CE672" s="13"/>
      <c r="CF672" s="13"/>
      <c r="CG672" s="13"/>
      <c r="CH672" s="13"/>
      <c r="CI672" s="13"/>
      <c r="CJ672" s="13"/>
      <c r="CK672" s="13"/>
      <c r="CL672" s="13"/>
      <c r="CM672" s="13"/>
      <c r="CN672" s="13"/>
      <c r="CO672" s="13"/>
      <c r="CP672" s="13"/>
      <c r="CQ672" s="13"/>
      <c r="CR672" s="13"/>
      <c r="CS672" s="13"/>
      <c r="CT672" s="13"/>
      <c r="CU672" s="13"/>
    </row>
    <row r="673" spans="1:99" ht="12.75">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c r="AH673" s="13"/>
      <c r="AI673" s="13"/>
      <c r="AJ673" s="13"/>
      <c r="AK673" s="13"/>
      <c r="AL673" s="13"/>
      <c r="AM673" s="13"/>
      <c r="AN673" s="13"/>
      <c r="AO673" s="13"/>
      <c r="AP673" s="13"/>
      <c r="AQ673" s="13"/>
      <c r="AR673" s="13"/>
      <c r="AS673" s="13"/>
      <c r="AT673" s="13"/>
      <c r="AU673" s="13"/>
      <c r="AV673" s="13"/>
      <c r="AW673" s="13"/>
      <c r="AX673" s="13"/>
      <c r="AY673" s="13"/>
      <c r="AZ673" s="13"/>
      <c r="BA673" s="13"/>
      <c r="BB673" s="13"/>
      <c r="BC673" s="13"/>
      <c r="BD673" s="13"/>
      <c r="BE673" s="13"/>
      <c r="BF673" s="13"/>
      <c r="BG673" s="13"/>
      <c r="BH673" s="13"/>
      <c r="BI673" s="13"/>
      <c r="BJ673" s="13"/>
      <c r="BK673" s="13"/>
      <c r="BL673" s="13"/>
      <c r="BM673" s="13"/>
      <c r="BN673" s="13"/>
      <c r="BO673" s="13"/>
      <c r="BP673" s="13"/>
      <c r="BQ673" s="13"/>
      <c r="BR673" s="13"/>
      <c r="BS673" s="13"/>
      <c r="BT673" s="13"/>
      <c r="BU673" s="13"/>
      <c r="BV673" s="13"/>
      <c r="BW673" s="13"/>
      <c r="BX673" s="13"/>
      <c r="BY673" s="13"/>
      <c r="BZ673" s="13"/>
      <c r="CA673" s="13"/>
      <c r="CB673" s="13"/>
      <c r="CC673" s="13"/>
      <c r="CD673" s="13"/>
      <c r="CE673" s="13"/>
      <c r="CF673" s="13"/>
      <c r="CG673" s="13"/>
      <c r="CH673" s="13"/>
      <c r="CI673" s="13"/>
      <c r="CJ673" s="13"/>
      <c r="CK673" s="13"/>
      <c r="CL673" s="13"/>
      <c r="CM673" s="13"/>
      <c r="CN673" s="13"/>
      <c r="CO673" s="13"/>
      <c r="CP673" s="13"/>
      <c r="CQ673" s="13"/>
      <c r="CR673" s="13"/>
      <c r="CS673" s="13"/>
      <c r="CT673" s="13"/>
      <c r="CU673" s="13"/>
    </row>
    <row r="674" spans="1:99" ht="12.75">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c r="AH674" s="13"/>
      <c r="AI674" s="13"/>
      <c r="AJ674" s="13"/>
      <c r="AK674" s="13"/>
      <c r="AL674" s="13"/>
      <c r="AM674" s="13"/>
      <c r="AN674" s="13"/>
      <c r="AO674" s="13"/>
      <c r="AP674" s="13"/>
      <c r="AQ674" s="13"/>
      <c r="AR674" s="13"/>
      <c r="AS674" s="13"/>
      <c r="AT674" s="13"/>
      <c r="AU674" s="13"/>
      <c r="AV674" s="13"/>
      <c r="AW674" s="13"/>
      <c r="AX674" s="13"/>
      <c r="AY674" s="13"/>
      <c r="AZ674" s="13"/>
      <c r="BA674" s="13"/>
      <c r="BB674" s="13"/>
      <c r="BC674" s="13"/>
      <c r="BD674" s="13"/>
      <c r="BE674" s="13"/>
      <c r="BF674" s="13"/>
      <c r="BG674" s="13"/>
      <c r="BH674" s="13"/>
      <c r="BI674" s="13"/>
      <c r="BJ674" s="13"/>
      <c r="BK674" s="13"/>
      <c r="BL674" s="13"/>
      <c r="BM674" s="13"/>
      <c r="BN674" s="13"/>
      <c r="BO674" s="13"/>
      <c r="BP674" s="13"/>
      <c r="BQ674" s="13"/>
      <c r="BR674" s="13"/>
      <c r="BS674" s="13"/>
      <c r="BT674" s="13"/>
      <c r="BU674" s="13"/>
      <c r="BV674" s="13"/>
      <c r="BW674" s="13"/>
      <c r="BX674" s="13"/>
      <c r="BY674" s="13"/>
      <c r="BZ674" s="13"/>
      <c r="CA674" s="13"/>
      <c r="CB674" s="13"/>
      <c r="CC674" s="13"/>
      <c r="CD674" s="13"/>
      <c r="CE674" s="13"/>
      <c r="CF674" s="13"/>
      <c r="CG674" s="13"/>
      <c r="CH674" s="13"/>
      <c r="CI674" s="13"/>
      <c r="CJ674" s="13"/>
      <c r="CK674" s="13"/>
      <c r="CL674" s="13"/>
      <c r="CM674" s="13"/>
      <c r="CN674" s="13"/>
      <c r="CO674" s="13"/>
      <c r="CP674" s="13"/>
      <c r="CQ674" s="13"/>
      <c r="CR674" s="13"/>
      <c r="CS674" s="13"/>
      <c r="CT674" s="13"/>
      <c r="CU674" s="13"/>
    </row>
    <row r="675" spans="1:99" ht="12.75">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c r="AH675" s="13"/>
      <c r="AI675" s="13"/>
      <c r="AJ675" s="13"/>
      <c r="AK675" s="13"/>
      <c r="AL675" s="13"/>
      <c r="AM675" s="13"/>
      <c r="AN675" s="13"/>
      <c r="AO675" s="13"/>
      <c r="AP675" s="13"/>
      <c r="AQ675" s="13"/>
      <c r="AR675" s="13"/>
      <c r="AS675" s="13"/>
      <c r="AT675" s="13"/>
      <c r="AU675" s="13"/>
      <c r="AV675" s="13"/>
      <c r="AW675" s="13"/>
      <c r="AX675" s="13"/>
      <c r="AY675" s="13"/>
      <c r="AZ675" s="13"/>
      <c r="BA675" s="13"/>
      <c r="BB675" s="13"/>
      <c r="BC675" s="13"/>
      <c r="BD675" s="13"/>
      <c r="BE675" s="13"/>
      <c r="BF675" s="13"/>
      <c r="BG675" s="13"/>
      <c r="BH675" s="13"/>
      <c r="BI675" s="13"/>
      <c r="BJ675" s="13"/>
      <c r="BK675" s="13"/>
      <c r="BL675" s="13"/>
      <c r="BM675" s="13"/>
      <c r="BN675" s="13"/>
      <c r="BO675" s="13"/>
      <c r="BP675" s="13"/>
      <c r="BQ675" s="13"/>
      <c r="BR675" s="13"/>
      <c r="BS675" s="13"/>
      <c r="BT675" s="13"/>
      <c r="BU675" s="13"/>
      <c r="BV675" s="13"/>
      <c r="BW675" s="13"/>
      <c r="BX675" s="13"/>
      <c r="BY675" s="13"/>
      <c r="BZ675" s="13"/>
      <c r="CA675" s="13"/>
      <c r="CB675" s="13"/>
      <c r="CC675" s="13"/>
      <c r="CD675" s="13"/>
      <c r="CE675" s="13"/>
      <c r="CF675" s="13"/>
      <c r="CG675" s="13"/>
      <c r="CH675" s="13"/>
      <c r="CI675" s="13"/>
      <c r="CJ675" s="13"/>
      <c r="CK675" s="13"/>
      <c r="CL675" s="13"/>
      <c r="CM675" s="13"/>
      <c r="CN675" s="13"/>
      <c r="CO675" s="13"/>
      <c r="CP675" s="13"/>
      <c r="CQ675" s="13"/>
      <c r="CR675" s="13"/>
      <c r="CS675" s="13"/>
      <c r="CT675" s="13"/>
      <c r="CU675" s="13"/>
    </row>
    <row r="676" spans="1:99" ht="12.75">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c r="AH676" s="13"/>
      <c r="AI676" s="13"/>
      <c r="AJ676" s="13"/>
      <c r="AK676" s="13"/>
      <c r="AL676" s="13"/>
      <c r="AM676" s="13"/>
      <c r="AN676" s="13"/>
      <c r="AO676" s="13"/>
      <c r="AP676" s="13"/>
      <c r="AQ676" s="13"/>
      <c r="AR676" s="13"/>
      <c r="AS676" s="13"/>
      <c r="AT676" s="13"/>
      <c r="AU676" s="13"/>
      <c r="AV676" s="13"/>
      <c r="AW676" s="13"/>
      <c r="AX676" s="13"/>
      <c r="AY676" s="13"/>
      <c r="AZ676" s="13"/>
      <c r="BA676" s="13"/>
      <c r="BB676" s="13"/>
      <c r="BC676" s="13"/>
      <c r="BD676" s="13"/>
      <c r="BE676" s="13"/>
      <c r="BF676" s="13"/>
      <c r="BG676" s="13"/>
      <c r="BH676" s="13"/>
      <c r="BI676" s="13"/>
      <c r="BJ676" s="13"/>
      <c r="BK676" s="13"/>
      <c r="BL676" s="13"/>
      <c r="BM676" s="13"/>
      <c r="BN676" s="13"/>
      <c r="BO676" s="13"/>
      <c r="BP676" s="13"/>
      <c r="BQ676" s="13"/>
      <c r="BR676" s="13"/>
      <c r="BS676" s="13"/>
      <c r="BT676" s="13"/>
      <c r="BU676" s="13"/>
      <c r="BV676" s="13"/>
      <c r="BW676" s="13"/>
      <c r="BX676" s="13"/>
      <c r="BY676" s="13"/>
      <c r="BZ676" s="13"/>
      <c r="CA676" s="13"/>
      <c r="CB676" s="13"/>
      <c r="CC676" s="13"/>
      <c r="CD676" s="13"/>
      <c r="CE676" s="13"/>
      <c r="CF676" s="13"/>
      <c r="CG676" s="13"/>
      <c r="CH676" s="13"/>
      <c r="CI676" s="13"/>
      <c r="CJ676" s="13"/>
      <c r="CK676" s="13"/>
      <c r="CL676" s="13"/>
      <c r="CM676" s="13"/>
      <c r="CN676" s="13"/>
      <c r="CO676" s="13"/>
      <c r="CP676" s="13"/>
      <c r="CQ676" s="13"/>
      <c r="CR676" s="13"/>
      <c r="CS676" s="13"/>
      <c r="CT676" s="13"/>
      <c r="CU676" s="13"/>
    </row>
    <row r="677" spans="1:99" ht="12.75">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c r="AH677" s="13"/>
      <c r="AI677" s="13"/>
      <c r="AJ677" s="13"/>
      <c r="AK677" s="13"/>
      <c r="AL677" s="13"/>
      <c r="AM677" s="13"/>
      <c r="AN677" s="13"/>
      <c r="AO677" s="13"/>
      <c r="AP677" s="13"/>
      <c r="AQ677" s="13"/>
      <c r="AR677" s="13"/>
      <c r="AS677" s="13"/>
      <c r="AT677" s="13"/>
      <c r="AU677" s="13"/>
      <c r="AV677" s="13"/>
      <c r="AW677" s="13"/>
      <c r="AX677" s="13"/>
      <c r="AY677" s="13"/>
      <c r="AZ677" s="13"/>
      <c r="BA677" s="13"/>
      <c r="BB677" s="13"/>
      <c r="BC677" s="13"/>
      <c r="BD677" s="13"/>
      <c r="BE677" s="13"/>
      <c r="BF677" s="13"/>
      <c r="BG677" s="13"/>
      <c r="BH677" s="13"/>
      <c r="BI677" s="13"/>
      <c r="BJ677" s="13"/>
      <c r="BK677" s="13"/>
      <c r="BL677" s="13"/>
      <c r="BM677" s="13"/>
      <c r="BN677" s="13"/>
      <c r="BO677" s="13"/>
      <c r="BP677" s="13"/>
      <c r="BQ677" s="13"/>
      <c r="BR677" s="13"/>
      <c r="BS677" s="13"/>
      <c r="BT677" s="13"/>
      <c r="BU677" s="13"/>
      <c r="BV677" s="13"/>
      <c r="BW677" s="13"/>
      <c r="BX677" s="13"/>
      <c r="BY677" s="13"/>
      <c r="BZ677" s="13"/>
      <c r="CA677" s="13"/>
      <c r="CB677" s="13"/>
      <c r="CC677" s="13"/>
      <c r="CD677" s="13"/>
      <c r="CE677" s="13"/>
      <c r="CF677" s="13"/>
      <c r="CG677" s="13"/>
      <c r="CH677" s="13"/>
      <c r="CI677" s="13"/>
      <c r="CJ677" s="13"/>
      <c r="CK677" s="13"/>
      <c r="CL677" s="13"/>
      <c r="CM677" s="13"/>
      <c r="CN677" s="13"/>
      <c r="CO677" s="13"/>
      <c r="CP677" s="13"/>
      <c r="CQ677" s="13"/>
      <c r="CR677" s="13"/>
      <c r="CS677" s="13"/>
      <c r="CT677" s="13"/>
      <c r="CU677" s="13"/>
    </row>
    <row r="678" spans="1:99" ht="12.75">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13"/>
      <c r="AO678" s="13"/>
      <c r="AP678" s="13"/>
      <c r="AQ678" s="13"/>
      <c r="AR678" s="13"/>
      <c r="AS678" s="13"/>
      <c r="AT678" s="13"/>
      <c r="AU678" s="13"/>
      <c r="AV678" s="13"/>
      <c r="AW678" s="13"/>
      <c r="AX678" s="13"/>
      <c r="AY678" s="13"/>
      <c r="AZ678" s="13"/>
      <c r="BA678" s="13"/>
      <c r="BB678" s="13"/>
      <c r="BC678" s="13"/>
      <c r="BD678" s="13"/>
      <c r="BE678" s="13"/>
      <c r="BF678" s="13"/>
      <c r="BG678" s="13"/>
      <c r="BH678" s="13"/>
      <c r="BI678" s="13"/>
      <c r="BJ678" s="13"/>
      <c r="BK678" s="13"/>
      <c r="BL678" s="13"/>
      <c r="BM678" s="13"/>
      <c r="BN678" s="13"/>
      <c r="BO678" s="13"/>
      <c r="BP678" s="13"/>
      <c r="BQ678" s="13"/>
      <c r="BR678" s="13"/>
      <c r="BS678" s="13"/>
      <c r="BT678" s="13"/>
      <c r="BU678" s="13"/>
      <c r="BV678" s="13"/>
      <c r="BW678" s="13"/>
      <c r="BX678" s="13"/>
      <c r="BY678" s="13"/>
      <c r="BZ678" s="13"/>
      <c r="CA678" s="13"/>
      <c r="CB678" s="13"/>
      <c r="CC678" s="13"/>
      <c r="CD678" s="13"/>
      <c r="CE678" s="13"/>
      <c r="CF678" s="13"/>
      <c r="CG678" s="13"/>
      <c r="CH678" s="13"/>
      <c r="CI678" s="13"/>
      <c r="CJ678" s="13"/>
      <c r="CK678" s="13"/>
      <c r="CL678" s="13"/>
      <c r="CM678" s="13"/>
      <c r="CN678" s="13"/>
      <c r="CO678" s="13"/>
      <c r="CP678" s="13"/>
      <c r="CQ678" s="13"/>
      <c r="CR678" s="13"/>
      <c r="CS678" s="13"/>
      <c r="CT678" s="13"/>
      <c r="CU678" s="13"/>
    </row>
    <row r="679" spans="1:99" ht="12.75">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c r="AH679" s="13"/>
      <c r="AI679" s="13"/>
      <c r="AJ679" s="13"/>
      <c r="AK679" s="13"/>
      <c r="AL679" s="13"/>
      <c r="AM679" s="13"/>
      <c r="AN679" s="13"/>
      <c r="AO679" s="13"/>
      <c r="AP679" s="13"/>
      <c r="AQ679" s="13"/>
      <c r="AR679" s="13"/>
      <c r="AS679" s="13"/>
      <c r="AT679" s="13"/>
      <c r="AU679" s="13"/>
      <c r="AV679" s="13"/>
      <c r="AW679" s="13"/>
      <c r="AX679" s="13"/>
      <c r="AY679" s="13"/>
      <c r="AZ679" s="13"/>
      <c r="BA679" s="13"/>
      <c r="BB679" s="13"/>
      <c r="BC679" s="13"/>
      <c r="BD679" s="13"/>
      <c r="BE679" s="13"/>
      <c r="BF679" s="13"/>
      <c r="BG679" s="13"/>
      <c r="BH679" s="13"/>
      <c r="BI679" s="13"/>
      <c r="BJ679" s="13"/>
      <c r="BK679" s="13"/>
      <c r="BL679" s="13"/>
      <c r="BM679" s="13"/>
      <c r="BN679" s="13"/>
      <c r="BO679" s="13"/>
      <c r="BP679" s="13"/>
      <c r="BQ679" s="13"/>
      <c r="BR679" s="13"/>
      <c r="BS679" s="13"/>
      <c r="BT679" s="13"/>
      <c r="BU679" s="13"/>
      <c r="BV679" s="13"/>
      <c r="BW679" s="13"/>
      <c r="BX679" s="13"/>
      <c r="BY679" s="13"/>
      <c r="BZ679" s="13"/>
      <c r="CA679" s="13"/>
      <c r="CB679" s="13"/>
      <c r="CC679" s="13"/>
      <c r="CD679" s="13"/>
      <c r="CE679" s="13"/>
      <c r="CF679" s="13"/>
      <c r="CG679" s="13"/>
      <c r="CH679" s="13"/>
      <c r="CI679" s="13"/>
      <c r="CJ679" s="13"/>
      <c r="CK679" s="13"/>
      <c r="CL679" s="13"/>
      <c r="CM679" s="13"/>
      <c r="CN679" s="13"/>
      <c r="CO679" s="13"/>
      <c r="CP679" s="13"/>
      <c r="CQ679" s="13"/>
      <c r="CR679" s="13"/>
      <c r="CS679" s="13"/>
      <c r="CT679" s="13"/>
      <c r="CU679" s="13"/>
    </row>
    <row r="680" spans="1:99" ht="12.75">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3"/>
      <c r="AJ680" s="13"/>
      <c r="AK680" s="13"/>
      <c r="AL680" s="13"/>
      <c r="AM680" s="13"/>
      <c r="AN680" s="13"/>
      <c r="AO680" s="13"/>
      <c r="AP680" s="13"/>
      <c r="AQ680" s="13"/>
      <c r="AR680" s="13"/>
      <c r="AS680" s="13"/>
      <c r="AT680" s="13"/>
      <c r="AU680" s="13"/>
      <c r="AV680" s="13"/>
      <c r="AW680" s="13"/>
      <c r="AX680" s="13"/>
      <c r="AY680" s="13"/>
      <c r="AZ680" s="13"/>
      <c r="BA680" s="13"/>
      <c r="BB680" s="13"/>
      <c r="BC680" s="13"/>
      <c r="BD680" s="13"/>
      <c r="BE680" s="13"/>
      <c r="BF680" s="13"/>
      <c r="BG680" s="13"/>
      <c r="BH680" s="13"/>
      <c r="BI680" s="13"/>
      <c r="BJ680" s="13"/>
      <c r="BK680" s="13"/>
      <c r="BL680" s="13"/>
      <c r="BM680" s="13"/>
      <c r="BN680" s="13"/>
      <c r="BO680" s="13"/>
      <c r="BP680" s="13"/>
      <c r="BQ680" s="13"/>
      <c r="BR680" s="13"/>
      <c r="BS680" s="13"/>
      <c r="BT680" s="13"/>
      <c r="BU680" s="13"/>
      <c r="BV680" s="13"/>
      <c r="BW680" s="13"/>
      <c r="BX680" s="13"/>
      <c r="BY680" s="13"/>
      <c r="BZ680" s="13"/>
      <c r="CA680" s="13"/>
      <c r="CB680" s="13"/>
      <c r="CC680" s="13"/>
      <c r="CD680" s="13"/>
      <c r="CE680" s="13"/>
      <c r="CF680" s="13"/>
      <c r="CG680" s="13"/>
      <c r="CH680" s="13"/>
      <c r="CI680" s="13"/>
      <c r="CJ680" s="13"/>
      <c r="CK680" s="13"/>
      <c r="CL680" s="13"/>
      <c r="CM680" s="13"/>
      <c r="CN680" s="13"/>
      <c r="CO680" s="13"/>
      <c r="CP680" s="13"/>
      <c r="CQ680" s="13"/>
      <c r="CR680" s="13"/>
      <c r="CS680" s="13"/>
      <c r="CT680" s="13"/>
      <c r="CU680" s="13"/>
    </row>
    <row r="681" spans="1:99" ht="12.75">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c r="AH681" s="13"/>
      <c r="AI681" s="13"/>
      <c r="AJ681" s="13"/>
      <c r="AK681" s="13"/>
      <c r="AL681" s="13"/>
      <c r="AM681" s="13"/>
      <c r="AN681" s="13"/>
      <c r="AO681" s="13"/>
      <c r="AP681" s="13"/>
      <c r="AQ681" s="13"/>
      <c r="AR681" s="13"/>
      <c r="AS681" s="13"/>
      <c r="AT681" s="13"/>
      <c r="AU681" s="13"/>
      <c r="AV681" s="13"/>
      <c r="AW681" s="13"/>
      <c r="AX681" s="13"/>
      <c r="AY681" s="13"/>
      <c r="AZ681" s="13"/>
      <c r="BA681" s="13"/>
      <c r="BB681" s="13"/>
      <c r="BC681" s="13"/>
      <c r="BD681" s="13"/>
      <c r="BE681" s="13"/>
      <c r="BF681" s="13"/>
      <c r="BG681" s="13"/>
      <c r="BH681" s="13"/>
      <c r="BI681" s="13"/>
      <c r="BJ681" s="13"/>
      <c r="BK681" s="13"/>
      <c r="BL681" s="13"/>
      <c r="BM681" s="13"/>
      <c r="BN681" s="13"/>
      <c r="BO681" s="13"/>
      <c r="BP681" s="13"/>
      <c r="BQ681" s="13"/>
      <c r="BR681" s="13"/>
      <c r="BS681" s="13"/>
      <c r="BT681" s="13"/>
      <c r="BU681" s="13"/>
      <c r="BV681" s="13"/>
      <c r="BW681" s="13"/>
      <c r="BX681" s="13"/>
      <c r="BY681" s="13"/>
      <c r="BZ681" s="13"/>
      <c r="CA681" s="13"/>
      <c r="CB681" s="13"/>
      <c r="CC681" s="13"/>
      <c r="CD681" s="13"/>
      <c r="CE681" s="13"/>
      <c r="CF681" s="13"/>
      <c r="CG681" s="13"/>
      <c r="CH681" s="13"/>
      <c r="CI681" s="13"/>
      <c r="CJ681" s="13"/>
      <c r="CK681" s="13"/>
      <c r="CL681" s="13"/>
      <c r="CM681" s="13"/>
      <c r="CN681" s="13"/>
      <c r="CO681" s="13"/>
      <c r="CP681" s="13"/>
      <c r="CQ681" s="13"/>
      <c r="CR681" s="13"/>
      <c r="CS681" s="13"/>
      <c r="CT681" s="13"/>
      <c r="CU681" s="13"/>
    </row>
    <row r="682" spans="1:99" ht="12.75">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c r="AH682" s="13"/>
      <c r="AI682" s="13"/>
      <c r="AJ682" s="13"/>
      <c r="AK682" s="13"/>
      <c r="AL682" s="13"/>
      <c r="AM682" s="13"/>
      <c r="AN682" s="13"/>
      <c r="AO682" s="13"/>
      <c r="AP682" s="13"/>
      <c r="AQ682" s="13"/>
      <c r="AR682" s="13"/>
      <c r="AS682" s="13"/>
      <c r="AT682" s="13"/>
      <c r="AU682" s="13"/>
      <c r="AV682" s="13"/>
      <c r="AW682" s="13"/>
      <c r="AX682" s="13"/>
      <c r="AY682" s="13"/>
      <c r="AZ682" s="13"/>
      <c r="BA682" s="13"/>
      <c r="BB682" s="13"/>
      <c r="BC682" s="13"/>
      <c r="BD682" s="13"/>
      <c r="BE682" s="13"/>
      <c r="BF682" s="13"/>
      <c r="BG682" s="13"/>
      <c r="BH682" s="13"/>
      <c r="BI682" s="13"/>
      <c r="BJ682" s="13"/>
      <c r="BK682" s="13"/>
      <c r="BL682" s="13"/>
      <c r="BM682" s="13"/>
      <c r="BN682" s="13"/>
      <c r="BO682" s="13"/>
      <c r="BP682" s="13"/>
      <c r="BQ682" s="13"/>
      <c r="BR682" s="13"/>
      <c r="BS682" s="13"/>
      <c r="BT682" s="13"/>
      <c r="BU682" s="13"/>
      <c r="BV682" s="13"/>
      <c r="BW682" s="13"/>
      <c r="BX682" s="13"/>
      <c r="BY682" s="13"/>
      <c r="BZ682" s="13"/>
      <c r="CA682" s="13"/>
      <c r="CB682" s="13"/>
      <c r="CC682" s="13"/>
      <c r="CD682" s="13"/>
      <c r="CE682" s="13"/>
      <c r="CF682" s="13"/>
      <c r="CG682" s="13"/>
      <c r="CH682" s="13"/>
      <c r="CI682" s="13"/>
      <c r="CJ682" s="13"/>
      <c r="CK682" s="13"/>
      <c r="CL682" s="13"/>
      <c r="CM682" s="13"/>
      <c r="CN682" s="13"/>
      <c r="CO682" s="13"/>
      <c r="CP682" s="13"/>
      <c r="CQ682" s="13"/>
      <c r="CR682" s="13"/>
      <c r="CS682" s="13"/>
      <c r="CT682" s="13"/>
      <c r="CU682" s="13"/>
    </row>
    <row r="683" spans="1:99" ht="12.75">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c r="AH683" s="13"/>
      <c r="AI683" s="13"/>
      <c r="AJ683" s="13"/>
      <c r="AK683" s="13"/>
      <c r="AL683" s="13"/>
      <c r="AM683" s="13"/>
      <c r="AN683" s="13"/>
      <c r="AO683" s="13"/>
      <c r="AP683" s="13"/>
      <c r="AQ683" s="13"/>
      <c r="AR683" s="13"/>
      <c r="AS683" s="13"/>
      <c r="AT683" s="13"/>
      <c r="AU683" s="13"/>
      <c r="AV683" s="13"/>
      <c r="AW683" s="13"/>
      <c r="AX683" s="13"/>
      <c r="AY683" s="13"/>
      <c r="AZ683" s="13"/>
      <c r="BA683" s="13"/>
      <c r="BB683" s="13"/>
      <c r="BC683" s="13"/>
      <c r="BD683" s="13"/>
      <c r="BE683" s="13"/>
      <c r="BF683" s="13"/>
      <c r="BG683" s="13"/>
      <c r="BH683" s="13"/>
      <c r="BI683" s="13"/>
      <c r="BJ683" s="13"/>
      <c r="BK683" s="13"/>
      <c r="BL683" s="13"/>
      <c r="BM683" s="13"/>
      <c r="BN683" s="13"/>
      <c r="BO683" s="13"/>
      <c r="BP683" s="13"/>
      <c r="BQ683" s="13"/>
      <c r="BR683" s="13"/>
      <c r="BS683" s="13"/>
      <c r="BT683" s="13"/>
      <c r="BU683" s="13"/>
      <c r="BV683" s="13"/>
      <c r="BW683" s="13"/>
      <c r="BX683" s="13"/>
      <c r="BY683" s="13"/>
      <c r="BZ683" s="13"/>
      <c r="CA683" s="13"/>
      <c r="CB683" s="13"/>
      <c r="CC683" s="13"/>
      <c r="CD683" s="13"/>
      <c r="CE683" s="13"/>
      <c r="CF683" s="13"/>
      <c r="CG683" s="13"/>
      <c r="CH683" s="13"/>
      <c r="CI683" s="13"/>
      <c r="CJ683" s="13"/>
      <c r="CK683" s="13"/>
      <c r="CL683" s="13"/>
      <c r="CM683" s="13"/>
      <c r="CN683" s="13"/>
      <c r="CO683" s="13"/>
      <c r="CP683" s="13"/>
      <c r="CQ683" s="13"/>
      <c r="CR683" s="13"/>
      <c r="CS683" s="13"/>
      <c r="CT683" s="13"/>
      <c r="CU683" s="13"/>
    </row>
    <row r="684" spans="1:99" ht="12.75">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c r="AH684" s="13"/>
      <c r="AI684" s="13"/>
      <c r="AJ684" s="13"/>
      <c r="AK684" s="13"/>
      <c r="AL684" s="13"/>
      <c r="AM684" s="13"/>
      <c r="AN684" s="13"/>
      <c r="AO684" s="13"/>
      <c r="AP684" s="13"/>
      <c r="AQ684" s="13"/>
      <c r="AR684" s="13"/>
      <c r="AS684" s="13"/>
      <c r="AT684" s="13"/>
      <c r="AU684" s="13"/>
      <c r="AV684" s="13"/>
      <c r="AW684" s="13"/>
      <c r="AX684" s="13"/>
      <c r="AY684" s="13"/>
      <c r="AZ684" s="13"/>
      <c r="BA684" s="13"/>
      <c r="BB684" s="13"/>
      <c r="BC684" s="13"/>
      <c r="BD684" s="13"/>
      <c r="BE684" s="13"/>
      <c r="BF684" s="13"/>
      <c r="BG684" s="13"/>
      <c r="BH684" s="13"/>
      <c r="BI684" s="13"/>
      <c r="BJ684" s="13"/>
      <c r="BK684" s="13"/>
      <c r="BL684" s="13"/>
      <c r="BM684" s="13"/>
      <c r="BN684" s="13"/>
      <c r="BO684" s="13"/>
      <c r="BP684" s="13"/>
      <c r="BQ684" s="13"/>
      <c r="BR684" s="13"/>
      <c r="BS684" s="13"/>
      <c r="BT684" s="13"/>
      <c r="BU684" s="13"/>
      <c r="BV684" s="13"/>
      <c r="BW684" s="13"/>
      <c r="BX684" s="13"/>
      <c r="BY684" s="13"/>
      <c r="BZ684" s="13"/>
      <c r="CA684" s="13"/>
      <c r="CB684" s="13"/>
      <c r="CC684" s="13"/>
      <c r="CD684" s="13"/>
      <c r="CE684" s="13"/>
      <c r="CF684" s="13"/>
      <c r="CG684" s="13"/>
      <c r="CH684" s="13"/>
      <c r="CI684" s="13"/>
      <c r="CJ684" s="13"/>
      <c r="CK684" s="13"/>
      <c r="CL684" s="13"/>
      <c r="CM684" s="13"/>
      <c r="CN684" s="13"/>
      <c r="CO684" s="13"/>
      <c r="CP684" s="13"/>
      <c r="CQ684" s="13"/>
      <c r="CR684" s="13"/>
      <c r="CS684" s="13"/>
      <c r="CT684" s="13"/>
      <c r="CU684" s="13"/>
    </row>
    <row r="685" spans="1:99" ht="12.75">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c r="AH685" s="13"/>
      <c r="AI685" s="13"/>
      <c r="AJ685" s="13"/>
      <c r="AK685" s="13"/>
      <c r="AL685" s="13"/>
      <c r="AM685" s="13"/>
      <c r="AN685" s="13"/>
      <c r="AO685" s="13"/>
      <c r="AP685" s="13"/>
      <c r="AQ685" s="13"/>
      <c r="AR685" s="13"/>
      <c r="AS685" s="13"/>
      <c r="AT685" s="13"/>
      <c r="AU685" s="13"/>
      <c r="AV685" s="13"/>
      <c r="AW685" s="13"/>
      <c r="AX685" s="13"/>
      <c r="AY685" s="13"/>
      <c r="AZ685" s="13"/>
      <c r="BA685" s="13"/>
      <c r="BB685" s="13"/>
      <c r="BC685" s="13"/>
      <c r="BD685" s="13"/>
      <c r="BE685" s="13"/>
      <c r="BF685" s="13"/>
      <c r="BG685" s="13"/>
      <c r="BH685" s="13"/>
      <c r="BI685" s="13"/>
      <c r="BJ685" s="13"/>
      <c r="BK685" s="13"/>
      <c r="BL685" s="13"/>
      <c r="BM685" s="13"/>
      <c r="BN685" s="13"/>
      <c r="BO685" s="13"/>
      <c r="BP685" s="13"/>
      <c r="BQ685" s="13"/>
      <c r="BR685" s="13"/>
      <c r="BS685" s="13"/>
      <c r="BT685" s="13"/>
      <c r="BU685" s="13"/>
      <c r="BV685" s="13"/>
      <c r="BW685" s="13"/>
      <c r="BX685" s="13"/>
      <c r="BY685" s="13"/>
      <c r="BZ685" s="13"/>
      <c r="CA685" s="13"/>
      <c r="CB685" s="13"/>
      <c r="CC685" s="13"/>
      <c r="CD685" s="13"/>
      <c r="CE685" s="13"/>
      <c r="CF685" s="13"/>
      <c r="CG685" s="13"/>
      <c r="CH685" s="13"/>
      <c r="CI685" s="13"/>
      <c r="CJ685" s="13"/>
      <c r="CK685" s="13"/>
      <c r="CL685" s="13"/>
      <c r="CM685" s="13"/>
      <c r="CN685" s="13"/>
      <c r="CO685" s="13"/>
      <c r="CP685" s="13"/>
      <c r="CQ685" s="13"/>
      <c r="CR685" s="13"/>
      <c r="CS685" s="13"/>
      <c r="CT685" s="13"/>
      <c r="CU685" s="13"/>
    </row>
    <row r="686" spans="1:99" ht="12.75">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c r="AO686" s="13"/>
      <c r="AP686" s="13"/>
      <c r="AQ686" s="13"/>
      <c r="AR686" s="13"/>
      <c r="AS686" s="13"/>
      <c r="AT686" s="13"/>
      <c r="AU686" s="13"/>
      <c r="AV686" s="13"/>
      <c r="AW686" s="13"/>
      <c r="AX686" s="13"/>
      <c r="AY686" s="13"/>
      <c r="AZ686" s="13"/>
      <c r="BA686" s="13"/>
      <c r="BB686" s="13"/>
      <c r="BC686" s="13"/>
      <c r="BD686" s="13"/>
      <c r="BE686" s="13"/>
      <c r="BF686" s="13"/>
      <c r="BG686" s="13"/>
      <c r="BH686" s="13"/>
      <c r="BI686" s="13"/>
      <c r="BJ686" s="13"/>
      <c r="BK686" s="13"/>
      <c r="BL686" s="13"/>
      <c r="BM686" s="13"/>
      <c r="BN686" s="13"/>
      <c r="BO686" s="13"/>
      <c r="BP686" s="13"/>
      <c r="BQ686" s="13"/>
      <c r="BR686" s="13"/>
      <c r="BS686" s="13"/>
      <c r="BT686" s="13"/>
      <c r="BU686" s="13"/>
      <c r="BV686" s="13"/>
      <c r="BW686" s="13"/>
      <c r="BX686" s="13"/>
      <c r="BY686" s="13"/>
      <c r="BZ686" s="13"/>
      <c r="CA686" s="13"/>
      <c r="CB686" s="13"/>
      <c r="CC686" s="13"/>
      <c r="CD686" s="13"/>
      <c r="CE686" s="13"/>
      <c r="CF686" s="13"/>
      <c r="CG686" s="13"/>
      <c r="CH686" s="13"/>
      <c r="CI686" s="13"/>
      <c r="CJ686" s="13"/>
      <c r="CK686" s="13"/>
      <c r="CL686" s="13"/>
      <c r="CM686" s="13"/>
      <c r="CN686" s="13"/>
      <c r="CO686" s="13"/>
      <c r="CP686" s="13"/>
      <c r="CQ686" s="13"/>
      <c r="CR686" s="13"/>
      <c r="CS686" s="13"/>
      <c r="CT686" s="13"/>
      <c r="CU686" s="13"/>
    </row>
    <row r="687" spans="1:99" ht="12.75">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c r="AH687" s="13"/>
      <c r="AI687" s="13"/>
      <c r="AJ687" s="13"/>
      <c r="AK687" s="13"/>
      <c r="AL687" s="13"/>
      <c r="AM687" s="13"/>
      <c r="AN687" s="13"/>
      <c r="AO687" s="13"/>
      <c r="AP687" s="13"/>
      <c r="AQ687" s="13"/>
      <c r="AR687" s="13"/>
      <c r="AS687" s="13"/>
      <c r="AT687" s="13"/>
      <c r="AU687" s="13"/>
      <c r="AV687" s="13"/>
      <c r="AW687" s="13"/>
      <c r="AX687" s="13"/>
      <c r="AY687" s="13"/>
      <c r="AZ687" s="13"/>
      <c r="BA687" s="13"/>
      <c r="BB687" s="13"/>
      <c r="BC687" s="13"/>
      <c r="BD687" s="13"/>
      <c r="BE687" s="13"/>
      <c r="BF687" s="13"/>
      <c r="BG687" s="13"/>
      <c r="BH687" s="13"/>
      <c r="BI687" s="13"/>
      <c r="BJ687" s="13"/>
      <c r="BK687" s="13"/>
      <c r="BL687" s="13"/>
      <c r="BM687" s="13"/>
      <c r="BN687" s="13"/>
      <c r="BO687" s="13"/>
      <c r="BP687" s="13"/>
      <c r="BQ687" s="13"/>
      <c r="BR687" s="13"/>
      <c r="BS687" s="13"/>
      <c r="BT687" s="13"/>
      <c r="BU687" s="13"/>
      <c r="BV687" s="13"/>
      <c r="BW687" s="13"/>
      <c r="BX687" s="13"/>
      <c r="BY687" s="13"/>
      <c r="BZ687" s="13"/>
      <c r="CA687" s="13"/>
      <c r="CB687" s="13"/>
      <c r="CC687" s="13"/>
      <c r="CD687" s="13"/>
      <c r="CE687" s="13"/>
      <c r="CF687" s="13"/>
      <c r="CG687" s="13"/>
      <c r="CH687" s="13"/>
      <c r="CI687" s="13"/>
      <c r="CJ687" s="13"/>
      <c r="CK687" s="13"/>
      <c r="CL687" s="13"/>
      <c r="CM687" s="13"/>
      <c r="CN687" s="13"/>
      <c r="CO687" s="13"/>
      <c r="CP687" s="13"/>
      <c r="CQ687" s="13"/>
      <c r="CR687" s="13"/>
      <c r="CS687" s="13"/>
      <c r="CT687" s="13"/>
      <c r="CU687" s="13"/>
    </row>
    <row r="688" spans="1:99" ht="12.75">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c r="AH688" s="13"/>
      <c r="AI688" s="13"/>
      <c r="AJ688" s="13"/>
      <c r="AK688" s="13"/>
      <c r="AL688" s="13"/>
      <c r="AM688" s="13"/>
      <c r="AN688" s="13"/>
      <c r="AO688" s="13"/>
      <c r="AP688" s="13"/>
      <c r="AQ688" s="13"/>
      <c r="AR688" s="13"/>
      <c r="AS688" s="13"/>
      <c r="AT688" s="13"/>
      <c r="AU688" s="13"/>
      <c r="AV688" s="13"/>
      <c r="AW688" s="13"/>
      <c r="AX688" s="13"/>
      <c r="AY688" s="13"/>
      <c r="AZ688" s="13"/>
      <c r="BA688" s="13"/>
      <c r="BB688" s="13"/>
      <c r="BC688" s="13"/>
      <c r="BD688" s="13"/>
      <c r="BE688" s="13"/>
      <c r="BF688" s="13"/>
      <c r="BG688" s="13"/>
      <c r="BH688" s="13"/>
      <c r="BI688" s="13"/>
      <c r="BJ688" s="13"/>
      <c r="BK688" s="13"/>
      <c r="BL688" s="13"/>
      <c r="BM688" s="13"/>
      <c r="BN688" s="13"/>
      <c r="BO688" s="13"/>
      <c r="BP688" s="13"/>
      <c r="BQ688" s="13"/>
      <c r="BR688" s="13"/>
      <c r="BS688" s="13"/>
      <c r="BT688" s="13"/>
      <c r="BU688" s="13"/>
      <c r="BV688" s="13"/>
      <c r="BW688" s="13"/>
      <c r="BX688" s="13"/>
      <c r="BY688" s="13"/>
      <c r="BZ688" s="13"/>
      <c r="CA688" s="13"/>
      <c r="CB688" s="13"/>
      <c r="CC688" s="13"/>
      <c r="CD688" s="13"/>
      <c r="CE688" s="13"/>
      <c r="CF688" s="13"/>
      <c r="CG688" s="13"/>
      <c r="CH688" s="13"/>
      <c r="CI688" s="13"/>
      <c r="CJ688" s="13"/>
      <c r="CK688" s="13"/>
      <c r="CL688" s="13"/>
      <c r="CM688" s="13"/>
      <c r="CN688" s="13"/>
      <c r="CO688" s="13"/>
      <c r="CP688" s="13"/>
      <c r="CQ688" s="13"/>
      <c r="CR688" s="13"/>
      <c r="CS688" s="13"/>
      <c r="CT688" s="13"/>
      <c r="CU688" s="13"/>
    </row>
    <row r="689" spans="1:99" ht="12.75">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c r="AH689" s="13"/>
      <c r="AI689" s="13"/>
      <c r="AJ689" s="13"/>
      <c r="AK689" s="13"/>
      <c r="AL689" s="13"/>
      <c r="AM689" s="13"/>
      <c r="AN689" s="13"/>
      <c r="AO689" s="13"/>
      <c r="AP689" s="13"/>
      <c r="AQ689" s="13"/>
      <c r="AR689" s="13"/>
      <c r="AS689" s="13"/>
      <c r="AT689" s="13"/>
      <c r="AU689" s="13"/>
      <c r="AV689" s="13"/>
      <c r="AW689" s="13"/>
      <c r="AX689" s="13"/>
      <c r="AY689" s="13"/>
      <c r="AZ689" s="13"/>
      <c r="BA689" s="13"/>
      <c r="BB689" s="13"/>
      <c r="BC689" s="13"/>
      <c r="BD689" s="13"/>
      <c r="BE689" s="13"/>
      <c r="BF689" s="13"/>
      <c r="BG689" s="13"/>
      <c r="BH689" s="13"/>
      <c r="BI689" s="13"/>
      <c r="BJ689" s="13"/>
      <c r="BK689" s="13"/>
      <c r="BL689" s="13"/>
      <c r="BM689" s="13"/>
      <c r="BN689" s="13"/>
      <c r="BO689" s="13"/>
      <c r="BP689" s="13"/>
      <c r="BQ689" s="13"/>
      <c r="BR689" s="13"/>
      <c r="BS689" s="13"/>
      <c r="BT689" s="13"/>
      <c r="BU689" s="13"/>
      <c r="BV689" s="13"/>
      <c r="BW689" s="13"/>
      <c r="BX689" s="13"/>
      <c r="BY689" s="13"/>
      <c r="BZ689" s="13"/>
      <c r="CA689" s="13"/>
      <c r="CB689" s="13"/>
      <c r="CC689" s="13"/>
      <c r="CD689" s="13"/>
      <c r="CE689" s="13"/>
      <c r="CF689" s="13"/>
      <c r="CG689" s="13"/>
      <c r="CH689" s="13"/>
      <c r="CI689" s="13"/>
      <c r="CJ689" s="13"/>
      <c r="CK689" s="13"/>
      <c r="CL689" s="13"/>
      <c r="CM689" s="13"/>
      <c r="CN689" s="13"/>
      <c r="CO689" s="13"/>
      <c r="CP689" s="13"/>
      <c r="CQ689" s="13"/>
      <c r="CR689" s="13"/>
      <c r="CS689" s="13"/>
      <c r="CT689" s="13"/>
      <c r="CU689" s="13"/>
    </row>
    <row r="690" spans="1:99" ht="12.75">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c r="AH690" s="13"/>
      <c r="AI690" s="13"/>
      <c r="AJ690" s="13"/>
      <c r="AK690" s="13"/>
      <c r="AL690" s="13"/>
      <c r="AM690" s="13"/>
      <c r="AN690" s="13"/>
      <c r="AO690" s="13"/>
      <c r="AP690" s="13"/>
      <c r="AQ690" s="13"/>
      <c r="AR690" s="13"/>
      <c r="AS690" s="13"/>
      <c r="AT690" s="13"/>
      <c r="AU690" s="13"/>
      <c r="AV690" s="13"/>
      <c r="AW690" s="13"/>
      <c r="AX690" s="13"/>
      <c r="AY690" s="13"/>
      <c r="AZ690" s="13"/>
      <c r="BA690" s="13"/>
      <c r="BB690" s="13"/>
      <c r="BC690" s="13"/>
      <c r="BD690" s="13"/>
      <c r="BE690" s="13"/>
      <c r="BF690" s="13"/>
      <c r="BG690" s="13"/>
      <c r="BH690" s="13"/>
      <c r="BI690" s="13"/>
      <c r="BJ690" s="13"/>
      <c r="BK690" s="13"/>
      <c r="BL690" s="13"/>
      <c r="BM690" s="13"/>
      <c r="BN690" s="13"/>
      <c r="BO690" s="13"/>
      <c r="BP690" s="13"/>
      <c r="BQ690" s="13"/>
      <c r="BR690" s="13"/>
      <c r="BS690" s="13"/>
      <c r="BT690" s="13"/>
      <c r="BU690" s="13"/>
      <c r="BV690" s="13"/>
      <c r="BW690" s="13"/>
      <c r="BX690" s="13"/>
      <c r="BY690" s="13"/>
      <c r="BZ690" s="13"/>
      <c r="CA690" s="13"/>
      <c r="CB690" s="13"/>
      <c r="CC690" s="13"/>
      <c r="CD690" s="13"/>
      <c r="CE690" s="13"/>
      <c r="CF690" s="13"/>
      <c r="CG690" s="13"/>
      <c r="CH690" s="13"/>
      <c r="CI690" s="13"/>
      <c r="CJ690" s="13"/>
      <c r="CK690" s="13"/>
      <c r="CL690" s="13"/>
      <c r="CM690" s="13"/>
      <c r="CN690" s="13"/>
      <c r="CO690" s="13"/>
      <c r="CP690" s="13"/>
      <c r="CQ690" s="13"/>
      <c r="CR690" s="13"/>
      <c r="CS690" s="13"/>
      <c r="CT690" s="13"/>
      <c r="CU690" s="13"/>
    </row>
    <row r="691" spans="1:99" ht="12.75">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c r="AH691" s="13"/>
      <c r="AI691" s="13"/>
      <c r="AJ691" s="13"/>
      <c r="AK691" s="13"/>
      <c r="AL691" s="13"/>
      <c r="AM691" s="13"/>
      <c r="AN691" s="13"/>
      <c r="AO691" s="13"/>
      <c r="AP691" s="13"/>
      <c r="AQ691" s="13"/>
      <c r="AR691" s="13"/>
      <c r="AS691" s="13"/>
      <c r="AT691" s="13"/>
      <c r="AU691" s="13"/>
      <c r="AV691" s="13"/>
      <c r="AW691" s="13"/>
      <c r="AX691" s="13"/>
      <c r="AY691" s="13"/>
      <c r="AZ691" s="13"/>
      <c r="BA691" s="13"/>
      <c r="BB691" s="13"/>
      <c r="BC691" s="13"/>
      <c r="BD691" s="13"/>
      <c r="BE691" s="13"/>
      <c r="BF691" s="13"/>
      <c r="BG691" s="13"/>
      <c r="BH691" s="13"/>
      <c r="BI691" s="13"/>
      <c r="BJ691" s="13"/>
      <c r="BK691" s="13"/>
      <c r="BL691" s="13"/>
      <c r="BM691" s="13"/>
      <c r="BN691" s="13"/>
      <c r="BO691" s="13"/>
      <c r="BP691" s="13"/>
      <c r="BQ691" s="13"/>
      <c r="BR691" s="13"/>
      <c r="BS691" s="13"/>
      <c r="BT691" s="13"/>
      <c r="BU691" s="13"/>
      <c r="BV691" s="13"/>
      <c r="BW691" s="13"/>
      <c r="BX691" s="13"/>
      <c r="BY691" s="13"/>
      <c r="BZ691" s="13"/>
      <c r="CA691" s="13"/>
      <c r="CB691" s="13"/>
      <c r="CC691" s="13"/>
      <c r="CD691" s="13"/>
      <c r="CE691" s="13"/>
      <c r="CF691" s="13"/>
      <c r="CG691" s="13"/>
      <c r="CH691" s="13"/>
      <c r="CI691" s="13"/>
      <c r="CJ691" s="13"/>
      <c r="CK691" s="13"/>
      <c r="CL691" s="13"/>
      <c r="CM691" s="13"/>
      <c r="CN691" s="13"/>
      <c r="CO691" s="13"/>
      <c r="CP691" s="13"/>
      <c r="CQ691" s="13"/>
      <c r="CR691" s="13"/>
      <c r="CS691" s="13"/>
      <c r="CT691" s="13"/>
      <c r="CU691" s="13"/>
    </row>
    <row r="692" spans="1:99" ht="12.75">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c r="AN692" s="13"/>
      <c r="AO692" s="13"/>
      <c r="AP692" s="13"/>
      <c r="AQ692" s="13"/>
      <c r="AR692" s="13"/>
      <c r="AS692" s="13"/>
      <c r="AT692" s="13"/>
      <c r="AU692" s="13"/>
      <c r="AV692" s="13"/>
      <c r="AW692" s="13"/>
      <c r="AX692" s="13"/>
      <c r="AY692" s="13"/>
      <c r="AZ692" s="13"/>
      <c r="BA692" s="13"/>
      <c r="BB692" s="13"/>
      <c r="BC692" s="13"/>
      <c r="BD692" s="13"/>
      <c r="BE692" s="13"/>
      <c r="BF692" s="13"/>
      <c r="BG692" s="13"/>
      <c r="BH692" s="13"/>
      <c r="BI692" s="13"/>
      <c r="BJ692" s="13"/>
      <c r="BK692" s="13"/>
      <c r="BL692" s="13"/>
      <c r="BM692" s="13"/>
      <c r="BN692" s="13"/>
      <c r="BO692" s="13"/>
      <c r="BP692" s="13"/>
      <c r="BQ692" s="13"/>
      <c r="BR692" s="13"/>
      <c r="BS692" s="13"/>
      <c r="BT692" s="13"/>
      <c r="BU692" s="13"/>
      <c r="BV692" s="13"/>
      <c r="BW692" s="13"/>
      <c r="BX692" s="13"/>
      <c r="BY692" s="13"/>
      <c r="BZ692" s="13"/>
      <c r="CA692" s="13"/>
      <c r="CB692" s="13"/>
      <c r="CC692" s="13"/>
      <c r="CD692" s="13"/>
      <c r="CE692" s="13"/>
      <c r="CF692" s="13"/>
      <c r="CG692" s="13"/>
      <c r="CH692" s="13"/>
      <c r="CI692" s="13"/>
      <c r="CJ692" s="13"/>
      <c r="CK692" s="13"/>
      <c r="CL692" s="13"/>
      <c r="CM692" s="13"/>
      <c r="CN692" s="13"/>
      <c r="CO692" s="13"/>
      <c r="CP692" s="13"/>
      <c r="CQ692" s="13"/>
      <c r="CR692" s="13"/>
      <c r="CS692" s="13"/>
      <c r="CT692" s="13"/>
      <c r="CU692" s="13"/>
    </row>
    <row r="693" spans="1:99" ht="12.75">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c r="AH693" s="13"/>
      <c r="AI693" s="13"/>
      <c r="AJ693" s="13"/>
      <c r="AK693" s="13"/>
      <c r="AL693" s="13"/>
      <c r="AM693" s="13"/>
      <c r="AN693" s="13"/>
      <c r="AO693" s="13"/>
      <c r="AP693" s="13"/>
      <c r="AQ693" s="13"/>
      <c r="AR693" s="13"/>
      <c r="AS693" s="13"/>
      <c r="AT693" s="13"/>
      <c r="AU693" s="13"/>
      <c r="AV693" s="13"/>
      <c r="AW693" s="13"/>
      <c r="AX693" s="13"/>
      <c r="AY693" s="13"/>
      <c r="AZ693" s="13"/>
      <c r="BA693" s="13"/>
      <c r="BB693" s="13"/>
      <c r="BC693" s="13"/>
      <c r="BD693" s="13"/>
      <c r="BE693" s="13"/>
      <c r="BF693" s="13"/>
      <c r="BG693" s="13"/>
      <c r="BH693" s="13"/>
      <c r="BI693" s="13"/>
      <c r="BJ693" s="13"/>
      <c r="BK693" s="13"/>
      <c r="BL693" s="13"/>
      <c r="BM693" s="13"/>
      <c r="BN693" s="13"/>
      <c r="BO693" s="13"/>
      <c r="BP693" s="13"/>
      <c r="BQ693" s="13"/>
      <c r="BR693" s="13"/>
      <c r="BS693" s="13"/>
      <c r="BT693" s="13"/>
      <c r="BU693" s="13"/>
      <c r="BV693" s="13"/>
      <c r="BW693" s="13"/>
      <c r="BX693" s="13"/>
      <c r="BY693" s="13"/>
      <c r="BZ693" s="13"/>
      <c r="CA693" s="13"/>
      <c r="CB693" s="13"/>
      <c r="CC693" s="13"/>
      <c r="CD693" s="13"/>
      <c r="CE693" s="13"/>
      <c r="CF693" s="13"/>
      <c r="CG693" s="13"/>
      <c r="CH693" s="13"/>
      <c r="CI693" s="13"/>
      <c r="CJ693" s="13"/>
      <c r="CK693" s="13"/>
      <c r="CL693" s="13"/>
      <c r="CM693" s="13"/>
      <c r="CN693" s="13"/>
      <c r="CO693" s="13"/>
      <c r="CP693" s="13"/>
      <c r="CQ693" s="13"/>
      <c r="CR693" s="13"/>
      <c r="CS693" s="13"/>
      <c r="CT693" s="13"/>
      <c r="CU693" s="13"/>
    </row>
    <row r="694" spans="1:99" ht="12.75">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c r="AN694" s="13"/>
      <c r="AO694" s="13"/>
      <c r="AP694" s="13"/>
      <c r="AQ694" s="13"/>
      <c r="AR694" s="13"/>
      <c r="AS694" s="13"/>
      <c r="AT694" s="13"/>
      <c r="AU694" s="13"/>
      <c r="AV694" s="13"/>
      <c r="AW694" s="13"/>
      <c r="AX694" s="13"/>
      <c r="AY694" s="13"/>
      <c r="AZ694" s="13"/>
      <c r="BA694" s="13"/>
      <c r="BB694" s="13"/>
      <c r="BC694" s="13"/>
      <c r="BD694" s="13"/>
      <c r="BE694" s="13"/>
      <c r="BF694" s="13"/>
      <c r="BG694" s="13"/>
      <c r="BH694" s="13"/>
      <c r="BI694" s="13"/>
      <c r="BJ694" s="13"/>
      <c r="BK694" s="13"/>
      <c r="BL694" s="13"/>
      <c r="BM694" s="13"/>
      <c r="BN694" s="13"/>
      <c r="BO694" s="13"/>
      <c r="BP694" s="13"/>
      <c r="BQ694" s="13"/>
      <c r="BR694" s="13"/>
      <c r="BS694" s="13"/>
      <c r="BT694" s="13"/>
      <c r="BU694" s="13"/>
      <c r="BV694" s="13"/>
      <c r="BW694" s="13"/>
      <c r="BX694" s="13"/>
      <c r="BY694" s="13"/>
      <c r="BZ694" s="13"/>
      <c r="CA694" s="13"/>
      <c r="CB694" s="13"/>
      <c r="CC694" s="13"/>
      <c r="CD694" s="13"/>
      <c r="CE694" s="13"/>
      <c r="CF694" s="13"/>
      <c r="CG694" s="13"/>
      <c r="CH694" s="13"/>
      <c r="CI694" s="13"/>
      <c r="CJ694" s="13"/>
      <c r="CK694" s="13"/>
      <c r="CL694" s="13"/>
      <c r="CM694" s="13"/>
      <c r="CN694" s="13"/>
      <c r="CO694" s="13"/>
      <c r="CP694" s="13"/>
      <c r="CQ694" s="13"/>
      <c r="CR694" s="13"/>
      <c r="CS694" s="13"/>
      <c r="CT694" s="13"/>
      <c r="CU694" s="13"/>
    </row>
    <row r="695" spans="1:99" ht="12.75">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c r="AH695" s="13"/>
      <c r="AI695" s="13"/>
      <c r="AJ695" s="13"/>
      <c r="AK695" s="13"/>
      <c r="AL695" s="13"/>
      <c r="AM695" s="13"/>
      <c r="AN695" s="13"/>
      <c r="AO695" s="13"/>
      <c r="AP695" s="13"/>
      <c r="AQ695" s="13"/>
      <c r="AR695" s="13"/>
      <c r="AS695" s="13"/>
      <c r="AT695" s="13"/>
      <c r="AU695" s="13"/>
      <c r="AV695" s="13"/>
      <c r="AW695" s="13"/>
      <c r="AX695" s="13"/>
      <c r="AY695" s="13"/>
      <c r="AZ695" s="13"/>
      <c r="BA695" s="13"/>
      <c r="BB695" s="13"/>
      <c r="BC695" s="13"/>
      <c r="BD695" s="13"/>
      <c r="BE695" s="13"/>
      <c r="BF695" s="13"/>
      <c r="BG695" s="13"/>
      <c r="BH695" s="13"/>
      <c r="BI695" s="13"/>
      <c r="BJ695" s="13"/>
      <c r="BK695" s="13"/>
      <c r="BL695" s="13"/>
      <c r="BM695" s="13"/>
      <c r="BN695" s="13"/>
      <c r="BO695" s="13"/>
      <c r="BP695" s="13"/>
      <c r="BQ695" s="13"/>
      <c r="BR695" s="13"/>
      <c r="BS695" s="13"/>
      <c r="BT695" s="13"/>
      <c r="BU695" s="13"/>
      <c r="BV695" s="13"/>
      <c r="BW695" s="13"/>
      <c r="BX695" s="13"/>
      <c r="BY695" s="13"/>
      <c r="BZ695" s="13"/>
      <c r="CA695" s="13"/>
      <c r="CB695" s="13"/>
      <c r="CC695" s="13"/>
      <c r="CD695" s="13"/>
      <c r="CE695" s="13"/>
      <c r="CF695" s="13"/>
      <c r="CG695" s="13"/>
      <c r="CH695" s="13"/>
      <c r="CI695" s="13"/>
      <c r="CJ695" s="13"/>
      <c r="CK695" s="13"/>
      <c r="CL695" s="13"/>
      <c r="CM695" s="13"/>
      <c r="CN695" s="13"/>
      <c r="CO695" s="13"/>
      <c r="CP695" s="13"/>
      <c r="CQ695" s="13"/>
      <c r="CR695" s="13"/>
      <c r="CS695" s="13"/>
      <c r="CT695" s="13"/>
      <c r="CU695" s="13"/>
    </row>
    <row r="696" spans="1:99" ht="12.75">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c r="AN696" s="13"/>
      <c r="AO696" s="13"/>
      <c r="AP696" s="13"/>
      <c r="AQ696" s="13"/>
      <c r="AR696" s="13"/>
      <c r="AS696" s="13"/>
      <c r="AT696" s="13"/>
      <c r="AU696" s="13"/>
      <c r="AV696" s="13"/>
      <c r="AW696" s="13"/>
      <c r="AX696" s="13"/>
      <c r="AY696" s="13"/>
      <c r="AZ696" s="13"/>
      <c r="BA696" s="13"/>
      <c r="BB696" s="13"/>
      <c r="BC696" s="13"/>
      <c r="BD696" s="13"/>
      <c r="BE696" s="13"/>
      <c r="BF696" s="13"/>
      <c r="BG696" s="13"/>
      <c r="BH696" s="13"/>
      <c r="BI696" s="13"/>
      <c r="BJ696" s="13"/>
      <c r="BK696" s="13"/>
      <c r="BL696" s="13"/>
      <c r="BM696" s="13"/>
      <c r="BN696" s="13"/>
      <c r="BO696" s="13"/>
      <c r="BP696" s="13"/>
      <c r="BQ696" s="13"/>
      <c r="BR696" s="13"/>
      <c r="BS696" s="13"/>
      <c r="BT696" s="13"/>
      <c r="BU696" s="13"/>
      <c r="BV696" s="13"/>
      <c r="BW696" s="13"/>
      <c r="BX696" s="13"/>
      <c r="BY696" s="13"/>
      <c r="BZ696" s="13"/>
      <c r="CA696" s="13"/>
      <c r="CB696" s="13"/>
      <c r="CC696" s="13"/>
      <c r="CD696" s="13"/>
      <c r="CE696" s="13"/>
      <c r="CF696" s="13"/>
      <c r="CG696" s="13"/>
      <c r="CH696" s="13"/>
      <c r="CI696" s="13"/>
      <c r="CJ696" s="13"/>
      <c r="CK696" s="13"/>
      <c r="CL696" s="13"/>
      <c r="CM696" s="13"/>
      <c r="CN696" s="13"/>
      <c r="CO696" s="13"/>
      <c r="CP696" s="13"/>
      <c r="CQ696" s="13"/>
      <c r="CR696" s="13"/>
      <c r="CS696" s="13"/>
      <c r="CT696" s="13"/>
      <c r="CU696" s="13"/>
    </row>
    <row r="697" spans="1:99" ht="12.75">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c r="AH697" s="13"/>
      <c r="AI697" s="13"/>
      <c r="AJ697" s="13"/>
      <c r="AK697" s="13"/>
      <c r="AL697" s="13"/>
      <c r="AM697" s="13"/>
      <c r="AN697" s="13"/>
      <c r="AO697" s="13"/>
      <c r="AP697" s="13"/>
      <c r="AQ697" s="13"/>
      <c r="AR697" s="13"/>
      <c r="AS697" s="13"/>
      <c r="AT697" s="13"/>
      <c r="AU697" s="13"/>
      <c r="AV697" s="13"/>
      <c r="AW697" s="13"/>
      <c r="AX697" s="13"/>
      <c r="AY697" s="13"/>
      <c r="AZ697" s="13"/>
      <c r="BA697" s="13"/>
      <c r="BB697" s="13"/>
      <c r="BC697" s="13"/>
      <c r="BD697" s="13"/>
      <c r="BE697" s="13"/>
      <c r="BF697" s="13"/>
      <c r="BG697" s="13"/>
      <c r="BH697" s="13"/>
      <c r="BI697" s="13"/>
      <c r="BJ697" s="13"/>
      <c r="BK697" s="13"/>
      <c r="BL697" s="13"/>
      <c r="BM697" s="13"/>
      <c r="BN697" s="13"/>
      <c r="BO697" s="13"/>
      <c r="BP697" s="13"/>
      <c r="BQ697" s="13"/>
      <c r="BR697" s="13"/>
      <c r="BS697" s="13"/>
      <c r="BT697" s="13"/>
      <c r="BU697" s="13"/>
      <c r="BV697" s="13"/>
      <c r="BW697" s="13"/>
      <c r="BX697" s="13"/>
      <c r="BY697" s="13"/>
      <c r="BZ697" s="13"/>
      <c r="CA697" s="13"/>
      <c r="CB697" s="13"/>
      <c r="CC697" s="13"/>
      <c r="CD697" s="13"/>
      <c r="CE697" s="13"/>
      <c r="CF697" s="13"/>
      <c r="CG697" s="13"/>
      <c r="CH697" s="13"/>
      <c r="CI697" s="13"/>
      <c r="CJ697" s="13"/>
      <c r="CK697" s="13"/>
      <c r="CL697" s="13"/>
      <c r="CM697" s="13"/>
      <c r="CN697" s="13"/>
      <c r="CO697" s="13"/>
      <c r="CP697" s="13"/>
      <c r="CQ697" s="13"/>
      <c r="CR697" s="13"/>
      <c r="CS697" s="13"/>
      <c r="CT697" s="13"/>
      <c r="CU697" s="13"/>
    </row>
    <row r="698" spans="1:99" ht="12.75">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c r="AH698" s="13"/>
      <c r="AI698" s="13"/>
      <c r="AJ698" s="13"/>
      <c r="AK698" s="13"/>
      <c r="AL698" s="13"/>
      <c r="AM698" s="13"/>
      <c r="AN698" s="13"/>
      <c r="AO698" s="13"/>
      <c r="AP698" s="13"/>
      <c r="AQ698" s="13"/>
      <c r="AR698" s="13"/>
      <c r="AS698" s="13"/>
      <c r="AT698" s="13"/>
      <c r="AU698" s="13"/>
      <c r="AV698" s="13"/>
      <c r="AW698" s="13"/>
      <c r="AX698" s="13"/>
      <c r="AY698" s="13"/>
      <c r="AZ698" s="13"/>
      <c r="BA698" s="13"/>
      <c r="BB698" s="13"/>
      <c r="BC698" s="13"/>
      <c r="BD698" s="13"/>
      <c r="BE698" s="13"/>
      <c r="BF698" s="13"/>
      <c r="BG698" s="13"/>
      <c r="BH698" s="13"/>
      <c r="BI698" s="13"/>
      <c r="BJ698" s="13"/>
      <c r="BK698" s="13"/>
      <c r="BL698" s="13"/>
      <c r="BM698" s="13"/>
      <c r="BN698" s="13"/>
      <c r="BO698" s="13"/>
      <c r="BP698" s="13"/>
      <c r="BQ698" s="13"/>
      <c r="BR698" s="13"/>
      <c r="BS698" s="13"/>
      <c r="BT698" s="13"/>
      <c r="BU698" s="13"/>
      <c r="BV698" s="13"/>
      <c r="BW698" s="13"/>
      <c r="BX698" s="13"/>
      <c r="BY698" s="13"/>
      <c r="BZ698" s="13"/>
      <c r="CA698" s="13"/>
      <c r="CB698" s="13"/>
      <c r="CC698" s="13"/>
      <c r="CD698" s="13"/>
      <c r="CE698" s="13"/>
      <c r="CF698" s="13"/>
      <c r="CG698" s="13"/>
      <c r="CH698" s="13"/>
      <c r="CI698" s="13"/>
      <c r="CJ698" s="13"/>
      <c r="CK698" s="13"/>
      <c r="CL698" s="13"/>
      <c r="CM698" s="13"/>
      <c r="CN698" s="13"/>
      <c r="CO698" s="13"/>
      <c r="CP698" s="13"/>
      <c r="CQ698" s="13"/>
      <c r="CR698" s="13"/>
      <c r="CS698" s="13"/>
      <c r="CT698" s="13"/>
      <c r="CU698" s="13"/>
    </row>
    <row r="699" spans="1:99" ht="12.75">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c r="AH699" s="13"/>
      <c r="AI699" s="13"/>
      <c r="AJ699" s="13"/>
      <c r="AK699" s="13"/>
      <c r="AL699" s="13"/>
      <c r="AM699" s="13"/>
      <c r="AN699" s="13"/>
      <c r="AO699" s="13"/>
      <c r="AP699" s="13"/>
      <c r="AQ699" s="13"/>
      <c r="AR699" s="13"/>
      <c r="AS699" s="13"/>
      <c r="AT699" s="13"/>
      <c r="AU699" s="13"/>
      <c r="AV699" s="13"/>
      <c r="AW699" s="13"/>
      <c r="AX699" s="13"/>
      <c r="AY699" s="13"/>
      <c r="AZ699" s="13"/>
      <c r="BA699" s="13"/>
      <c r="BB699" s="13"/>
      <c r="BC699" s="13"/>
      <c r="BD699" s="13"/>
      <c r="BE699" s="13"/>
      <c r="BF699" s="13"/>
      <c r="BG699" s="13"/>
      <c r="BH699" s="13"/>
      <c r="BI699" s="13"/>
      <c r="BJ699" s="13"/>
      <c r="BK699" s="13"/>
      <c r="BL699" s="13"/>
      <c r="BM699" s="13"/>
      <c r="BN699" s="13"/>
      <c r="BO699" s="13"/>
      <c r="BP699" s="13"/>
      <c r="BQ699" s="13"/>
      <c r="BR699" s="13"/>
      <c r="BS699" s="13"/>
      <c r="BT699" s="13"/>
      <c r="BU699" s="13"/>
      <c r="BV699" s="13"/>
      <c r="BW699" s="13"/>
      <c r="BX699" s="13"/>
      <c r="BY699" s="13"/>
      <c r="BZ699" s="13"/>
      <c r="CA699" s="13"/>
      <c r="CB699" s="13"/>
      <c r="CC699" s="13"/>
      <c r="CD699" s="13"/>
      <c r="CE699" s="13"/>
      <c r="CF699" s="13"/>
      <c r="CG699" s="13"/>
      <c r="CH699" s="13"/>
      <c r="CI699" s="13"/>
      <c r="CJ699" s="13"/>
      <c r="CK699" s="13"/>
      <c r="CL699" s="13"/>
      <c r="CM699" s="13"/>
      <c r="CN699" s="13"/>
      <c r="CO699" s="13"/>
      <c r="CP699" s="13"/>
      <c r="CQ699" s="13"/>
      <c r="CR699" s="13"/>
      <c r="CS699" s="13"/>
      <c r="CT699" s="13"/>
      <c r="CU699" s="13"/>
    </row>
    <row r="700" spans="1:99" ht="12.75">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c r="AH700" s="13"/>
      <c r="AI700" s="13"/>
      <c r="AJ700" s="13"/>
      <c r="AK700" s="13"/>
      <c r="AL700" s="13"/>
      <c r="AM700" s="13"/>
      <c r="AN700" s="13"/>
      <c r="AO700" s="13"/>
      <c r="AP700" s="13"/>
      <c r="AQ700" s="13"/>
      <c r="AR700" s="13"/>
      <c r="AS700" s="13"/>
      <c r="AT700" s="13"/>
      <c r="AU700" s="13"/>
      <c r="AV700" s="13"/>
      <c r="AW700" s="13"/>
      <c r="AX700" s="13"/>
      <c r="AY700" s="13"/>
      <c r="AZ700" s="13"/>
      <c r="BA700" s="13"/>
      <c r="BB700" s="13"/>
      <c r="BC700" s="13"/>
      <c r="BD700" s="13"/>
      <c r="BE700" s="13"/>
      <c r="BF700" s="13"/>
      <c r="BG700" s="13"/>
      <c r="BH700" s="13"/>
      <c r="BI700" s="13"/>
      <c r="BJ700" s="13"/>
      <c r="BK700" s="13"/>
      <c r="BL700" s="13"/>
      <c r="BM700" s="13"/>
      <c r="BN700" s="13"/>
      <c r="BO700" s="13"/>
      <c r="BP700" s="13"/>
      <c r="BQ700" s="13"/>
      <c r="BR700" s="13"/>
      <c r="BS700" s="13"/>
      <c r="BT700" s="13"/>
      <c r="BU700" s="13"/>
      <c r="BV700" s="13"/>
      <c r="BW700" s="13"/>
      <c r="BX700" s="13"/>
      <c r="BY700" s="13"/>
      <c r="BZ700" s="13"/>
      <c r="CA700" s="13"/>
      <c r="CB700" s="13"/>
      <c r="CC700" s="13"/>
      <c r="CD700" s="13"/>
      <c r="CE700" s="13"/>
      <c r="CF700" s="13"/>
      <c r="CG700" s="13"/>
      <c r="CH700" s="13"/>
      <c r="CI700" s="13"/>
      <c r="CJ700" s="13"/>
      <c r="CK700" s="13"/>
      <c r="CL700" s="13"/>
      <c r="CM700" s="13"/>
      <c r="CN700" s="13"/>
      <c r="CO700" s="13"/>
      <c r="CP700" s="13"/>
      <c r="CQ700" s="13"/>
      <c r="CR700" s="13"/>
      <c r="CS700" s="13"/>
      <c r="CT700" s="13"/>
      <c r="CU700" s="13"/>
    </row>
    <row r="701" spans="1:99" ht="12.75">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c r="AH701" s="13"/>
      <c r="AI701" s="13"/>
      <c r="AJ701" s="13"/>
      <c r="AK701" s="13"/>
      <c r="AL701" s="13"/>
      <c r="AM701" s="13"/>
      <c r="AN701" s="13"/>
      <c r="AO701" s="13"/>
      <c r="AP701" s="13"/>
      <c r="AQ701" s="13"/>
      <c r="AR701" s="13"/>
      <c r="AS701" s="13"/>
      <c r="AT701" s="13"/>
      <c r="AU701" s="13"/>
      <c r="AV701" s="13"/>
      <c r="AW701" s="13"/>
      <c r="AX701" s="13"/>
      <c r="AY701" s="13"/>
      <c r="AZ701" s="13"/>
      <c r="BA701" s="13"/>
      <c r="BB701" s="13"/>
      <c r="BC701" s="13"/>
      <c r="BD701" s="13"/>
      <c r="BE701" s="13"/>
      <c r="BF701" s="13"/>
      <c r="BG701" s="13"/>
      <c r="BH701" s="13"/>
      <c r="BI701" s="13"/>
      <c r="BJ701" s="13"/>
      <c r="BK701" s="13"/>
      <c r="BL701" s="13"/>
      <c r="BM701" s="13"/>
      <c r="BN701" s="13"/>
      <c r="BO701" s="13"/>
      <c r="BP701" s="13"/>
      <c r="BQ701" s="13"/>
      <c r="BR701" s="13"/>
      <c r="BS701" s="13"/>
      <c r="BT701" s="13"/>
      <c r="BU701" s="13"/>
      <c r="BV701" s="13"/>
      <c r="BW701" s="13"/>
      <c r="BX701" s="13"/>
      <c r="BY701" s="13"/>
      <c r="BZ701" s="13"/>
      <c r="CA701" s="13"/>
      <c r="CB701" s="13"/>
      <c r="CC701" s="13"/>
      <c r="CD701" s="13"/>
      <c r="CE701" s="13"/>
      <c r="CF701" s="13"/>
      <c r="CG701" s="13"/>
      <c r="CH701" s="13"/>
      <c r="CI701" s="13"/>
      <c r="CJ701" s="13"/>
      <c r="CK701" s="13"/>
      <c r="CL701" s="13"/>
      <c r="CM701" s="13"/>
      <c r="CN701" s="13"/>
      <c r="CO701" s="13"/>
      <c r="CP701" s="13"/>
      <c r="CQ701" s="13"/>
      <c r="CR701" s="13"/>
      <c r="CS701" s="13"/>
      <c r="CT701" s="13"/>
      <c r="CU701" s="13"/>
    </row>
    <row r="702" spans="1:99" ht="12.75">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c r="AO702" s="13"/>
      <c r="AP702" s="13"/>
      <c r="AQ702" s="13"/>
      <c r="AR702" s="13"/>
      <c r="AS702" s="13"/>
      <c r="AT702" s="13"/>
      <c r="AU702" s="13"/>
      <c r="AV702" s="13"/>
      <c r="AW702" s="13"/>
      <c r="AX702" s="13"/>
      <c r="AY702" s="13"/>
      <c r="AZ702" s="13"/>
      <c r="BA702" s="13"/>
      <c r="BB702" s="13"/>
      <c r="BC702" s="13"/>
      <c r="BD702" s="13"/>
      <c r="BE702" s="13"/>
      <c r="BF702" s="13"/>
      <c r="BG702" s="13"/>
      <c r="BH702" s="13"/>
      <c r="BI702" s="13"/>
      <c r="BJ702" s="13"/>
      <c r="BK702" s="13"/>
      <c r="BL702" s="13"/>
      <c r="BM702" s="13"/>
      <c r="BN702" s="13"/>
      <c r="BO702" s="13"/>
      <c r="BP702" s="13"/>
      <c r="BQ702" s="13"/>
      <c r="BR702" s="13"/>
      <c r="BS702" s="13"/>
      <c r="BT702" s="13"/>
      <c r="BU702" s="13"/>
      <c r="BV702" s="13"/>
      <c r="BW702" s="13"/>
      <c r="BX702" s="13"/>
      <c r="BY702" s="13"/>
      <c r="BZ702" s="13"/>
      <c r="CA702" s="13"/>
      <c r="CB702" s="13"/>
      <c r="CC702" s="13"/>
      <c r="CD702" s="13"/>
      <c r="CE702" s="13"/>
      <c r="CF702" s="13"/>
      <c r="CG702" s="13"/>
      <c r="CH702" s="13"/>
      <c r="CI702" s="13"/>
      <c r="CJ702" s="13"/>
      <c r="CK702" s="13"/>
      <c r="CL702" s="13"/>
      <c r="CM702" s="13"/>
      <c r="CN702" s="13"/>
      <c r="CO702" s="13"/>
      <c r="CP702" s="13"/>
      <c r="CQ702" s="13"/>
      <c r="CR702" s="13"/>
      <c r="CS702" s="13"/>
      <c r="CT702" s="13"/>
      <c r="CU702" s="13"/>
    </row>
    <row r="703" spans="1:99" ht="12.75">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c r="AN703" s="13"/>
      <c r="AO703" s="13"/>
      <c r="AP703" s="13"/>
      <c r="AQ703" s="13"/>
      <c r="AR703" s="13"/>
      <c r="AS703" s="13"/>
      <c r="AT703" s="13"/>
      <c r="AU703" s="13"/>
      <c r="AV703" s="13"/>
      <c r="AW703" s="13"/>
      <c r="AX703" s="13"/>
      <c r="AY703" s="13"/>
      <c r="AZ703" s="13"/>
      <c r="BA703" s="13"/>
      <c r="BB703" s="13"/>
      <c r="BC703" s="13"/>
      <c r="BD703" s="13"/>
      <c r="BE703" s="13"/>
      <c r="BF703" s="13"/>
      <c r="BG703" s="13"/>
      <c r="BH703" s="13"/>
      <c r="BI703" s="13"/>
      <c r="BJ703" s="13"/>
      <c r="BK703" s="13"/>
      <c r="BL703" s="13"/>
      <c r="BM703" s="13"/>
      <c r="BN703" s="13"/>
      <c r="BO703" s="13"/>
      <c r="BP703" s="13"/>
      <c r="BQ703" s="13"/>
      <c r="BR703" s="13"/>
      <c r="BS703" s="13"/>
      <c r="BT703" s="13"/>
      <c r="BU703" s="13"/>
      <c r="BV703" s="13"/>
      <c r="BW703" s="13"/>
      <c r="BX703" s="13"/>
      <c r="BY703" s="13"/>
      <c r="BZ703" s="13"/>
      <c r="CA703" s="13"/>
      <c r="CB703" s="13"/>
      <c r="CC703" s="13"/>
      <c r="CD703" s="13"/>
      <c r="CE703" s="13"/>
      <c r="CF703" s="13"/>
      <c r="CG703" s="13"/>
      <c r="CH703" s="13"/>
      <c r="CI703" s="13"/>
      <c r="CJ703" s="13"/>
      <c r="CK703" s="13"/>
      <c r="CL703" s="13"/>
      <c r="CM703" s="13"/>
      <c r="CN703" s="13"/>
      <c r="CO703" s="13"/>
      <c r="CP703" s="13"/>
      <c r="CQ703" s="13"/>
      <c r="CR703" s="13"/>
      <c r="CS703" s="13"/>
      <c r="CT703" s="13"/>
      <c r="CU703" s="13"/>
    </row>
    <row r="704" spans="1:99" ht="12.75">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c r="AH704" s="13"/>
      <c r="AI704" s="13"/>
      <c r="AJ704" s="13"/>
      <c r="AK704" s="13"/>
      <c r="AL704" s="13"/>
      <c r="AM704" s="13"/>
      <c r="AN704" s="13"/>
      <c r="AO704" s="13"/>
      <c r="AP704" s="13"/>
      <c r="AQ704" s="13"/>
      <c r="AR704" s="13"/>
      <c r="AS704" s="13"/>
      <c r="AT704" s="13"/>
      <c r="AU704" s="13"/>
      <c r="AV704" s="13"/>
      <c r="AW704" s="13"/>
      <c r="AX704" s="13"/>
      <c r="AY704" s="13"/>
      <c r="AZ704" s="13"/>
      <c r="BA704" s="13"/>
      <c r="BB704" s="13"/>
      <c r="BC704" s="13"/>
      <c r="BD704" s="13"/>
      <c r="BE704" s="13"/>
      <c r="BF704" s="13"/>
      <c r="BG704" s="13"/>
      <c r="BH704" s="13"/>
      <c r="BI704" s="13"/>
      <c r="BJ704" s="13"/>
      <c r="BK704" s="13"/>
      <c r="BL704" s="13"/>
      <c r="BM704" s="13"/>
      <c r="BN704" s="13"/>
      <c r="BO704" s="13"/>
      <c r="BP704" s="13"/>
      <c r="BQ704" s="13"/>
      <c r="BR704" s="13"/>
      <c r="BS704" s="13"/>
      <c r="BT704" s="13"/>
      <c r="BU704" s="13"/>
      <c r="BV704" s="13"/>
      <c r="BW704" s="13"/>
      <c r="BX704" s="13"/>
      <c r="BY704" s="13"/>
      <c r="BZ704" s="13"/>
      <c r="CA704" s="13"/>
      <c r="CB704" s="13"/>
      <c r="CC704" s="13"/>
      <c r="CD704" s="13"/>
      <c r="CE704" s="13"/>
      <c r="CF704" s="13"/>
      <c r="CG704" s="13"/>
      <c r="CH704" s="13"/>
      <c r="CI704" s="13"/>
      <c r="CJ704" s="13"/>
      <c r="CK704" s="13"/>
      <c r="CL704" s="13"/>
      <c r="CM704" s="13"/>
      <c r="CN704" s="13"/>
      <c r="CO704" s="13"/>
      <c r="CP704" s="13"/>
      <c r="CQ704" s="13"/>
      <c r="CR704" s="13"/>
      <c r="CS704" s="13"/>
      <c r="CT704" s="13"/>
      <c r="CU704" s="13"/>
    </row>
    <row r="705" spans="1:99" ht="12.75">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c r="AH705" s="13"/>
      <c r="AI705" s="13"/>
      <c r="AJ705" s="13"/>
      <c r="AK705" s="13"/>
      <c r="AL705" s="13"/>
      <c r="AM705" s="13"/>
      <c r="AN705" s="13"/>
      <c r="AO705" s="13"/>
      <c r="AP705" s="13"/>
      <c r="AQ705" s="13"/>
      <c r="AR705" s="13"/>
      <c r="AS705" s="13"/>
      <c r="AT705" s="13"/>
      <c r="AU705" s="13"/>
      <c r="AV705" s="13"/>
      <c r="AW705" s="13"/>
      <c r="AX705" s="13"/>
      <c r="AY705" s="13"/>
      <c r="AZ705" s="13"/>
      <c r="BA705" s="13"/>
      <c r="BB705" s="13"/>
      <c r="BC705" s="13"/>
      <c r="BD705" s="13"/>
      <c r="BE705" s="13"/>
      <c r="BF705" s="13"/>
      <c r="BG705" s="13"/>
      <c r="BH705" s="13"/>
      <c r="BI705" s="13"/>
      <c r="BJ705" s="13"/>
      <c r="BK705" s="13"/>
      <c r="BL705" s="13"/>
      <c r="BM705" s="13"/>
      <c r="BN705" s="13"/>
      <c r="BO705" s="13"/>
      <c r="BP705" s="13"/>
      <c r="BQ705" s="13"/>
      <c r="BR705" s="13"/>
      <c r="BS705" s="13"/>
      <c r="BT705" s="13"/>
      <c r="BU705" s="13"/>
      <c r="BV705" s="13"/>
      <c r="BW705" s="13"/>
      <c r="BX705" s="13"/>
      <c r="BY705" s="13"/>
      <c r="BZ705" s="13"/>
      <c r="CA705" s="13"/>
      <c r="CB705" s="13"/>
      <c r="CC705" s="13"/>
      <c r="CD705" s="13"/>
      <c r="CE705" s="13"/>
      <c r="CF705" s="13"/>
      <c r="CG705" s="13"/>
      <c r="CH705" s="13"/>
      <c r="CI705" s="13"/>
      <c r="CJ705" s="13"/>
      <c r="CK705" s="13"/>
      <c r="CL705" s="13"/>
      <c r="CM705" s="13"/>
      <c r="CN705" s="13"/>
      <c r="CO705" s="13"/>
      <c r="CP705" s="13"/>
      <c r="CQ705" s="13"/>
      <c r="CR705" s="13"/>
      <c r="CS705" s="13"/>
      <c r="CT705" s="13"/>
      <c r="CU705" s="13"/>
    </row>
    <row r="706" spans="1:99" ht="12.75">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c r="AH706" s="13"/>
      <c r="AI706" s="13"/>
      <c r="AJ706" s="13"/>
      <c r="AK706" s="13"/>
      <c r="AL706" s="13"/>
      <c r="AM706" s="13"/>
      <c r="AN706" s="13"/>
      <c r="AO706" s="13"/>
      <c r="AP706" s="13"/>
      <c r="AQ706" s="13"/>
      <c r="AR706" s="13"/>
      <c r="AS706" s="13"/>
      <c r="AT706" s="13"/>
      <c r="AU706" s="13"/>
      <c r="AV706" s="13"/>
      <c r="AW706" s="13"/>
      <c r="AX706" s="13"/>
      <c r="AY706" s="13"/>
      <c r="AZ706" s="13"/>
      <c r="BA706" s="13"/>
      <c r="BB706" s="13"/>
      <c r="BC706" s="13"/>
      <c r="BD706" s="13"/>
      <c r="BE706" s="13"/>
      <c r="BF706" s="13"/>
      <c r="BG706" s="13"/>
      <c r="BH706" s="13"/>
      <c r="BI706" s="13"/>
      <c r="BJ706" s="13"/>
      <c r="BK706" s="13"/>
      <c r="BL706" s="13"/>
      <c r="BM706" s="13"/>
      <c r="BN706" s="13"/>
      <c r="BO706" s="13"/>
      <c r="BP706" s="13"/>
      <c r="BQ706" s="13"/>
      <c r="BR706" s="13"/>
      <c r="BS706" s="13"/>
      <c r="BT706" s="13"/>
      <c r="BU706" s="13"/>
      <c r="BV706" s="13"/>
      <c r="BW706" s="13"/>
      <c r="BX706" s="13"/>
      <c r="BY706" s="13"/>
      <c r="BZ706" s="13"/>
      <c r="CA706" s="13"/>
      <c r="CB706" s="13"/>
      <c r="CC706" s="13"/>
      <c r="CD706" s="13"/>
      <c r="CE706" s="13"/>
      <c r="CF706" s="13"/>
      <c r="CG706" s="13"/>
      <c r="CH706" s="13"/>
      <c r="CI706" s="13"/>
      <c r="CJ706" s="13"/>
      <c r="CK706" s="13"/>
      <c r="CL706" s="13"/>
      <c r="CM706" s="13"/>
      <c r="CN706" s="13"/>
      <c r="CO706" s="13"/>
      <c r="CP706" s="13"/>
      <c r="CQ706" s="13"/>
      <c r="CR706" s="13"/>
      <c r="CS706" s="13"/>
      <c r="CT706" s="13"/>
      <c r="CU706" s="13"/>
    </row>
    <row r="707" spans="1:99" ht="12.75">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c r="AH707" s="13"/>
      <c r="AI707" s="13"/>
      <c r="AJ707" s="13"/>
      <c r="AK707" s="13"/>
      <c r="AL707" s="13"/>
      <c r="AM707" s="13"/>
      <c r="AN707" s="13"/>
      <c r="AO707" s="13"/>
      <c r="AP707" s="13"/>
      <c r="AQ707" s="13"/>
      <c r="AR707" s="13"/>
      <c r="AS707" s="13"/>
      <c r="AT707" s="13"/>
      <c r="AU707" s="13"/>
      <c r="AV707" s="13"/>
      <c r="AW707" s="13"/>
      <c r="AX707" s="13"/>
      <c r="AY707" s="13"/>
      <c r="AZ707" s="13"/>
      <c r="BA707" s="13"/>
      <c r="BB707" s="13"/>
      <c r="BC707" s="13"/>
      <c r="BD707" s="13"/>
      <c r="BE707" s="13"/>
      <c r="BF707" s="13"/>
      <c r="BG707" s="13"/>
      <c r="BH707" s="13"/>
      <c r="BI707" s="13"/>
      <c r="BJ707" s="13"/>
      <c r="BK707" s="13"/>
      <c r="BL707" s="13"/>
      <c r="BM707" s="13"/>
      <c r="BN707" s="13"/>
      <c r="BO707" s="13"/>
      <c r="BP707" s="13"/>
      <c r="BQ707" s="13"/>
      <c r="BR707" s="13"/>
      <c r="BS707" s="13"/>
      <c r="BT707" s="13"/>
      <c r="BU707" s="13"/>
      <c r="BV707" s="13"/>
      <c r="BW707" s="13"/>
      <c r="BX707" s="13"/>
      <c r="BY707" s="13"/>
      <c r="BZ707" s="13"/>
      <c r="CA707" s="13"/>
      <c r="CB707" s="13"/>
      <c r="CC707" s="13"/>
      <c r="CD707" s="13"/>
      <c r="CE707" s="13"/>
      <c r="CF707" s="13"/>
      <c r="CG707" s="13"/>
      <c r="CH707" s="13"/>
      <c r="CI707" s="13"/>
      <c r="CJ707" s="13"/>
      <c r="CK707" s="13"/>
      <c r="CL707" s="13"/>
      <c r="CM707" s="13"/>
      <c r="CN707" s="13"/>
      <c r="CO707" s="13"/>
      <c r="CP707" s="13"/>
      <c r="CQ707" s="13"/>
      <c r="CR707" s="13"/>
      <c r="CS707" s="13"/>
      <c r="CT707" s="13"/>
      <c r="CU707" s="13"/>
    </row>
    <row r="708" spans="1:99" ht="12.75">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c r="AH708" s="13"/>
      <c r="AI708" s="13"/>
      <c r="AJ708" s="13"/>
      <c r="AK708" s="13"/>
      <c r="AL708" s="13"/>
      <c r="AM708" s="13"/>
      <c r="AN708" s="13"/>
      <c r="AO708" s="13"/>
      <c r="AP708" s="13"/>
      <c r="AQ708" s="13"/>
      <c r="AR708" s="13"/>
      <c r="AS708" s="13"/>
      <c r="AT708" s="13"/>
      <c r="AU708" s="13"/>
      <c r="AV708" s="13"/>
      <c r="AW708" s="13"/>
      <c r="AX708" s="13"/>
      <c r="AY708" s="13"/>
      <c r="AZ708" s="13"/>
      <c r="BA708" s="13"/>
      <c r="BB708" s="13"/>
      <c r="BC708" s="13"/>
      <c r="BD708" s="13"/>
      <c r="BE708" s="13"/>
      <c r="BF708" s="13"/>
      <c r="BG708" s="13"/>
      <c r="BH708" s="13"/>
      <c r="BI708" s="13"/>
      <c r="BJ708" s="13"/>
      <c r="BK708" s="13"/>
      <c r="BL708" s="13"/>
      <c r="BM708" s="13"/>
      <c r="BN708" s="13"/>
      <c r="BO708" s="13"/>
      <c r="BP708" s="13"/>
      <c r="BQ708" s="13"/>
      <c r="BR708" s="13"/>
      <c r="BS708" s="13"/>
      <c r="BT708" s="13"/>
      <c r="BU708" s="13"/>
      <c r="BV708" s="13"/>
      <c r="BW708" s="13"/>
      <c r="BX708" s="13"/>
      <c r="BY708" s="13"/>
      <c r="BZ708" s="13"/>
      <c r="CA708" s="13"/>
      <c r="CB708" s="13"/>
      <c r="CC708" s="13"/>
      <c r="CD708" s="13"/>
      <c r="CE708" s="13"/>
      <c r="CF708" s="13"/>
      <c r="CG708" s="13"/>
      <c r="CH708" s="13"/>
      <c r="CI708" s="13"/>
      <c r="CJ708" s="13"/>
      <c r="CK708" s="13"/>
      <c r="CL708" s="13"/>
      <c r="CM708" s="13"/>
      <c r="CN708" s="13"/>
      <c r="CO708" s="13"/>
      <c r="CP708" s="13"/>
      <c r="CQ708" s="13"/>
      <c r="CR708" s="13"/>
      <c r="CS708" s="13"/>
      <c r="CT708" s="13"/>
      <c r="CU708" s="13"/>
    </row>
    <row r="709" spans="1:99" ht="12.75">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c r="AN709" s="13"/>
      <c r="AO709" s="13"/>
      <c r="AP709" s="13"/>
      <c r="AQ709" s="13"/>
      <c r="AR709" s="13"/>
      <c r="AS709" s="13"/>
      <c r="AT709" s="13"/>
      <c r="AU709" s="13"/>
      <c r="AV709" s="13"/>
      <c r="AW709" s="13"/>
      <c r="AX709" s="13"/>
      <c r="AY709" s="13"/>
      <c r="AZ709" s="13"/>
      <c r="BA709" s="13"/>
      <c r="BB709" s="13"/>
      <c r="BC709" s="13"/>
      <c r="BD709" s="13"/>
      <c r="BE709" s="13"/>
      <c r="BF709" s="13"/>
      <c r="BG709" s="13"/>
      <c r="BH709" s="13"/>
      <c r="BI709" s="13"/>
      <c r="BJ709" s="13"/>
      <c r="BK709" s="13"/>
      <c r="BL709" s="13"/>
      <c r="BM709" s="13"/>
      <c r="BN709" s="13"/>
      <c r="BO709" s="13"/>
      <c r="BP709" s="13"/>
      <c r="BQ709" s="13"/>
      <c r="BR709" s="13"/>
      <c r="BS709" s="13"/>
      <c r="BT709" s="13"/>
      <c r="BU709" s="13"/>
      <c r="BV709" s="13"/>
      <c r="BW709" s="13"/>
      <c r="BX709" s="13"/>
      <c r="BY709" s="13"/>
      <c r="BZ709" s="13"/>
      <c r="CA709" s="13"/>
      <c r="CB709" s="13"/>
      <c r="CC709" s="13"/>
      <c r="CD709" s="13"/>
      <c r="CE709" s="13"/>
      <c r="CF709" s="13"/>
      <c r="CG709" s="13"/>
      <c r="CH709" s="13"/>
      <c r="CI709" s="13"/>
      <c r="CJ709" s="13"/>
      <c r="CK709" s="13"/>
      <c r="CL709" s="13"/>
      <c r="CM709" s="13"/>
      <c r="CN709" s="13"/>
      <c r="CO709" s="13"/>
      <c r="CP709" s="13"/>
      <c r="CQ709" s="13"/>
      <c r="CR709" s="13"/>
      <c r="CS709" s="13"/>
      <c r="CT709" s="13"/>
      <c r="CU709" s="13"/>
    </row>
    <row r="710" spans="1:99" ht="12.75">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c r="AO710" s="13"/>
      <c r="AP710" s="13"/>
      <c r="AQ710" s="13"/>
      <c r="AR710" s="13"/>
      <c r="AS710" s="13"/>
      <c r="AT710" s="13"/>
      <c r="AU710" s="13"/>
      <c r="AV710" s="13"/>
      <c r="AW710" s="13"/>
      <c r="AX710" s="13"/>
      <c r="AY710" s="13"/>
      <c r="AZ710" s="13"/>
      <c r="BA710" s="13"/>
      <c r="BB710" s="13"/>
      <c r="BC710" s="13"/>
      <c r="BD710" s="13"/>
      <c r="BE710" s="13"/>
      <c r="BF710" s="13"/>
      <c r="BG710" s="13"/>
      <c r="BH710" s="13"/>
      <c r="BI710" s="13"/>
      <c r="BJ710" s="13"/>
      <c r="BK710" s="13"/>
      <c r="BL710" s="13"/>
      <c r="BM710" s="13"/>
      <c r="BN710" s="13"/>
      <c r="BO710" s="13"/>
      <c r="BP710" s="13"/>
      <c r="BQ710" s="13"/>
      <c r="BR710" s="13"/>
      <c r="BS710" s="13"/>
      <c r="BT710" s="13"/>
      <c r="BU710" s="13"/>
      <c r="BV710" s="13"/>
      <c r="BW710" s="13"/>
      <c r="BX710" s="13"/>
      <c r="BY710" s="13"/>
      <c r="BZ710" s="13"/>
      <c r="CA710" s="13"/>
      <c r="CB710" s="13"/>
      <c r="CC710" s="13"/>
      <c r="CD710" s="13"/>
      <c r="CE710" s="13"/>
      <c r="CF710" s="13"/>
      <c r="CG710" s="13"/>
      <c r="CH710" s="13"/>
      <c r="CI710" s="13"/>
      <c r="CJ710" s="13"/>
      <c r="CK710" s="13"/>
      <c r="CL710" s="13"/>
      <c r="CM710" s="13"/>
      <c r="CN710" s="13"/>
      <c r="CO710" s="13"/>
      <c r="CP710" s="13"/>
      <c r="CQ710" s="13"/>
      <c r="CR710" s="13"/>
      <c r="CS710" s="13"/>
      <c r="CT710" s="13"/>
      <c r="CU710" s="13"/>
    </row>
    <row r="711" spans="1:99" ht="12.75">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c r="AH711" s="13"/>
      <c r="AI711" s="13"/>
      <c r="AJ711" s="13"/>
      <c r="AK711" s="13"/>
      <c r="AL711" s="13"/>
      <c r="AM711" s="13"/>
      <c r="AN711" s="13"/>
      <c r="AO711" s="13"/>
      <c r="AP711" s="13"/>
      <c r="AQ711" s="13"/>
      <c r="AR711" s="13"/>
      <c r="AS711" s="13"/>
      <c r="AT711" s="13"/>
      <c r="AU711" s="13"/>
      <c r="AV711" s="13"/>
      <c r="AW711" s="13"/>
      <c r="AX711" s="13"/>
      <c r="AY711" s="13"/>
      <c r="AZ711" s="13"/>
      <c r="BA711" s="13"/>
      <c r="BB711" s="13"/>
      <c r="BC711" s="13"/>
      <c r="BD711" s="13"/>
      <c r="BE711" s="13"/>
      <c r="BF711" s="13"/>
      <c r="BG711" s="13"/>
      <c r="BH711" s="13"/>
      <c r="BI711" s="13"/>
      <c r="BJ711" s="13"/>
      <c r="BK711" s="13"/>
      <c r="BL711" s="13"/>
      <c r="BM711" s="13"/>
      <c r="BN711" s="13"/>
      <c r="BO711" s="13"/>
      <c r="BP711" s="13"/>
      <c r="BQ711" s="13"/>
      <c r="BR711" s="13"/>
      <c r="BS711" s="13"/>
      <c r="BT711" s="13"/>
      <c r="BU711" s="13"/>
      <c r="BV711" s="13"/>
      <c r="BW711" s="13"/>
      <c r="BX711" s="13"/>
      <c r="BY711" s="13"/>
      <c r="BZ711" s="13"/>
      <c r="CA711" s="13"/>
      <c r="CB711" s="13"/>
      <c r="CC711" s="13"/>
      <c r="CD711" s="13"/>
      <c r="CE711" s="13"/>
      <c r="CF711" s="13"/>
      <c r="CG711" s="13"/>
      <c r="CH711" s="13"/>
      <c r="CI711" s="13"/>
      <c r="CJ711" s="13"/>
      <c r="CK711" s="13"/>
      <c r="CL711" s="13"/>
      <c r="CM711" s="13"/>
      <c r="CN711" s="13"/>
      <c r="CO711" s="13"/>
      <c r="CP711" s="13"/>
      <c r="CQ711" s="13"/>
      <c r="CR711" s="13"/>
      <c r="CS711" s="13"/>
      <c r="CT711" s="13"/>
      <c r="CU711" s="13"/>
    </row>
    <row r="712" spans="1:99" ht="12.75">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c r="AH712" s="13"/>
      <c r="AI712" s="13"/>
      <c r="AJ712" s="13"/>
      <c r="AK712" s="13"/>
      <c r="AL712" s="13"/>
      <c r="AM712" s="13"/>
      <c r="AN712" s="13"/>
      <c r="AO712" s="13"/>
      <c r="AP712" s="13"/>
      <c r="AQ712" s="13"/>
      <c r="AR712" s="13"/>
      <c r="AS712" s="13"/>
      <c r="AT712" s="13"/>
      <c r="AU712" s="13"/>
      <c r="AV712" s="13"/>
      <c r="AW712" s="13"/>
      <c r="AX712" s="13"/>
      <c r="AY712" s="13"/>
      <c r="AZ712" s="13"/>
      <c r="BA712" s="13"/>
      <c r="BB712" s="13"/>
      <c r="BC712" s="13"/>
      <c r="BD712" s="13"/>
      <c r="BE712" s="13"/>
      <c r="BF712" s="13"/>
      <c r="BG712" s="13"/>
      <c r="BH712" s="13"/>
      <c r="BI712" s="13"/>
      <c r="BJ712" s="13"/>
      <c r="BK712" s="13"/>
      <c r="BL712" s="13"/>
      <c r="BM712" s="13"/>
      <c r="BN712" s="13"/>
      <c r="BO712" s="13"/>
      <c r="BP712" s="13"/>
      <c r="BQ712" s="13"/>
      <c r="BR712" s="13"/>
      <c r="BS712" s="13"/>
      <c r="BT712" s="13"/>
      <c r="BU712" s="13"/>
      <c r="BV712" s="13"/>
      <c r="BW712" s="13"/>
      <c r="BX712" s="13"/>
      <c r="BY712" s="13"/>
      <c r="BZ712" s="13"/>
      <c r="CA712" s="13"/>
      <c r="CB712" s="13"/>
      <c r="CC712" s="13"/>
      <c r="CD712" s="13"/>
      <c r="CE712" s="13"/>
      <c r="CF712" s="13"/>
      <c r="CG712" s="13"/>
      <c r="CH712" s="13"/>
      <c r="CI712" s="13"/>
      <c r="CJ712" s="13"/>
      <c r="CK712" s="13"/>
      <c r="CL712" s="13"/>
      <c r="CM712" s="13"/>
      <c r="CN712" s="13"/>
      <c r="CO712" s="13"/>
      <c r="CP712" s="13"/>
      <c r="CQ712" s="13"/>
      <c r="CR712" s="13"/>
      <c r="CS712" s="13"/>
      <c r="CT712" s="13"/>
      <c r="CU712" s="13"/>
    </row>
    <row r="713" spans="1:99" ht="12.75">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c r="AH713" s="13"/>
      <c r="AI713" s="13"/>
      <c r="AJ713" s="13"/>
      <c r="AK713" s="13"/>
      <c r="AL713" s="13"/>
      <c r="AM713" s="13"/>
      <c r="AN713" s="13"/>
      <c r="AO713" s="13"/>
      <c r="AP713" s="13"/>
      <c r="AQ713" s="13"/>
      <c r="AR713" s="13"/>
      <c r="AS713" s="13"/>
      <c r="AT713" s="13"/>
      <c r="AU713" s="13"/>
      <c r="AV713" s="13"/>
      <c r="AW713" s="13"/>
      <c r="AX713" s="13"/>
      <c r="AY713" s="13"/>
      <c r="AZ713" s="13"/>
      <c r="BA713" s="13"/>
      <c r="BB713" s="13"/>
      <c r="BC713" s="13"/>
      <c r="BD713" s="13"/>
      <c r="BE713" s="13"/>
      <c r="BF713" s="13"/>
      <c r="BG713" s="13"/>
      <c r="BH713" s="13"/>
      <c r="BI713" s="13"/>
      <c r="BJ713" s="13"/>
      <c r="BK713" s="13"/>
      <c r="BL713" s="13"/>
      <c r="BM713" s="13"/>
      <c r="BN713" s="13"/>
      <c r="BO713" s="13"/>
      <c r="BP713" s="13"/>
      <c r="BQ713" s="13"/>
      <c r="BR713" s="13"/>
      <c r="BS713" s="13"/>
      <c r="BT713" s="13"/>
      <c r="BU713" s="13"/>
      <c r="BV713" s="13"/>
      <c r="BW713" s="13"/>
      <c r="BX713" s="13"/>
      <c r="BY713" s="13"/>
      <c r="BZ713" s="13"/>
      <c r="CA713" s="13"/>
      <c r="CB713" s="13"/>
      <c r="CC713" s="13"/>
      <c r="CD713" s="13"/>
      <c r="CE713" s="13"/>
      <c r="CF713" s="13"/>
      <c r="CG713" s="13"/>
      <c r="CH713" s="13"/>
      <c r="CI713" s="13"/>
      <c r="CJ713" s="13"/>
      <c r="CK713" s="13"/>
      <c r="CL713" s="13"/>
      <c r="CM713" s="13"/>
      <c r="CN713" s="13"/>
      <c r="CO713" s="13"/>
      <c r="CP713" s="13"/>
      <c r="CQ713" s="13"/>
      <c r="CR713" s="13"/>
      <c r="CS713" s="13"/>
      <c r="CT713" s="13"/>
      <c r="CU713" s="13"/>
    </row>
    <row r="714" spans="1:99" ht="12.75">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c r="AH714" s="13"/>
      <c r="AI714" s="13"/>
      <c r="AJ714" s="13"/>
      <c r="AK714" s="13"/>
      <c r="AL714" s="13"/>
      <c r="AM714" s="13"/>
      <c r="AN714" s="13"/>
      <c r="AO714" s="13"/>
      <c r="AP714" s="13"/>
      <c r="AQ714" s="13"/>
      <c r="AR714" s="13"/>
      <c r="AS714" s="13"/>
      <c r="AT714" s="13"/>
      <c r="AU714" s="13"/>
      <c r="AV714" s="13"/>
      <c r="AW714" s="13"/>
      <c r="AX714" s="13"/>
      <c r="AY714" s="13"/>
      <c r="AZ714" s="13"/>
      <c r="BA714" s="13"/>
      <c r="BB714" s="13"/>
      <c r="BC714" s="13"/>
      <c r="BD714" s="13"/>
      <c r="BE714" s="13"/>
      <c r="BF714" s="13"/>
      <c r="BG714" s="13"/>
      <c r="BH714" s="13"/>
      <c r="BI714" s="13"/>
      <c r="BJ714" s="13"/>
      <c r="BK714" s="13"/>
      <c r="BL714" s="13"/>
      <c r="BM714" s="13"/>
      <c r="BN714" s="13"/>
      <c r="BO714" s="13"/>
      <c r="BP714" s="13"/>
      <c r="BQ714" s="13"/>
      <c r="BR714" s="13"/>
      <c r="BS714" s="13"/>
      <c r="BT714" s="13"/>
      <c r="BU714" s="13"/>
      <c r="BV714" s="13"/>
      <c r="BW714" s="13"/>
      <c r="BX714" s="13"/>
      <c r="BY714" s="13"/>
      <c r="BZ714" s="13"/>
      <c r="CA714" s="13"/>
      <c r="CB714" s="13"/>
      <c r="CC714" s="13"/>
      <c r="CD714" s="13"/>
      <c r="CE714" s="13"/>
      <c r="CF714" s="13"/>
      <c r="CG714" s="13"/>
      <c r="CH714" s="13"/>
      <c r="CI714" s="13"/>
      <c r="CJ714" s="13"/>
      <c r="CK714" s="13"/>
      <c r="CL714" s="13"/>
      <c r="CM714" s="13"/>
      <c r="CN714" s="13"/>
      <c r="CO714" s="13"/>
      <c r="CP714" s="13"/>
      <c r="CQ714" s="13"/>
      <c r="CR714" s="13"/>
      <c r="CS714" s="13"/>
      <c r="CT714" s="13"/>
      <c r="CU714" s="13"/>
    </row>
    <row r="715" spans="1:99" ht="12.75">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c r="AH715" s="13"/>
      <c r="AI715" s="13"/>
      <c r="AJ715" s="13"/>
      <c r="AK715" s="13"/>
      <c r="AL715" s="13"/>
      <c r="AM715" s="13"/>
      <c r="AN715" s="13"/>
      <c r="AO715" s="13"/>
      <c r="AP715" s="13"/>
      <c r="AQ715" s="13"/>
      <c r="AR715" s="13"/>
      <c r="AS715" s="13"/>
      <c r="AT715" s="13"/>
      <c r="AU715" s="13"/>
      <c r="AV715" s="13"/>
      <c r="AW715" s="13"/>
      <c r="AX715" s="13"/>
      <c r="AY715" s="13"/>
      <c r="AZ715" s="13"/>
      <c r="BA715" s="13"/>
      <c r="BB715" s="13"/>
      <c r="BC715" s="13"/>
      <c r="BD715" s="13"/>
      <c r="BE715" s="13"/>
      <c r="BF715" s="13"/>
      <c r="BG715" s="13"/>
      <c r="BH715" s="13"/>
      <c r="BI715" s="13"/>
      <c r="BJ715" s="13"/>
      <c r="BK715" s="13"/>
      <c r="BL715" s="13"/>
      <c r="BM715" s="13"/>
      <c r="BN715" s="13"/>
      <c r="BO715" s="13"/>
      <c r="BP715" s="13"/>
      <c r="BQ715" s="13"/>
      <c r="BR715" s="13"/>
      <c r="BS715" s="13"/>
      <c r="BT715" s="13"/>
      <c r="BU715" s="13"/>
      <c r="BV715" s="13"/>
      <c r="BW715" s="13"/>
      <c r="BX715" s="13"/>
      <c r="BY715" s="13"/>
      <c r="BZ715" s="13"/>
      <c r="CA715" s="13"/>
      <c r="CB715" s="13"/>
      <c r="CC715" s="13"/>
      <c r="CD715" s="13"/>
      <c r="CE715" s="13"/>
      <c r="CF715" s="13"/>
      <c r="CG715" s="13"/>
      <c r="CH715" s="13"/>
      <c r="CI715" s="13"/>
      <c r="CJ715" s="13"/>
      <c r="CK715" s="13"/>
      <c r="CL715" s="13"/>
      <c r="CM715" s="13"/>
      <c r="CN715" s="13"/>
      <c r="CO715" s="13"/>
      <c r="CP715" s="13"/>
      <c r="CQ715" s="13"/>
      <c r="CR715" s="13"/>
      <c r="CS715" s="13"/>
      <c r="CT715" s="13"/>
      <c r="CU715" s="13"/>
    </row>
    <row r="716" spans="1:99" ht="12.75">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c r="AH716" s="13"/>
      <c r="AI716" s="13"/>
      <c r="AJ716" s="13"/>
      <c r="AK716" s="13"/>
      <c r="AL716" s="13"/>
      <c r="AM716" s="13"/>
      <c r="AN716" s="13"/>
      <c r="AO716" s="13"/>
      <c r="AP716" s="13"/>
      <c r="AQ716" s="13"/>
      <c r="AR716" s="13"/>
      <c r="AS716" s="13"/>
      <c r="AT716" s="13"/>
      <c r="AU716" s="13"/>
      <c r="AV716" s="13"/>
      <c r="AW716" s="13"/>
      <c r="AX716" s="13"/>
      <c r="AY716" s="13"/>
      <c r="AZ716" s="13"/>
      <c r="BA716" s="13"/>
      <c r="BB716" s="13"/>
      <c r="BC716" s="13"/>
      <c r="BD716" s="13"/>
      <c r="BE716" s="13"/>
      <c r="BF716" s="13"/>
      <c r="BG716" s="13"/>
      <c r="BH716" s="13"/>
      <c r="BI716" s="13"/>
      <c r="BJ716" s="13"/>
      <c r="BK716" s="13"/>
      <c r="BL716" s="13"/>
      <c r="BM716" s="13"/>
      <c r="BN716" s="13"/>
      <c r="BO716" s="13"/>
      <c r="BP716" s="13"/>
      <c r="BQ716" s="13"/>
      <c r="BR716" s="13"/>
      <c r="BS716" s="13"/>
      <c r="BT716" s="13"/>
      <c r="BU716" s="13"/>
      <c r="BV716" s="13"/>
      <c r="BW716" s="13"/>
      <c r="BX716" s="13"/>
      <c r="BY716" s="13"/>
      <c r="BZ716" s="13"/>
      <c r="CA716" s="13"/>
      <c r="CB716" s="13"/>
      <c r="CC716" s="13"/>
      <c r="CD716" s="13"/>
      <c r="CE716" s="13"/>
      <c r="CF716" s="13"/>
      <c r="CG716" s="13"/>
      <c r="CH716" s="13"/>
      <c r="CI716" s="13"/>
      <c r="CJ716" s="13"/>
      <c r="CK716" s="13"/>
      <c r="CL716" s="13"/>
      <c r="CM716" s="13"/>
      <c r="CN716" s="13"/>
      <c r="CO716" s="13"/>
      <c r="CP716" s="13"/>
      <c r="CQ716" s="13"/>
      <c r="CR716" s="13"/>
      <c r="CS716" s="13"/>
      <c r="CT716" s="13"/>
      <c r="CU716" s="13"/>
    </row>
    <row r="717" spans="1:99" ht="12.75">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c r="AH717" s="13"/>
      <c r="AI717" s="13"/>
      <c r="AJ717" s="13"/>
      <c r="AK717" s="13"/>
      <c r="AL717" s="13"/>
      <c r="AM717" s="13"/>
      <c r="AN717" s="13"/>
      <c r="AO717" s="13"/>
      <c r="AP717" s="13"/>
      <c r="AQ717" s="13"/>
      <c r="AR717" s="13"/>
      <c r="AS717" s="13"/>
      <c r="AT717" s="13"/>
      <c r="AU717" s="13"/>
      <c r="AV717" s="13"/>
      <c r="AW717" s="13"/>
      <c r="AX717" s="13"/>
      <c r="AY717" s="13"/>
      <c r="AZ717" s="13"/>
      <c r="BA717" s="13"/>
      <c r="BB717" s="13"/>
      <c r="BC717" s="13"/>
      <c r="BD717" s="13"/>
      <c r="BE717" s="13"/>
      <c r="BF717" s="13"/>
      <c r="BG717" s="13"/>
      <c r="BH717" s="13"/>
      <c r="BI717" s="13"/>
      <c r="BJ717" s="13"/>
      <c r="BK717" s="13"/>
      <c r="BL717" s="13"/>
      <c r="BM717" s="13"/>
      <c r="BN717" s="13"/>
      <c r="BO717" s="13"/>
      <c r="BP717" s="13"/>
      <c r="BQ717" s="13"/>
      <c r="BR717" s="13"/>
      <c r="BS717" s="13"/>
      <c r="BT717" s="13"/>
      <c r="BU717" s="13"/>
      <c r="BV717" s="13"/>
      <c r="BW717" s="13"/>
      <c r="BX717" s="13"/>
      <c r="BY717" s="13"/>
      <c r="BZ717" s="13"/>
      <c r="CA717" s="13"/>
      <c r="CB717" s="13"/>
      <c r="CC717" s="13"/>
      <c r="CD717" s="13"/>
      <c r="CE717" s="13"/>
      <c r="CF717" s="13"/>
      <c r="CG717" s="13"/>
      <c r="CH717" s="13"/>
      <c r="CI717" s="13"/>
      <c r="CJ717" s="13"/>
      <c r="CK717" s="13"/>
      <c r="CL717" s="13"/>
      <c r="CM717" s="13"/>
      <c r="CN717" s="13"/>
      <c r="CO717" s="13"/>
      <c r="CP717" s="13"/>
      <c r="CQ717" s="13"/>
      <c r="CR717" s="13"/>
      <c r="CS717" s="13"/>
      <c r="CT717" s="13"/>
      <c r="CU717" s="13"/>
    </row>
    <row r="718" spans="1:99" ht="12.75">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c r="AN718" s="13"/>
      <c r="AO718" s="13"/>
      <c r="AP718" s="13"/>
      <c r="AQ718" s="13"/>
      <c r="AR718" s="13"/>
      <c r="AS718" s="13"/>
      <c r="AT718" s="13"/>
      <c r="AU718" s="13"/>
      <c r="AV718" s="13"/>
      <c r="AW718" s="13"/>
      <c r="AX718" s="13"/>
      <c r="AY718" s="13"/>
      <c r="AZ718" s="13"/>
      <c r="BA718" s="13"/>
      <c r="BB718" s="13"/>
      <c r="BC718" s="13"/>
      <c r="BD718" s="13"/>
      <c r="BE718" s="13"/>
      <c r="BF718" s="13"/>
      <c r="BG718" s="13"/>
      <c r="BH718" s="13"/>
      <c r="BI718" s="13"/>
      <c r="BJ718" s="13"/>
      <c r="BK718" s="13"/>
      <c r="BL718" s="13"/>
      <c r="BM718" s="13"/>
      <c r="BN718" s="13"/>
      <c r="BO718" s="13"/>
      <c r="BP718" s="13"/>
      <c r="BQ718" s="13"/>
      <c r="BR718" s="13"/>
      <c r="BS718" s="13"/>
      <c r="BT718" s="13"/>
      <c r="BU718" s="13"/>
      <c r="BV718" s="13"/>
      <c r="BW718" s="13"/>
      <c r="BX718" s="13"/>
      <c r="BY718" s="13"/>
      <c r="BZ718" s="13"/>
      <c r="CA718" s="13"/>
      <c r="CB718" s="13"/>
      <c r="CC718" s="13"/>
      <c r="CD718" s="13"/>
      <c r="CE718" s="13"/>
      <c r="CF718" s="13"/>
      <c r="CG718" s="13"/>
      <c r="CH718" s="13"/>
      <c r="CI718" s="13"/>
      <c r="CJ718" s="13"/>
      <c r="CK718" s="13"/>
      <c r="CL718" s="13"/>
      <c r="CM718" s="13"/>
      <c r="CN718" s="13"/>
      <c r="CO718" s="13"/>
      <c r="CP718" s="13"/>
      <c r="CQ718" s="13"/>
      <c r="CR718" s="13"/>
      <c r="CS718" s="13"/>
      <c r="CT718" s="13"/>
      <c r="CU718" s="13"/>
    </row>
    <row r="719" spans="1:99" ht="12.75">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c r="AH719" s="13"/>
      <c r="AI719" s="13"/>
      <c r="AJ719" s="13"/>
      <c r="AK719" s="13"/>
      <c r="AL719" s="13"/>
      <c r="AM719" s="13"/>
      <c r="AN719" s="13"/>
      <c r="AO719" s="13"/>
      <c r="AP719" s="13"/>
      <c r="AQ719" s="13"/>
      <c r="AR719" s="13"/>
      <c r="AS719" s="13"/>
      <c r="AT719" s="13"/>
      <c r="AU719" s="13"/>
      <c r="AV719" s="13"/>
      <c r="AW719" s="13"/>
      <c r="AX719" s="13"/>
      <c r="AY719" s="13"/>
      <c r="AZ719" s="13"/>
      <c r="BA719" s="13"/>
      <c r="BB719" s="13"/>
      <c r="BC719" s="13"/>
      <c r="BD719" s="13"/>
      <c r="BE719" s="13"/>
      <c r="BF719" s="13"/>
      <c r="BG719" s="13"/>
      <c r="BH719" s="13"/>
      <c r="BI719" s="13"/>
      <c r="BJ719" s="13"/>
      <c r="BK719" s="13"/>
      <c r="BL719" s="13"/>
      <c r="BM719" s="13"/>
      <c r="BN719" s="13"/>
      <c r="BO719" s="13"/>
      <c r="BP719" s="13"/>
      <c r="BQ719" s="13"/>
      <c r="BR719" s="13"/>
      <c r="BS719" s="13"/>
      <c r="BT719" s="13"/>
      <c r="BU719" s="13"/>
      <c r="BV719" s="13"/>
      <c r="BW719" s="13"/>
      <c r="BX719" s="13"/>
      <c r="BY719" s="13"/>
      <c r="BZ719" s="13"/>
      <c r="CA719" s="13"/>
      <c r="CB719" s="13"/>
      <c r="CC719" s="13"/>
      <c r="CD719" s="13"/>
      <c r="CE719" s="13"/>
      <c r="CF719" s="13"/>
      <c r="CG719" s="13"/>
      <c r="CH719" s="13"/>
      <c r="CI719" s="13"/>
      <c r="CJ719" s="13"/>
      <c r="CK719" s="13"/>
      <c r="CL719" s="13"/>
      <c r="CM719" s="13"/>
      <c r="CN719" s="13"/>
      <c r="CO719" s="13"/>
      <c r="CP719" s="13"/>
      <c r="CQ719" s="13"/>
      <c r="CR719" s="13"/>
      <c r="CS719" s="13"/>
      <c r="CT719" s="13"/>
      <c r="CU719" s="13"/>
    </row>
    <row r="720" spans="1:99" ht="12.75">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c r="AH720" s="13"/>
      <c r="AI720" s="13"/>
      <c r="AJ720" s="13"/>
      <c r="AK720" s="13"/>
      <c r="AL720" s="13"/>
      <c r="AM720" s="13"/>
      <c r="AN720" s="13"/>
      <c r="AO720" s="13"/>
      <c r="AP720" s="13"/>
      <c r="AQ720" s="13"/>
      <c r="AR720" s="13"/>
      <c r="AS720" s="13"/>
      <c r="AT720" s="13"/>
      <c r="AU720" s="13"/>
      <c r="AV720" s="13"/>
      <c r="AW720" s="13"/>
      <c r="AX720" s="13"/>
      <c r="AY720" s="13"/>
      <c r="AZ720" s="13"/>
      <c r="BA720" s="13"/>
      <c r="BB720" s="13"/>
      <c r="BC720" s="13"/>
      <c r="BD720" s="13"/>
      <c r="BE720" s="13"/>
      <c r="BF720" s="13"/>
      <c r="BG720" s="13"/>
      <c r="BH720" s="13"/>
      <c r="BI720" s="13"/>
      <c r="BJ720" s="13"/>
      <c r="BK720" s="13"/>
      <c r="BL720" s="13"/>
      <c r="BM720" s="13"/>
      <c r="BN720" s="13"/>
      <c r="BO720" s="13"/>
      <c r="BP720" s="13"/>
      <c r="BQ720" s="13"/>
      <c r="BR720" s="13"/>
      <c r="BS720" s="13"/>
      <c r="BT720" s="13"/>
      <c r="BU720" s="13"/>
      <c r="BV720" s="13"/>
      <c r="BW720" s="13"/>
      <c r="BX720" s="13"/>
      <c r="BY720" s="13"/>
      <c r="BZ720" s="13"/>
      <c r="CA720" s="13"/>
      <c r="CB720" s="13"/>
      <c r="CC720" s="13"/>
      <c r="CD720" s="13"/>
      <c r="CE720" s="13"/>
      <c r="CF720" s="13"/>
      <c r="CG720" s="13"/>
      <c r="CH720" s="13"/>
      <c r="CI720" s="13"/>
      <c r="CJ720" s="13"/>
      <c r="CK720" s="13"/>
      <c r="CL720" s="13"/>
      <c r="CM720" s="13"/>
      <c r="CN720" s="13"/>
      <c r="CO720" s="13"/>
      <c r="CP720" s="13"/>
      <c r="CQ720" s="13"/>
      <c r="CR720" s="13"/>
      <c r="CS720" s="13"/>
      <c r="CT720" s="13"/>
      <c r="CU720" s="13"/>
    </row>
    <row r="721" spans="1:99" ht="12.75">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c r="AH721" s="13"/>
      <c r="AI721" s="13"/>
      <c r="AJ721" s="13"/>
      <c r="AK721" s="13"/>
      <c r="AL721" s="13"/>
      <c r="AM721" s="13"/>
      <c r="AN721" s="13"/>
      <c r="AO721" s="13"/>
      <c r="AP721" s="13"/>
      <c r="AQ721" s="13"/>
      <c r="AR721" s="13"/>
      <c r="AS721" s="13"/>
      <c r="AT721" s="13"/>
      <c r="AU721" s="13"/>
      <c r="AV721" s="13"/>
      <c r="AW721" s="13"/>
      <c r="AX721" s="13"/>
      <c r="AY721" s="13"/>
      <c r="AZ721" s="13"/>
      <c r="BA721" s="13"/>
      <c r="BB721" s="13"/>
      <c r="BC721" s="13"/>
      <c r="BD721" s="13"/>
      <c r="BE721" s="13"/>
      <c r="BF721" s="13"/>
      <c r="BG721" s="13"/>
      <c r="BH721" s="13"/>
      <c r="BI721" s="13"/>
      <c r="BJ721" s="13"/>
      <c r="BK721" s="13"/>
      <c r="BL721" s="13"/>
      <c r="BM721" s="13"/>
      <c r="BN721" s="13"/>
      <c r="BO721" s="13"/>
      <c r="BP721" s="13"/>
      <c r="BQ721" s="13"/>
      <c r="BR721" s="13"/>
      <c r="BS721" s="13"/>
      <c r="BT721" s="13"/>
      <c r="BU721" s="13"/>
      <c r="BV721" s="13"/>
      <c r="BW721" s="13"/>
      <c r="BX721" s="13"/>
      <c r="BY721" s="13"/>
      <c r="BZ721" s="13"/>
      <c r="CA721" s="13"/>
      <c r="CB721" s="13"/>
      <c r="CC721" s="13"/>
      <c r="CD721" s="13"/>
      <c r="CE721" s="13"/>
      <c r="CF721" s="13"/>
      <c r="CG721" s="13"/>
      <c r="CH721" s="13"/>
      <c r="CI721" s="13"/>
      <c r="CJ721" s="13"/>
      <c r="CK721" s="13"/>
      <c r="CL721" s="13"/>
      <c r="CM721" s="13"/>
      <c r="CN721" s="13"/>
      <c r="CO721" s="13"/>
      <c r="CP721" s="13"/>
      <c r="CQ721" s="13"/>
      <c r="CR721" s="13"/>
      <c r="CS721" s="13"/>
      <c r="CT721" s="13"/>
      <c r="CU721" s="13"/>
    </row>
    <row r="722" spans="1:99" ht="12.75">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c r="AH722" s="13"/>
      <c r="AI722" s="13"/>
      <c r="AJ722" s="13"/>
      <c r="AK722" s="13"/>
      <c r="AL722" s="13"/>
      <c r="AM722" s="13"/>
      <c r="AN722" s="13"/>
      <c r="AO722" s="13"/>
      <c r="AP722" s="13"/>
      <c r="AQ722" s="13"/>
      <c r="AR722" s="13"/>
      <c r="AS722" s="13"/>
      <c r="AT722" s="13"/>
      <c r="AU722" s="13"/>
      <c r="AV722" s="13"/>
      <c r="AW722" s="13"/>
      <c r="AX722" s="13"/>
      <c r="AY722" s="13"/>
      <c r="AZ722" s="13"/>
      <c r="BA722" s="13"/>
      <c r="BB722" s="13"/>
      <c r="BC722" s="13"/>
      <c r="BD722" s="13"/>
      <c r="BE722" s="13"/>
      <c r="BF722" s="13"/>
      <c r="BG722" s="13"/>
      <c r="BH722" s="13"/>
      <c r="BI722" s="13"/>
      <c r="BJ722" s="13"/>
      <c r="BK722" s="13"/>
      <c r="BL722" s="13"/>
      <c r="BM722" s="13"/>
      <c r="BN722" s="13"/>
      <c r="BO722" s="13"/>
      <c r="BP722" s="13"/>
      <c r="BQ722" s="13"/>
      <c r="BR722" s="13"/>
      <c r="BS722" s="13"/>
      <c r="BT722" s="13"/>
      <c r="BU722" s="13"/>
      <c r="BV722" s="13"/>
      <c r="BW722" s="13"/>
      <c r="BX722" s="13"/>
      <c r="BY722" s="13"/>
      <c r="BZ722" s="13"/>
      <c r="CA722" s="13"/>
      <c r="CB722" s="13"/>
      <c r="CC722" s="13"/>
      <c r="CD722" s="13"/>
      <c r="CE722" s="13"/>
      <c r="CF722" s="13"/>
      <c r="CG722" s="13"/>
      <c r="CH722" s="13"/>
      <c r="CI722" s="13"/>
      <c r="CJ722" s="13"/>
      <c r="CK722" s="13"/>
      <c r="CL722" s="13"/>
      <c r="CM722" s="13"/>
      <c r="CN722" s="13"/>
      <c r="CO722" s="13"/>
      <c r="CP722" s="13"/>
      <c r="CQ722" s="13"/>
      <c r="CR722" s="13"/>
      <c r="CS722" s="13"/>
      <c r="CT722" s="13"/>
      <c r="CU722" s="13"/>
    </row>
    <row r="723" spans="1:99" ht="12.75">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c r="AH723" s="13"/>
      <c r="AI723" s="13"/>
      <c r="AJ723" s="13"/>
      <c r="AK723" s="13"/>
      <c r="AL723" s="13"/>
      <c r="AM723" s="13"/>
      <c r="AN723" s="13"/>
      <c r="AO723" s="13"/>
      <c r="AP723" s="13"/>
      <c r="AQ723" s="13"/>
      <c r="AR723" s="13"/>
      <c r="AS723" s="13"/>
      <c r="AT723" s="13"/>
      <c r="AU723" s="13"/>
      <c r="AV723" s="13"/>
      <c r="AW723" s="13"/>
      <c r="AX723" s="13"/>
      <c r="AY723" s="13"/>
      <c r="AZ723" s="13"/>
      <c r="BA723" s="13"/>
      <c r="BB723" s="13"/>
      <c r="BC723" s="13"/>
      <c r="BD723" s="13"/>
      <c r="BE723" s="13"/>
      <c r="BF723" s="13"/>
      <c r="BG723" s="13"/>
      <c r="BH723" s="13"/>
      <c r="BI723" s="13"/>
      <c r="BJ723" s="13"/>
      <c r="BK723" s="13"/>
      <c r="BL723" s="13"/>
      <c r="BM723" s="13"/>
      <c r="BN723" s="13"/>
      <c r="BO723" s="13"/>
      <c r="BP723" s="13"/>
      <c r="BQ723" s="13"/>
      <c r="BR723" s="13"/>
      <c r="BS723" s="13"/>
      <c r="BT723" s="13"/>
      <c r="BU723" s="13"/>
      <c r="BV723" s="13"/>
      <c r="BW723" s="13"/>
      <c r="BX723" s="13"/>
      <c r="BY723" s="13"/>
      <c r="BZ723" s="13"/>
      <c r="CA723" s="13"/>
      <c r="CB723" s="13"/>
      <c r="CC723" s="13"/>
      <c r="CD723" s="13"/>
      <c r="CE723" s="13"/>
      <c r="CF723" s="13"/>
      <c r="CG723" s="13"/>
      <c r="CH723" s="13"/>
      <c r="CI723" s="13"/>
      <c r="CJ723" s="13"/>
      <c r="CK723" s="13"/>
      <c r="CL723" s="13"/>
      <c r="CM723" s="13"/>
      <c r="CN723" s="13"/>
      <c r="CO723" s="13"/>
      <c r="CP723" s="13"/>
      <c r="CQ723" s="13"/>
      <c r="CR723" s="13"/>
      <c r="CS723" s="13"/>
      <c r="CT723" s="13"/>
      <c r="CU723" s="13"/>
    </row>
    <row r="724" spans="1:99" ht="12.75">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c r="AH724" s="13"/>
      <c r="AI724" s="13"/>
      <c r="AJ724" s="13"/>
      <c r="AK724" s="13"/>
      <c r="AL724" s="13"/>
      <c r="AM724" s="13"/>
      <c r="AN724" s="13"/>
      <c r="AO724" s="13"/>
      <c r="AP724" s="13"/>
      <c r="AQ724" s="13"/>
      <c r="AR724" s="13"/>
      <c r="AS724" s="13"/>
      <c r="AT724" s="13"/>
      <c r="AU724" s="13"/>
      <c r="AV724" s="13"/>
      <c r="AW724" s="13"/>
      <c r="AX724" s="13"/>
      <c r="AY724" s="13"/>
      <c r="AZ724" s="13"/>
      <c r="BA724" s="13"/>
      <c r="BB724" s="13"/>
      <c r="BC724" s="13"/>
      <c r="BD724" s="13"/>
      <c r="BE724" s="13"/>
      <c r="BF724" s="13"/>
      <c r="BG724" s="13"/>
      <c r="BH724" s="13"/>
      <c r="BI724" s="13"/>
      <c r="BJ724" s="13"/>
      <c r="BK724" s="13"/>
      <c r="BL724" s="13"/>
      <c r="BM724" s="13"/>
      <c r="BN724" s="13"/>
      <c r="BO724" s="13"/>
      <c r="BP724" s="13"/>
      <c r="BQ724" s="13"/>
      <c r="BR724" s="13"/>
      <c r="BS724" s="13"/>
      <c r="BT724" s="13"/>
      <c r="BU724" s="13"/>
      <c r="BV724" s="13"/>
      <c r="BW724" s="13"/>
      <c r="BX724" s="13"/>
      <c r="BY724" s="13"/>
      <c r="BZ724" s="13"/>
      <c r="CA724" s="13"/>
      <c r="CB724" s="13"/>
      <c r="CC724" s="13"/>
      <c r="CD724" s="13"/>
      <c r="CE724" s="13"/>
      <c r="CF724" s="13"/>
      <c r="CG724" s="13"/>
      <c r="CH724" s="13"/>
      <c r="CI724" s="13"/>
      <c r="CJ724" s="13"/>
      <c r="CK724" s="13"/>
      <c r="CL724" s="13"/>
      <c r="CM724" s="13"/>
      <c r="CN724" s="13"/>
      <c r="CO724" s="13"/>
      <c r="CP724" s="13"/>
      <c r="CQ724" s="13"/>
      <c r="CR724" s="13"/>
      <c r="CS724" s="13"/>
      <c r="CT724" s="13"/>
      <c r="CU724" s="13"/>
    </row>
    <row r="725" spans="1:99" ht="12.75">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c r="AH725" s="13"/>
      <c r="AI725" s="13"/>
      <c r="AJ725" s="13"/>
      <c r="AK725" s="13"/>
      <c r="AL725" s="13"/>
      <c r="AM725" s="13"/>
      <c r="AN725" s="13"/>
      <c r="AO725" s="13"/>
      <c r="AP725" s="13"/>
      <c r="AQ725" s="13"/>
      <c r="AR725" s="13"/>
      <c r="AS725" s="13"/>
      <c r="AT725" s="13"/>
      <c r="AU725" s="13"/>
      <c r="AV725" s="13"/>
      <c r="AW725" s="13"/>
      <c r="AX725" s="13"/>
      <c r="AY725" s="13"/>
      <c r="AZ725" s="13"/>
      <c r="BA725" s="13"/>
      <c r="BB725" s="13"/>
      <c r="BC725" s="13"/>
      <c r="BD725" s="13"/>
      <c r="BE725" s="13"/>
      <c r="BF725" s="13"/>
      <c r="BG725" s="13"/>
      <c r="BH725" s="13"/>
      <c r="BI725" s="13"/>
      <c r="BJ725" s="13"/>
      <c r="BK725" s="13"/>
      <c r="BL725" s="13"/>
      <c r="BM725" s="13"/>
      <c r="BN725" s="13"/>
      <c r="BO725" s="13"/>
      <c r="BP725" s="13"/>
      <c r="BQ725" s="13"/>
      <c r="BR725" s="13"/>
      <c r="BS725" s="13"/>
      <c r="BT725" s="13"/>
      <c r="BU725" s="13"/>
      <c r="BV725" s="13"/>
      <c r="BW725" s="13"/>
      <c r="BX725" s="13"/>
      <c r="BY725" s="13"/>
      <c r="BZ725" s="13"/>
      <c r="CA725" s="13"/>
      <c r="CB725" s="13"/>
      <c r="CC725" s="13"/>
      <c r="CD725" s="13"/>
      <c r="CE725" s="13"/>
      <c r="CF725" s="13"/>
      <c r="CG725" s="13"/>
      <c r="CH725" s="13"/>
      <c r="CI725" s="13"/>
      <c r="CJ725" s="13"/>
      <c r="CK725" s="13"/>
      <c r="CL725" s="13"/>
      <c r="CM725" s="13"/>
      <c r="CN725" s="13"/>
      <c r="CO725" s="13"/>
      <c r="CP725" s="13"/>
      <c r="CQ725" s="13"/>
      <c r="CR725" s="13"/>
      <c r="CS725" s="13"/>
      <c r="CT725" s="13"/>
      <c r="CU725" s="13"/>
    </row>
    <row r="726" spans="1:99" ht="12.75">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c r="AO726" s="13"/>
      <c r="AP726" s="13"/>
      <c r="AQ726" s="13"/>
      <c r="AR726" s="13"/>
      <c r="AS726" s="13"/>
      <c r="AT726" s="13"/>
      <c r="AU726" s="13"/>
      <c r="AV726" s="13"/>
      <c r="AW726" s="13"/>
      <c r="AX726" s="13"/>
      <c r="AY726" s="13"/>
      <c r="AZ726" s="13"/>
      <c r="BA726" s="13"/>
      <c r="BB726" s="13"/>
      <c r="BC726" s="13"/>
      <c r="BD726" s="13"/>
      <c r="BE726" s="13"/>
      <c r="BF726" s="13"/>
      <c r="BG726" s="13"/>
      <c r="BH726" s="13"/>
      <c r="BI726" s="13"/>
      <c r="BJ726" s="13"/>
      <c r="BK726" s="13"/>
      <c r="BL726" s="13"/>
      <c r="BM726" s="13"/>
      <c r="BN726" s="13"/>
      <c r="BO726" s="13"/>
      <c r="BP726" s="13"/>
      <c r="BQ726" s="13"/>
      <c r="BR726" s="13"/>
      <c r="BS726" s="13"/>
      <c r="BT726" s="13"/>
      <c r="BU726" s="13"/>
      <c r="BV726" s="13"/>
      <c r="BW726" s="13"/>
      <c r="BX726" s="13"/>
      <c r="BY726" s="13"/>
      <c r="BZ726" s="13"/>
      <c r="CA726" s="13"/>
      <c r="CB726" s="13"/>
      <c r="CC726" s="13"/>
      <c r="CD726" s="13"/>
      <c r="CE726" s="13"/>
      <c r="CF726" s="13"/>
      <c r="CG726" s="13"/>
      <c r="CH726" s="13"/>
      <c r="CI726" s="13"/>
      <c r="CJ726" s="13"/>
      <c r="CK726" s="13"/>
      <c r="CL726" s="13"/>
      <c r="CM726" s="13"/>
      <c r="CN726" s="13"/>
      <c r="CO726" s="13"/>
      <c r="CP726" s="13"/>
      <c r="CQ726" s="13"/>
      <c r="CR726" s="13"/>
      <c r="CS726" s="13"/>
      <c r="CT726" s="13"/>
      <c r="CU726" s="13"/>
    </row>
    <row r="727" spans="1:99" ht="12.75">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c r="AH727" s="13"/>
      <c r="AI727" s="13"/>
      <c r="AJ727" s="13"/>
      <c r="AK727" s="13"/>
      <c r="AL727" s="13"/>
      <c r="AM727" s="13"/>
      <c r="AN727" s="13"/>
      <c r="AO727" s="13"/>
      <c r="AP727" s="13"/>
      <c r="AQ727" s="13"/>
      <c r="AR727" s="13"/>
      <c r="AS727" s="13"/>
      <c r="AT727" s="13"/>
      <c r="AU727" s="13"/>
      <c r="AV727" s="13"/>
      <c r="AW727" s="13"/>
      <c r="AX727" s="13"/>
      <c r="AY727" s="13"/>
      <c r="AZ727" s="13"/>
      <c r="BA727" s="13"/>
      <c r="BB727" s="13"/>
      <c r="BC727" s="13"/>
      <c r="BD727" s="13"/>
      <c r="BE727" s="13"/>
      <c r="BF727" s="13"/>
      <c r="BG727" s="13"/>
      <c r="BH727" s="13"/>
      <c r="BI727" s="13"/>
      <c r="BJ727" s="13"/>
      <c r="BK727" s="13"/>
      <c r="BL727" s="13"/>
      <c r="BM727" s="13"/>
      <c r="BN727" s="13"/>
      <c r="BO727" s="13"/>
      <c r="BP727" s="13"/>
      <c r="BQ727" s="13"/>
      <c r="BR727" s="13"/>
      <c r="BS727" s="13"/>
      <c r="BT727" s="13"/>
      <c r="BU727" s="13"/>
      <c r="BV727" s="13"/>
      <c r="BW727" s="13"/>
      <c r="BX727" s="13"/>
      <c r="BY727" s="13"/>
      <c r="BZ727" s="13"/>
      <c r="CA727" s="13"/>
      <c r="CB727" s="13"/>
      <c r="CC727" s="13"/>
      <c r="CD727" s="13"/>
      <c r="CE727" s="13"/>
      <c r="CF727" s="13"/>
      <c r="CG727" s="13"/>
      <c r="CH727" s="13"/>
      <c r="CI727" s="13"/>
      <c r="CJ727" s="13"/>
      <c r="CK727" s="13"/>
      <c r="CL727" s="13"/>
      <c r="CM727" s="13"/>
      <c r="CN727" s="13"/>
      <c r="CO727" s="13"/>
      <c r="CP727" s="13"/>
      <c r="CQ727" s="13"/>
      <c r="CR727" s="13"/>
      <c r="CS727" s="13"/>
      <c r="CT727" s="13"/>
      <c r="CU727" s="13"/>
    </row>
    <row r="728" spans="1:99" ht="12.75">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c r="AH728" s="13"/>
      <c r="AI728" s="13"/>
      <c r="AJ728" s="13"/>
      <c r="AK728" s="13"/>
      <c r="AL728" s="13"/>
      <c r="AM728" s="13"/>
      <c r="AN728" s="13"/>
      <c r="AO728" s="13"/>
      <c r="AP728" s="13"/>
      <c r="AQ728" s="13"/>
      <c r="AR728" s="13"/>
      <c r="AS728" s="13"/>
      <c r="AT728" s="13"/>
      <c r="AU728" s="13"/>
      <c r="AV728" s="13"/>
      <c r="AW728" s="13"/>
      <c r="AX728" s="13"/>
      <c r="AY728" s="13"/>
      <c r="AZ728" s="13"/>
      <c r="BA728" s="13"/>
      <c r="BB728" s="13"/>
      <c r="BC728" s="13"/>
      <c r="BD728" s="13"/>
      <c r="BE728" s="13"/>
      <c r="BF728" s="13"/>
      <c r="BG728" s="13"/>
      <c r="BH728" s="13"/>
      <c r="BI728" s="13"/>
      <c r="BJ728" s="13"/>
      <c r="BK728" s="13"/>
      <c r="BL728" s="13"/>
      <c r="BM728" s="13"/>
      <c r="BN728" s="13"/>
      <c r="BO728" s="13"/>
      <c r="BP728" s="13"/>
      <c r="BQ728" s="13"/>
      <c r="BR728" s="13"/>
      <c r="BS728" s="13"/>
      <c r="BT728" s="13"/>
      <c r="BU728" s="13"/>
      <c r="BV728" s="13"/>
      <c r="BW728" s="13"/>
      <c r="BX728" s="13"/>
      <c r="BY728" s="13"/>
      <c r="BZ728" s="13"/>
      <c r="CA728" s="13"/>
      <c r="CB728" s="13"/>
      <c r="CC728" s="13"/>
      <c r="CD728" s="13"/>
      <c r="CE728" s="13"/>
      <c r="CF728" s="13"/>
      <c r="CG728" s="13"/>
      <c r="CH728" s="13"/>
      <c r="CI728" s="13"/>
      <c r="CJ728" s="13"/>
      <c r="CK728" s="13"/>
      <c r="CL728" s="13"/>
      <c r="CM728" s="13"/>
      <c r="CN728" s="13"/>
      <c r="CO728" s="13"/>
      <c r="CP728" s="13"/>
      <c r="CQ728" s="13"/>
      <c r="CR728" s="13"/>
      <c r="CS728" s="13"/>
      <c r="CT728" s="13"/>
      <c r="CU728" s="13"/>
    </row>
    <row r="729" spans="1:99" ht="12.75">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c r="AH729" s="13"/>
      <c r="AI729" s="13"/>
      <c r="AJ729" s="13"/>
      <c r="AK729" s="13"/>
      <c r="AL729" s="13"/>
      <c r="AM729" s="13"/>
      <c r="AN729" s="13"/>
      <c r="AO729" s="13"/>
      <c r="AP729" s="13"/>
      <c r="AQ729" s="13"/>
      <c r="AR729" s="13"/>
      <c r="AS729" s="13"/>
      <c r="AT729" s="13"/>
      <c r="AU729" s="13"/>
      <c r="AV729" s="13"/>
      <c r="AW729" s="13"/>
      <c r="AX729" s="13"/>
      <c r="AY729" s="13"/>
      <c r="AZ729" s="13"/>
      <c r="BA729" s="13"/>
      <c r="BB729" s="13"/>
      <c r="BC729" s="13"/>
      <c r="BD729" s="13"/>
      <c r="BE729" s="13"/>
      <c r="BF729" s="13"/>
      <c r="BG729" s="13"/>
      <c r="BH729" s="13"/>
      <c r="BI729" s="13"/>
      <c r="BJ729" s="13"/>
      <c r="BK729" s="13"/>
      <c r="BL729" s="13"/>
      <c r="BM729" s="13"/>
      <c r="BN729" s="13"/>
      <c r="BO729" s="13"/>
      <c r="BP729" s="13"/>
      <c r="BQ729" s="13"/>
      <c r="BR729" s="13"/>
      <c r="BS729" s="13"/>
      <c r="BT729" s="13"/>
      <c r="BU729" s="13"/>
      <c r="BV729" s="13"/>
      <c r="BW729" s="13"/>
      <c r="BX729" s="13"/>
      <c r="BY729" s="13"/>
      <c r="BZ729" s="13"/>
      <c r="CA729" s="13"/>
      <c r="CB729" s="13"/>
      <c r="CC729" s="13"/>
      <c r="CD729" s="13"/>
      <c r="CE729" s="13"/>
      <c r="CF729" s="13"/>
      <c r="CG729" s="13"/>
      <c r="CH729" s="13"/>
      <c r="CI729" s="13"/>
      <c r="CJ729" s="13"/>
      <c r="CK729" s="13"/>
      <c r="CL729" s="13"/>
      <c r="CM729" s="13"/>
      <c r="CN729" s="13"/>
      <c r="CO729" s="13"/>
      <c r="CP729" s="13"/>
      <c r="CQ729" s="13"/>
      <c r="CR729" s="13"/>
      <c r="CS729" s="13"/>
      <c r="CT729" s="13"/>
      <c r="CU729" s="13"/>
    </row>
    <row r="730" spans="1:99" ht="12.75">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c r="AN730" s="13"/>
      <c r="AO730" s="13"/>
      <c r="AP730" s="13"/>
      <c r="AQ730" s="13"/>
      <c r="AR730" s="13"/>
      <c r="AS730" s="13"/>
      <c r="AT730" s="13"/>
      <c r="AU730" s="13"/>
      <c r="AV730" s="13"/>
      <c r="AW730" s="13"/>
      <c r="AX730" s="13"/>
      <c r="AY730" s="13"/>
      <c r="AZ730" s="13"/>
      <c r="BA730" s="13"/>
      <c r="BB730" s="13"/>
      <c r="BC730" s="13"/>
      <c r="BD730" s="13"/>
      <c r="BE730" s="13"/>
      <c r="BF730" s="13"/>
      <c r="BG730" s="13"/>
      <c r="BH730" s="13"/>
      <c r="BI730" s="13"/>
      <c r="BJ730" s="13"/>
      <c r="BK730" s="13"/>
      <c r="BL730" s="13"/>
      <c r="BM730" s="13"/>
      <c r="BN730" s="13"/>
      <c r="BO730" s="13"/>
      <c r="BP730" s="13"/>
      <c r="BQ730" s="13"/>
      <c r="BR730" s="13"/>
      <c r="BS730" s="13"/>
      <c r="BT730" s="13"/>
      <c r="BU730" s="13"/>
      <c r="BV730" s="13"/>
      <c r="BW730" s="13"/>
      <c r="BX730" s="13"/>
      <c r="BY730" s="13"/>
      <c r="BZ730" s="13"/>
      <c r="CA730" s="13"/>
      <c r="CB730" s="13"/>
      <c r="CC730" s="13"/>
      <c r="CD730" s="13"/>
      <c r="CE730" s="13"/>
      <c r="CF730" s="13"/>
      <c r="CG730" s="13"/>
      <c r="CH730" s="13"/>
      <c r="CI730" s="13"/>
      <c r="CJ730" s="13"/>
      <c r="CK730" s="13"/>
      <c r="CL730" s="13"/>
      <c r="CM730" s="13"/>
      <c r="CN730" s="13"/>
      <c r="CO730" s="13"/>
      <c r="CP730" s="13"/>
      <c r="CQ730" s="13"/>
      <c r="CR730" s="13"/>
      <c r="CS730" s="13"/>
      <c r="CT730" s="13"/>
      <c r="CU730" s="13"/>
    </row>
    <row r="731" spans="1:99" ht="12.75">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c r="AH731" s="13"/>
      <c r="AI731" s="13"/>
      <c r="AJ731" s="13"/>
      <c r="AK731" s="13"/>
      <c r="AL731" s="13"/>
      <c r="AM731" s="13"/>
      <c r="AN731" s="13"/>
      <c r="AO731" s="13"/>
      <c r="AP731" s="13"/>
      <c r="AQ731" s="13"/>
      <c r="AR731" s="13"/>
      <c r="AS731" s="13"/>
      <c r="AT731" s="13"/>
      <c r="AU731" s="13"/>
      <c r="AV731" s="13"/>
      <c r="AW731" s="13"/>
      <c r="AX731" s="13"/>
      <c r="AY731" s="13"/>
      <c r="AZ731" s="13"/>
      <c r="BA731" s="13"/>
      <c r="BB731" s="13"/>
      <c r="BC731" s="13"/>
      <c r="BD731" s="13"/>
      <c r="BE731" s="13"/>
      <c r="BF731" s="13"/>
      <c r="BG731" s="13"/>
      <c r="BH731" s="13"/>
      <c r="BI731" s="13"/>
      <c r="BJ731" s="13"/>
      <c r="BK731" s="13"/>
      <c r="BL731" s="13"/>
      <c r="BM731" s="13"/>
      <c r="BN731" s="13"/>
      <c r="BO731" s="13"/>
      <c r="BP731" s="13"/>
      <c r="BQ731" s="13"/>
      <c r="BR731" s="13"/>
      <c r="BS731" s="13"/>
      <c r="BT731" s="13"/>
      <c r="BU731" s="13"/>
      <c r="BV731" s="13"/>
      <c r="BW731" s="13"/>
      <c r="BX731" s="13"/>
      <c r="BY731" s="13"/>
      <c r="BZ731" s="13"/>
      <c r="CA731" s="13"/>
      <c r="CB731" s="13"/>
      <c r="CC731" s="13"/>
      <c r="CD731" s="13"/>
      <c r="CE731" s="13"/>
      <c r="CF731" s="13"/>
      <c r="CG731" s="13"/>
      <c r="CH731" s="13"/>
      <c r="CI731" s="13"/>
      <c r="CJ731" s="13"/>
      <c r="CK731" s="13"/>
      <c r="CL731" s="13"/>
      <c r="CM731" s="13"/>
      <c r="CN731" s="13"/>
      <c r="CO731" s="13"/>
      <c r="CP731" s="13"/>
      <c r="CQ731" s="13"/>
      <c r="CR731" s="13"/>
      <c r="CS731" s="13"/>
      <c r="CT731" s="13"/>
      <c r="CU731" s="13"/>
    </row>
    <row r="732" spans="1:99" ht="12.75">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c r="AH732" s="13"/>
      <c r="AI732" s="13"/>
      <c r="AJ732" s="13"/>
      <c r="AK732" s="13"/>
      <c r="AL732" s="13"/>
      <c r="AM732" s="13"/>
      <c r="AN732" s="13"/>
      <c r="AO732" s="13"/>
      <c r="AP732" s="13"/>
      <c r="AQ732" s="13"/>
      <c r="AR732" s="13"/>
      <c r="AS732" s="13"/>
      <c r="AT732" s="13"/>
      <c r="AU732" s="13"/>
      <c r="AV732" s="13"/>
      <c r="AW732" s="13"/>
      <c r="AX732" s="13"/>
      <c r="AY732" s="13"/>
      <c r="AZ732" s="13"/>
      <c r="BA732" s="13"/>
      <c r="BB732" s="13"/>
      <c r="BC732" s="13"/>
      <c r="BD732" s="13"/>
      <c r="BE732" s="13"/>
      <c r="BF732" s="13"/>
      <c r="BG732" s="13"/>
      <c r="BH732" s="13"/>
      <c r="BI732" s="13"/>
      <c r="BJ732" s="13"/>
      <c r="BK732" s="13"/>
      <c r="BL732" s="13"/>
      <c r="BM732" s="13"/>
      <c r="BN732" s="13"/>
      <c r="BO732" s="13"/>
      <c r="BP732" s="13"/>
      <c r="BQ732" s="13"/>
      <c r="BR732" s="13"/>
      <c r="BS732" s="13"/>
      <c r="BT732" s="13"/>
      <c r="BU732" s="13"/>
      <c r="BV732" s="13"/>
      <c r="BW732" s="13"/>
      <c r="BX732" s="13"/>
      <c r="BY732" s="13"/>
      <c r="BZ732" s="13"/>
      <c r="CA732" s="13"/>
      <c r="CB732" s="13"/>
      <c r="CC732" s="13"/>
      <c r="CD732" s="13"/>
      <c r="CE732" s="13"/>
      <c r="CF732" s="13"/>
      <c r="CG732" s="13"/>
      <c r="CH732" s="13"/>
      <c r="CI732" s="13"/>
      <c r="CJ732" s="13"/>
      <c r="CK732" s="13"/>
      <c r="CL732" s="13"/>
      <c r="CM732" s="13"/>
      <c r="CN732" s="13"/>
      <c r="CO732" s="13"/>
      <c r="CP732" s="13"/>
      <c r="CQ732" s="13"/>
      <c r="CR732" s="13"/>
      <c r="CS732" s="13"/>
      <c r="CT732" s="13"/>
      <c r="CU732" s="13"/>
    </row>
    <row r="733" spans="1:99" ht="12.75">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c r="AN733" s="13"/>
      <c r="AO733" s="13"/>
      <c r="AP733" s="13"/>
      <c r="AQ733" s="13"/>
      <c r="AR733" s="13"/>
      <c r="AS733" s="13"/>
      <c r="AT733" s="13"/>
      <c r="AU733" s="13"/>
      <c r="AV733" s="13"/>
      <c r="AW733" s="13"/>
      <c r="AX733" s="13"/>
      <c r="AY733" s="13"/>
      <c r="AZ733" s="13"/>
      <c r="BA733" s="13"/>
      <c r="BB733" s="13"/>
      <c r="BC733" s="13"/>
      <c r="BD733" s="13"/>
      <c r="BE733" s="13"/>
      <c r="BF733" s="13"/>
      <c r="BG733" s="13"/>
      <c r="BH733" s="13"/>
      <c r="BI733" s="13"/>
      <c r="BJ733" s="13"/>
      <c r="BK733" s="13"/>
      <c r="BL733" s="13"/>
      <c r="BM733" s="13"/>
      <c r="BN733" s="13"/>
      <c r="BO733" s="13"/>
      <c r="BP733" s="13"/>
      <c r="BQ733" s="13"/>
      <c r="BR733" s="13"/>
      <c r="BS733" s="13"/>
      <c r="BT733" s="13"/>
      <c r="BU733" s="13"/>
      <c r="BV733" s="13"/>
      <c r="BW733" s="13"/>
      <c r="BX733" s="13"/>
      <c r="BY733" s="13"/>
      <c r="BZ733" s="13"/>
      <c r="CA733" s="13"/>
      <c r="CB733" s="13"/>
      <c r="CC733" s="13"/>
      <c r="CD733" s="13"/>
      <c r="CE733" s="13"/>
      <c r="CF733" s="13"/>
      <c r="CG733" s="13"/>
      <c r="CH733" s="13"/>
      <c r="CI733" s="13"/>
      <c r="CJ733" s="13"/>
      <c r="CK733" s="13"/>
      <c r="CL733" s="13"/>
      <c r="CM733" s="13"/>
      <c r="CN733" s="13"/>
      <c r="CO733" s="13"/>
      <c r="CP733" s="13"/>
      <c r="CQ733" s="13"/>
      <c r="CR733" s="13"/>
      <c r="CS733" s="13"/>
      <c r="CT733" s="13"/>
      <c r="CU733" s="13"/>
    </row>
    <row r="734" spans="1:99" ht="12.75">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c r="AO734" s="13"/>
      <c r="AP734" s="13"/>
      <c r="AQ734" s="13"/>
      <c r="AR734" s="13"/>
      <c r="AS734" s="13"/>
      <c r="AT734" s="13"/>
      <c r="AU734" s="13"/>
      <c r="AV734" s="13"/>
      <c r="AW734" s="13"/>
      <c r="AX734" s="13"/>
      <c r="AY734" s="13"/>
      <c r="AZ734" s="13"/>
      <c r="BA734" s="13"/>
      <c r="BB734" s="13"/>
      <c r="BC734" s="13"/>
      <c r="BD734" s="13"/>
      <c r="BE734" s="13"/>
      <c r="BF734" s="13"/>
      <c r="BG734" s="13"/>
      <c r="BH734" s="13"/>
      <c r="BI734" s="13"/>
      <c r="BJ734" s="13"/>
      <c r="BK734" s="13"/>
      <c r="BL734" s="13"/>
      <c r="BM734" s="13"/>
      <c r="BN734" s="13"/>
      <c r="BO734" s="13"/>
      <c r="BP734" s="13"/>
      <c r="BQ734" s="13"/>
      <c r="BR734" s="13"/>
      <c r="BS734" s="13"/>
      <c r="BT734" s="13"/>
      <c r="BU734" s="13"/>
      <c r="BV734" s="13"/>
      <c r="BW734" s="13"/>
      <c r="BX734" s="13"/>
      <c r="BY734" s="13"/>
      <c r="BZ734" s="13"/>
      <c r="CA734" s="13"/>
      <c r="CB734" s="13"/>
      <c r="CC734" s="13"/>
      <c r="CD734" s="13"/>
      <c r="CE734" s="13"/>
      <c r="CF734" s="13"/>
      <c r="CG734" s="13"/>
      <c r="CH734" s="13"/>
      <c r="CI734" s="13"/>
      <c r="CJ734" s="13"/>
      <c r="CK734" s="13"/>
      <c r="CL734" s="13"/>
      <c r="CM734" s="13"/>
      <c r="CN734" s="13"/>
      <c r="CO734" s="13"/>
      <c r="CP734" s="13"/>
      <c r="CQ734" s="13"/>
      <c r="CR734" s="13"/>
      <c r="CS734" s="13"/>
      <c r="CT734" s="13"/>
      <c r="CU734" s="13"/>
    </row>
    <row r="735" spans="1:99" ht="12.75">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c r="AH735" s="13"/>
      <c r="AI735" s="13"/>
      <c r="AJ735" s="13"/>
      <c r="AK735" s="13"/>
      <c r="AL735" s="13"/>
      <c r="AM735" s="13"/>
      <c r="AN735" s="13"/>
      <c r="AO735" s="13"/>
      <c r="AP735" s="13"/>
      <c r="AQ735" s="13"/>
      <c r="AR735" s="13"/>
      <c r="AS735" s="13"/>
      <c r="AT735" s="13"/>
      <c r="AU735" s="13"/>
      <c r="AV735" s="13"/>
      <c r="AW735" s="13"/>
      <c r="AX735" s="13"/>
      <c r="AY735" s="13"/>
      <c r="AZ735" s="13"/>
      <c r="BA735" s="13"/>
      <c r="BB735" s="13"/>
      <c r="BC735" s="13"/>
      <c r="BD735" s="13"/>
      <c r="BE735" s="13"/>
      <c r="BF735" s="13"/>
      <c r="BG735" s="13"/>
      <c r="BH735" s="13"/>
      <c r="BI735" s="13"/>
      <c r="BJ735" s="13"/>
      <c r="BK735" s="13"/>
      <c r="BL735" s="13"/>
      <c r="BM735" s="13"/>
      <c r="BN735" s="13"/>
      <c r="BO735" s="13"/>
      <c r="BP735" s="13"/>
      <c r="BQ735" s="13"/>
      <c r="BR735" s="13"/>
      <c r="BS735" s="13"/>
      <c r="BT735" s="13"/>
      <c r="BU735" s="13"/>
      <c r="BV735" s="13"/>
      <c r="BW735" s="13"/>
      <c r="BX735" s="13"/>
      <c r="BY735" s="13"/>
      <c r="BZ735" s="13"/>
      <c r="CA735" s="13"/>
      <c r="CB735" s="13"/>
      <c r="CC735" s="13"/>
      <c r="CD735" s="13"/>
      <c r="CE735" s="13"/>
      <c r="CF735" s="13"/>
      <c r="CG735" s="13"/>
      <c r="CH735" s="13"/>
      <c r="CI735" s="13"/>
      <c r="CJ735" s="13"/>
      <c r="CK735" s="13"/>
      <c r="CL735" s="13"/>
      <c r="CM735" s="13"/>
      <c r="CN735" s="13"/>
      <c r="CO735" s="13"/>
      <c r="CP735" s="13"/>
      <c r="CQ735" s="13"/>
      <c r="CR735" s="13"/>
      <c r="CS735" s="13"/>
      <c r="CT735" s="13"/>
      <c r="CU735" s="13"/>
    </row>
    <row r="736" spans="1:99" ht="12.75">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c r="AN736" s="13"/>
      <c r="AO736" s="13"/>
      <c r="AP736" s="13"/>
      <c r="AQ736" s="13"/>
      <c r="AR736" s="13"/>
      <c r="AS736" s="13"/>
      <c r="AT736" s="13"/>
      <c r="AU736" s="13"/>
      <c r="AV736" s="13"/>
      <c r="AW736" s="13"/>
      <c r="AX736" s="13"/>
      <c r="AY736" s="13"/>
      <c r="AZ736" s="13"/>
      <c r="BA736" s="13"/>
      <c r="BB736" s="13"/>
      <c r="BC736" s="13"/>
      <c r="BD736" s="13"/>
      <c r="BE736" s="13"/>
      <c r="BF736" s="13"/>
      <c r="BG736" s="13"/>
      <c r="BH736" s="13"/>
      <c r="BI736" s="13"/>
      <c r="BJ736" s="13"/>
      <c r="BK736" s="13"/>
      <c r="BL736" s="13"/>
      <c r="BM736" s="13"/>
      <c r="BN736" s="13"/>
      <c r="BO736" s="13"/>
      <c r="BP736" s="13"/>
      <c r="BQ736" s="13"/>
      <c r="BR736" s="13"/>
      <c r="BS736" s="13"/>
      <c r="BT736" s="13"/>
      <c r="BU736" s="13"/>
      <c r="BV736" s="13"/>
      <c r="BW736" s="13"/>
      <c r="BX736" s="13"/>
      <c r="BY736" s="13"/>
      <c r="BZ736" s="13"/>
      <c r="CA736" s="13"/>
      <c r="CB736" s="13"/>
      <c r="CC736" s="13"/>
      <c r="CD736" s="13"/>
      <c r="CE736" s="13"/>
      <c r="CF736" s="13"/>
      <c r="CG736" s="13"/>
      <c r="CH736" s="13"/>
      <c r="CI736" s="13"/>
      <c r="CJ736" s="13"/>
      <c r="CK736" s="13"/>
      <c r="CL736" s="13"/>
      <c r="CM736" s="13"/>
      <c r="CN736" s="13"/>
      <c r="CO736" s="13"/>
      <c r="CP736" s="13"/>
      <c r="CQ736" s="13"/>
      <c r="CR736" s="13"/>
      <c r="CS736" s="13"/>
      <c r="CT736" s="13"/>
      <c r="CU736" s="13"/>
    </row>
    <row r="737" spans="1:99" ht="12.75">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c r="AN737" s="13"/>
      <c r="AO737" s="13"/>
      <c r="AP737" s="13"/>
      <c r="AQ737" s="13"/>
      <c r="AR737" s="13"/>
      <c r="AS737" s="13"/>
      <c r="AT737" s="13"/>
      <c r="AU737" s="13"/>
      <c r="AV737" s="13"/>
      <c r="AW737" s="13"/>
      <c r="AX737" s="13"/>
      <c r="AY737" s="13"/>
      <c r="AZ737" s="13"/>
      <c r="BA737" s="13"/>
      <c r="BB737" s="13"/>
      <c r="BC737" s="13"/>
      <c r="BD737" s="13"/>
      <c r="BE737" s="13"/>
      <c r="BF737" s="13"/>
      <c r="BG737" s="13"/>
      <c r="BH737" s="13"/>
      <c r="BI737" s="13"/>
      <c r="BJ737" s="13"/>
      <c r="BK737" s="13"/>
      <c r="BL737" s="13"/>
      <c r="BM737" s="13"/>
      <c r="BN737" s="13"/>
      <c r="BO737" s="13"/>
      <c r="BP737" s="13"/>
      <c r="BQ737" s="13"/>
      <c r="BR737" s="13"/>
      <c r="BS737" s="13"/>
      <c r="BT737" s="13"/>
      <c r="BU737" s="13"/>
      <c r="BV737" s="13"/>
      <c r="BW737" s="13"/>
      <c r="BX737" s="13"/>
      <c r="BY737" s="13"/>
      <c r="BZ737" s="13"/>
      <c r="CA737" s="13"/>
      <c r="CB737" s="13"/>
      <c r="CC737" s="13"/>
      <c r="CD737" s="13"/>
      <c r="CE737" s="13"/>
      <c r="CF737" s="13"/>
      <c r="CG737" s="13"/>
      <c r="CH737" s="13"/>
      <c r="CI737" s="13"/>
      <c r="CJ737" s="13"/>
      <c r="CK737" s="13"/>
      <c r="CL737" s="13"/>
      <c r="CM737" s="13"/>
      <c r="CN737" s="13"/>
      <c r="CO737" s="13"/>
      <c r="CP737" s="13"/>
      <c r="CQ737" s="13"/>
      <c r="CR737" s="13"/>
      <c r="CS737" s="13"/>
      <c r="CT737" s="13"/>
      <c r="CU737" s="13"/>
    </row>
    <row r="738" spans="1:99" ht="12.75">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c r="AH738" s="13"/>
      <c r="AI738" s="13"/>
      <c r="AJ738" s="13"/>
      <c r="AK738" s="13"/>
      <c r="AL738" s="13"/>
      <c r="AM738" s="13"/>
      <c r="AN738" s="13"/>
      <c r="AO738" s="13"/>
      <c r="AP738" s="13"/>
      <c r="AQ738" s="13"/>
      <c r="AR738" s="13"/>
      <c r="AS738" s="13"/>
      <c r="AT738" s="13"/>
      <c r="AU738" s="13"/>
      <c r="AV738" s="13"/>
      <c r="AW738" s="13"/>
      <c r="AX738" s="13"/>
      <c r="AY738" s="13"/>
      <c r="AZ738" s="13"/>
      <c r="BA738" s="13"/>
      <c r="BB738" s="13"/>
      <c r="BC738" s="13"/>
      <c r="BD738" s="13"/>
      <c r="BE738" s="13"/>
      <c r="BF738" s="13"/>
      <c r="BG738" s="13"/>
      <c r="BH738" s="13"/>
      <c r="BI738" s="13"/>
      <c r="BJ738" s="13"/>
      <c r="BK738" s="13"/>
      <c r="BL738" s="13"/>
      <c r="BM738" s="13"/>
      <c r="BN738" s="13"/>
      <c r="BO738" s="13"/>
      <c r="BP738" s="13"/>
      <c r="BQ738" s="13"/>
      <c r="BR738" s="13"/>
      <c r="BS738" s="13"/>
      <c r="BT738" s="13"/>
      <c r="BU738" s="13"/>
      <c r="BV738" s="13"/>
      <c r="BW738" s="13"/>
      <c r="BX738" s="13"/>
      <c r="BY738" s="13"/>
      <c r="BZ738" s="13"/>
      <c r="CA738" s="13"/>
      <c r="CB738" s="13"/>
      <c r="CC738" s="13"/>
      <c r="CD738" s="13"/>
      <c r="CE738" s="13"/>
      <c r="CF738" s="13"/>
      <c r="CG738" s="13"/>
      <c r="CH738" s="13"/>
      <c r="CI738" s="13"/>
      <c r="CJ738" s="13"/>
      <c r="CK738" s="13"/>
      <c r="CL738" s="13"/>
      <c r="CM738" s="13"/>
      <c r="CN738" s="13"/>
      <c r="CO738" s="13"/>
      <c r="CP738" s="13"/>
      <c r="CQ738" s="13"/>
      <c r="CR738" s="13"/>
      <c r="CS738" s="13"/>
      <c r="CT738" s="13"/>
      <c r="CU738" s="13"/>
    </row>
    <row r="739" spans="1:99" ht="12.75">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c r="AH739" s="13"/>
      <c r="AI739" s="13"/>
      <c r="AJ739" s="13"/>
      <c r="AK739" s="13"/>
      <c r="AL739" s="13"/>
      <c r="AM739" s="13"/>
      <c r="AN739" s="13"/>
      <c r="AO739" s="13"/>
      <c r="AP739" s="13"/>
      <c r="AQ739" s="13"/>
      <c r="AR739" s="13"/>
      <c r="AS739" s="13"/>
      <c r="AT739" s="13"/>
      <c r="AU739" s="13"/>
      <c r="AV739" s="13"/>
      <c r="AW739" s="13"/>
      <c r="AX739" s="13"/>
      <c r="AY739" s="13"/>
      <c r="AZ739" s="13"/>
      <c r="BA739" s="13"/>
      <c r="BB739" s="13"/>
      <c r="BC739" s="13"/>
      <c r="BD739" s="13"/>
      <c r="BE739" s="13"/>
      <c r="BF739" s="13"/>
      <c r="BG739" s="13"/>
      <c r="BH739" s="13"/>
      <c r="BI739" s="13"/>
      <c r="BJ739" s="13"/>
      <c r="BK739" s="13"/>
      <c r="BL739" s="13"/>
      <c r="BM739" s="13"/>
      <c r="BN739" s="13"/>
      <c r="BO739" s="13"/>
      <c r="BP739" s="13"/>
      <c r="BQ739" s="13"/>
      <c r="BR739" s="13"/>
      <c r="BS739" s="13"/>
      <c r="BT739" s="13"/>
      <c r="BU739" s="13"/>
      <c r="BV739" s="13"/>
      <c r="BW739" s="13"/>
      <c r="BX739" s="13"/>
      <c r="BY739" s="13"/>
      <c r="BZ739" s="13"/>
      <c r="CA739" s="13"/>
      <c r="CB739" s="13"/>
      <c r="CC739" s="13"/>
      <c r="CD739" s="13"/>
      <c r="CE739" s="13"/>
      <c r="CF739" s="13"/>
      <c r="CG739" s="13"/>
      <c r="CH739" s="13"/>
      <c r="CI739" s="13"/>
      <c r="CJ739" s="13"/>
      <c r="CK739" s="13"/>
      <c r="CL739" s="13"/>
      <c r="CM739" s="13"/>
      <c r="CN739" s="13"/>
      <c r="CO739" s="13"/>
      <c r="CP739" s="13"/>
      <c r="CQ739" s="13"/>
      <c r="CR739" s="13"/>
      <c r="CS739" s="13"/>
      <c r="CT739" s="13"/>
      <c r="CU739" s="13"/>
    </row>
    <row r="740" spans="1:99" ht="12.75">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c r="AH740" s="13"/>
      <c r="AI740" s="13"/>
      <c r="AJ740" s="13"/>
      <c r="AK740" s="13"/>
      <c r="AL740" s="13"/>
      <c r="AM740" s="13"/>
      <c r="AN740" s="13"/>
      <c r="AO740" s="13"/>
      <c r="AP740" s="13"/>
      <c r="AQ740" s="13"/>
      <c r="AR740" s="13"/>
      <c r="AS740" s="13"/>
      <c r="AT740" s="13"/>
      <c r="AU740" s="13"/>
      <c r="AV740" s="13"/>
      <c r="AW740" s="13"/>
      <c r="AX740" s="13"/>
      <c r="AY740" s="13"/>
      <c r="AZ740" s="13"/>
      <c r="BA740" s="13"/>
      <c r="BB740" s="13"/>
      <c r="BC740" s="13"/>
      <c r="BD740" s="13"/>
      <c r="BE740" s="13"/>
      <c r="BF740" s="13"/>
      <c r="BG740" s="13"/>
      <c r="BH740" s="13"/>
      <c r="BI740" s="13"/>
      <c r="BJ740" s="13"/>
      <c r="BK740" s="13"/>
      <c r="BL740" s="13"/>
      <c r="BM740" s="13"/>
      <c r="BN740" s="13"/>
      <c r="BO740" s="13"/>
      <c r="BP740" s="13"/>
      <c r="BQ740" s="13"/>
      <c r="BR740" s="13"/>
      <c r="BS740" s="13"/>
      <c r="BT740" s="13"/>
      <c r="BU740" s="13"/>
      <c r="BV740" s="13"/>
      <c r="BW740" s="13"/>
      <c r="BX740" s="13"/>
      <c r="BY740" s="13"/>
      <c r="BZ740" s="13"/>
      <c r="CA740" s="13"/>
      <c r="CB740" s="13"/>
      <c r="CC740" s="13"/>
      <c r="CD740" s="13"/>
      <c r="CE740" s="13"/>
      <c r="CF740" s="13"/>
      <c r="CG740" s="13"/>
      <c r="CH740" s="13"/>
      <c r="CI740" s="13"/>
      <c r="CJ740" s="13"/>
      <c r="CK740" s="13"/>
      <c r="CL740" s="13"/>
      <c r="CM740" s="13"/>
      <c r="CN740" s="13"/>
      <c r="CO740" s="13"/>
      <c r="CP740" s="13"/>
      <c r="CQ740" s="13"/>
      <c r="CR740" s="13"/>
      <c r="CS740" s="13"/>
      <c r="CT740" s="13"/>
      <c r="CU740" s="13"/>
    </row>
    <row r="741" spans="1:99" ht="12.75">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c r="AH741" s="13"/>
      <c r="AI741" s="13"/>
      <c r="AJ741" s="13"/>
      <c r="AK741" s="13"/>
      <c r="AL741" s="13"/>
      <c r="AM741" s="13"/>
      <c r="AN741" s="13"/>
      <c r="AO741" s="13"/>
      <c r="AP741" s="13"/>
      <c r="AQ741" s="13"/>
      <c r="AR741" s="13"/>
      <c r="AS741" s="13"/>
      <c r="AT741" s="13"/>
      <c r="AU741" s="13"/>
      <c r="AV741" s="13"/>
      <c r="AW741" s="13"/>
      <c r="AX741" s="13"/>
      <c r="AY741" s="13"/>
      <c r="AZ741" s="13"/>
      <c r="BA741" s="13"/>
      <c r="BB741" s="13"/>
      <c r="BC741" s="13"/>
      <c r="BD741" s="13"/>
      <c r="BE741" s="13"/>
      <c r="BF741" s="13"/>
      <c r="BG741" s="13"/>
      <c r="BH741" s="13"/>
      <c r="BI741" s="13"/>
      <c r="BJ741" s="13"/>
      <c r="BK741" s="13"/>
      <c r="BL741" s="13"/>
      <c r="BM741" s="13"/>
      <c r="BN741" s="13"/>
      <c r="BO741" s="13"/>
      <c r="BP741" s="13"/>
      <c r="BQ741" s="13"/>
      <c r="BR741" s="13"/>
      <c r="BS741" s="13"/>
      <c r="BT741" s="13"/>
      <c r="BU741" s="13"/>
      <c r="BV741" s="13"/>
      <c r="BW741" s="13"/>
      <c r="BX741" s="13"/>
      <c r="BY741" s="13"/>
      <c r="BZ741" s="13"/>
      <c r="CA741" s="13"/>
      <c r="CB741" s="13"/>
      <c r="CC741" s="13"/>
      <c r="CD741" s="13"/>
      <c r="CE741" s="13"/>
      <c r="CF741" s="13"/>
      <c r="CG741" s="13"/>
      <c r="CH741" s="13"/>
      <c r="CI741" s="13"/>
      <c r="CJ741" s="13"/>
      <c r="CK741" s="13"/>
      <c r="CL741" s="13"/>
      <c r="CM741" s="13"/>
      <c r="CN741" s="13"/>
      <c r="CO741" s="13"/>
      <c r="CP741" s="13"/>
      <c r="CQ741" s="13"/>
      <c r="CR741" s="13"/>
      <c r="CS741" s="13"/>
      <c r="CT741" s="13"/>
      <c r="CU741" s="13"/>
    </row>
    <row r="742" spans="1:99" ht="12.75">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c r="AO742" s="13"/>
      <c r="AP742" s="13"/>
      <c r="AQ742" s="13"/>
      <c r="AR742" s="13"/>
      <c r="AS742" s="13"/>
      <c r="AT742" s="13"/>
      <c r="AU742" s="13"/>
      <c r="AV742" s="13"/>
      <c r="AW742" s="13"/>
      <c r="AX742" s="13"/>
      <c r="AY742" s="13"/>
      <c r="AZ742" s="13"/>
      <c r="BA742" s="13"/>
      <c r="BB742" s="13"/>
      <c r="BC742" s="13"/>
      <c r="BD742" s="13"/>
      <c r="BE742" s="13"/>
      <c r="BF742" s="13"/>
      <c r="BG742" s="13"/>
      <c r="BH742" s="13"/>
      <c r="BI742" s="13"/>
      <c r="BJ742" s="13"/>
      <c r="BK742" s="13"/>
      <c r="BL742" s="13"/>
      <c r="BM742" s="13"/>
      <c r="BN742" s="13"/>
      <c r="BO742" s="13"/>
      <c r="BP742" s="13"/>
      <c r="BQ742" s="13"/>
      <c r="BR742" s="13"/>
      <c r="BS742" s="13"/>
      <c r="BT742" s="13"/>
      <c r="BU742" s="13"/>
      <c r="BV742" s="13"/>
      <c r="BW742" s="13"/>
      <c r="BX742" s="13"/>
      <c r="BY742" s="13"/>
      <c r="BZ742" s="13"/>
      <c r="CA742" s="13"/>
      <c r="CB742" s="13"/>
      <c r="CC742" s="13"/>
      <c r="CD742" s="13"/>
      <c r="CE742" s="13"/>
      <c r="CF742" s="13"/>
      <c r="CG742" s="13"/>
      <c r="CH742" s="13"/>
      <c r="CI742" s="13"/>
      <c r="CJ742" s="13"/>
      <c r="CK742" s="13"/>
      <c r="CL742" s="13"/>
      <c r="CM742" s="13"/>
      <c r="CN742" s="13"/>
      <c r="CO742" s="13"/>
      <c r="CP742" s="13"/>
      <c r="CQ742" s="13"/>
      <c r="CR742" s="13"/>
      <c r="CS742" s="13"/>
      <c r="CT742" s="13"/>
      <c r="CU742" s="13"/>
    </row>
    <row r="743" spans="1:99" ht="12.75">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c r="AH743" s="13"/>
      <c r="AI743" s="13"/>
      <c r="AJ743" s="13"/>
      <c r="AK743" s="13"/>
      <c r="AL743" s="13"/>
      <c r="AM743" s="13"/>
      <c r="AN743" s="13"/>
      <c r="AO743" s="13"/>
      <c r="AP743" s="13"/>
      <c r="AQ743" s="13"/>
      <c r="AR743" s="13"/>
      <c r="AS743" s="13"/>
      <c r="AT743" s="13"/>
      <c r="AU743" s="13"/>
      <c r="AV743" s="13"/>
      <c r="AW743" s="13"/>
      <c r="AX743" s="13"/>
      <c r="AY743" s="13"/>
      <c r="AZ743" s="13"/>
      <c r="BA743" s="13"/>
      <c r="BB743" s="13"/>
      <c r="BC743" s="13"/>
      <c r="BD743" s="13"/>
      <c r="BE743" s="13"/>
      <c r="BF743" s="13"/>
      <c r="BG743" s="13"/>
      <c r="BH743" s="13"/>
      <c r="BI743" s="13"/>
      <c r="BJ743" s="13"/>
      <c r="BK743" s="13"/>
      <c r="BL743" s="13"/>
      <c r="BM743" s="13"/>
      <c r="BN743" s="13"/>
      <c r="BO743" s="13"/>
      <c r="BP743" s="13"/>
      <c r="BQ743" s="13"/>
      <c r="BR743" s="13"/>
      <c r="BS743" s="13"/>
      <c r="BT743" s="13"/>
      <c r="BU743" s="13"/>
      <c r="BV743" s="13"/>
      <c r="BW743" s="13"/>
      <c r="BX743" s="13"/>
      <c r="BY743" s="13"/>
      <c r="BZ743" s="13"/>
      <c r="CA743" s="13"/>
      <c r="CB743" s="13"/>
      <c r="CC743" s="13"/>
      <c r="CD743" s="13"/>
      <c r="CE743" s="13"/>
      <c r="CF743" s="13"/>
      <c r="CG743" s="13"/>
      <c r="CH743" s="13"/>
      <c r="CI743" s="13"/>
      <c r="CJ743" s="13"/>
      <c r="CK743" s="13"/>
      <c r="CL743" s="13"/>
      <c r="CM743" s="13"/>
      <c r="CN743" s="13"/>
      <c r="CO743" s="13"/>
      <c r="CP743" s="13"/>
      <c r="CQ743" s="13"/>
      <c r="CR743" s="13"/>
      <c r="CS743" s="13"/>
      <c r="CT743" s="13"/>
      <c r="CU743" s="13"/>
    </row>
    <row r="744" spans="1:99" ht="12.75">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c r="AN744" s="13"/>
      <c r="AO744" s="13"/>
      <c r="AP744" s="13"/>
      <c r="AQ744" s="13"/>
      <c r="AR744" s="13"/>
      <c r="AS744" s="13"/>
      <c r="AT744" s="13"/>
      <c r="AU744" s="13"/>
      <c r="AV744" s="13"/>
      <c r="AW744" s="13"/>
      <c r="AX744" s="13"/>
      <c r="AY744" s="13"/>
      <c r="AZ744" s="13"/>
      <c r="BA744" s="13"/>
      <c r="BB744" s="13"/>
      <c r="BC744" s="13"/>
      <c r="BD744" s="13"/>
      <c r="BE744" s="13"/>
      <c r="BF744" s="13"/>
      <c r="BG744" s="13"/>
      <c r="BH744" s="13"/>
      <c r="BI744" s="13"/>
      <c r="BJ744" s="13"/>
      <c r="BK744" s="13"/>
      <c r="BL744" s="13"/>
      <c r="BM744" s="13"/>
      <c r="BN744" s="13"/>
      <c r="BO744" s="13"/>
      <c r="BP744" s="13"/>
      <c r="BQ744" s="13"/>
      <c r="BR744" s="13"/>
      <c r="BS744" s="13"/>
      <c r="BT744" s="13"/>
      <c r="BU744" s="13"/>
      <c r="BV744" s="13"/>
      <c r="BW744" s="13"/>
      <c r="BX744" s="13"/>
      <c r="BY744" s="13"/>
      <c r="BZ744" s="13"/>
      <c r="CA744" s="13"/>
      <c r="CB744" s="13"/>
      <c r="CC744" s="13"/>
      <c r="CD744" s="13"/>
      <c r="CE744" s="13"/>
      <c r="CF744" s="13"/>
      <c r="CG744" s="13"/>
      <c r="CH744" s="13"/>
      <c r="CI744" s="13"/>
      <c r="CJ744" s="13"/>
      <c r="CK744" s="13"/>
      <c r="CL744" s="13"/>
      <c r="CM744" s="13"/>
      <c r="CN744" s="13"/>
      <c r="CO744" s="13"/>
      <c r="CP744" s="13"/>
      <c r="CQ744" s="13"/>
      <c r="CR744" s="13"/>
      <c r="CS744" s="13"/>
      <c r="CT744" s="13"/>
      <c r="CU744" s="13"/>
    </row>
    <row r="745" spans="1:99" ht="12.75">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c r="AH745" s="13"/>
      <c r="AI745" s="13"/>
      <c r="AJ745" s="13"/>
      <c r="AK745" s="13"/>
      <c r="AL745" s="13"/>
      <c r="AM745" s="13"/>
      <c r="AN745" s="13"/>
      <c r="AO745" s="13"/>
      <c r="AP745" s="13"/>
      <c r="AQ745" s="13"/>
      <c r="AR745" s="13"/>
      <c r="AS745" s="13"/>
      <c r="AT745" s="13"/>
      <c r="AU745" s="13"/>
      <c r="AV745" s="13"/>
      <c r="AW745" s="13"/>
      <c r="AX745" s="13"/>
      <c r="AY745" s="13"/>
      <c r="AZ745" s="13"/>
      <c r="BA745" s="13"/>
      <c r="BB745" s="13"/>
      <c r="BC745" s="13"/>
      <c r="BD745" s="13"/>
      <c r="BE745" s="13"/>
      <c r="BF745" s="13"/>
      <c r="BG745" s="13"/>
      <c r="BH745" s="13"/>
      <c r="BI745" s="13"/>
      <c r="BJ745" s="13"/>
      <c r="BK745" s="13"/>
      <c r="BL745" s="13"/>
      <c r="BM745" s="13"/>
      <c r="BN745" s="13"/>
      <c r="BO745" s="13"/>
      <c r="BP745" s="13"/>
      <c r="BQ745" s="13"/>
      <c r="BR745" s="13"/>
      <c r="BS745" s="13"/>
      <c r="BT745" s="13"/>
      <c r="BU745" s="13"/>
      <c r="BV745" s="13"/>
      <c r="BW745" s="13"/>
      <c r="BX745" s="13"/>
      <c r="BY745" s="13"/>
      <c r="BZ745" s="13"/>
      <c r="CA745" s="13"/>
      <c r="CB745" s="13"/>
      <c r="CC745" s="13"/>
      <c r="CD745" s="13"/>
      <c r="CE745" s="13"/>
      <c r="CF745" s="13"/>
      <c r="CG745" s="13"/>
      <c r="CH745" s="13"/>
      <c r="CI745" s="13"/>
      <c r="CJ745" s="13"/>
      <c r="CK745" s="13"/>
      <c r="CL745" s="13"/>
      <c r="CM745" s="13"/>
      <c r="CN745" s="13"/>
      <c r="CO745" s="13"/>
      <c r="CP745" s="13"/>
      <c r="CQ745" s="13"/>
      <c r="CR745" s="13"/>
      <c r="CS745" s="13"/>
      <c r="CT745" s="13"/>
      <c r="CU745" s="13"/>
    </row>
    <row r="746" spans="1:99" ht="12.75">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c r="AH746" s="13"/>
      <c r="AI746" s="13"/>
      <c r="AJ746" s="13"/>
      <c r="AK746" s="13"/>
      <c r="AL746" s="13"/>
      <c r="AM746" s="13"/>
      <c r="AN746" s="13"/>
      <c r="AO746" s="13"/>
      <c r="AP746" s="13"/>
      <c r="AQ746" s="13"/>
      <c r="AR746" s="13"/>
      <c r="AS746" s="13"/>
      <c r="AT746" s="13"/>
      <c r="AU746" s="13"/>
      <c r="AV746" s="13"/>
      <c r="AW746" s="13"/>
      <c r="AX746" s="13"/>
      <c r="AY746" s="13"/>
      <c r="AZ746" s="13"/>
      <c r="BA746" s="13"/>
      <c r="BB746" s="13"/>
      <c r="BC746" s="13"/>
      <c r="BD746" s="13"/>
      <c r="BE746" s="13"/>
      <c r="BF746" s="13"/>
      <c r="BG746" s="13"/>
      <c r="BH746" s="13"/>
      <c r="BI746" s="13"/>
      <c r="BJ746" s="13"/>
      <c r="BK746" s="13"/>
      <c r="BL746" s="13"/>
      <c r="BM746" s="13"/>
      <c r="BN746" s="13"/>
      <c r="BO746" s="13"/>
      <c r="BP746" s="13"/>
      <c r="BQ746" s="13"/>
      <c r="BR746" s="13"/>
      <c r="BS746" s="13"/>
      <c r="BT746" s="13"/>
      <c r="BU746" s="13"/>
      <c r="BV746" s="13"/>
      <c r="BW746" s="13"/>
      <c r="BX746" s="13"/>
      <c r="BY746" s="13"/>
      <c r="BZ746" s="13"/>
      <c r="CA746" s="13"/>
      <c r="CB746" s="13"/>
      <c r="CC746" s="13"/>
      <c r="CD746" s="13"/>
      <c r="CE746" s="13"/>
      <c r="CF746" s="13"/>
      <c r="CG746" s="13"/>
      <c r="CH746" s="13"/>
      <c r="CI746" s="13"/>
      <c r="CJ746" s="13"/>
      <c r="CK746" s="13"/>
      <c r="CL746" s="13"/>
      <c r="CM746" s="13"/>
      <c r="CN746" s="13"/>
      <c r="CO746" s="13"/>
      <c r="CP746" s="13"/>
      <c r="CQ746" s="13"/>
      <c r="CR746" s="13"/>
      <c r="CS746" s="13"/>
      <c r="CT746" s="13"/>
      <c r="CU746" s="13"/>
    </row>
    <row r="747" spans="1:99" ht="12.75">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c r="AH747" s="13"/>
      <c r="AI747" s="13"/>
      <c r="AJ747" s="13"/>
      <c r="AK747" s="13"/>
      <c r="AL747" s="13"/>
      <c r="AM747" s="13"/>
      <c r="AN747" s="13"/>
      <c r="AO747" s="13"/>
      <c r="AP747" s="13"/>
      <c r="AQ747" s="13"/>
      <c r="AR747" s="13"/>
      <c r="AS747" s="13"/>
      <c r="AT747" s="13"/>
      <c r="AU747" s="13"/>
      <c r="AV747" s="13"/>
      <c r="AW747" s="13"/>
      <c r="AX747" s="13"/>
      <c r="AY747" s="13"/>
      <c r="AZ747" s="13"/>
      <c r="BA747" s="13"/>
      <c r="BB747" s="13"/>
      <c r="BC747" s="13"/>
      <c r="BD747" s="13"/>
      <c r="BE747" s="13"/>
      <c r="BF747" s="13"/>
      <c r="BG747" s="13"/>
      <c r="BH747" s="13"/>
      <c r="BI747" s="13"/>
      <c r="BJ747" s="13"/>
      <c r="BK747" s="13"/>
      <c r="BL747" s="13"/>
      <c r="BM747" s="13"/>
      <c r="BN747" s="13"/>
      <c r="BO747" s="13"/>
      <c r="BP747" s="13"/>
      <c r="BQ747" s="13"/>
      <c r="BR747" s="13"/>
      <c r="BS747" s="13"/>
      <c r="BT747" s="13"/>
      <c r="BU747" s="13"/>
      <c r="BV747" s="13"/>
      <c r="BW747" s="13"/>
      <c r="BX747" s="13"/>
      <c r="BY747" s="13"/>
      <c r="BZ747" s="13"/>
      <c r="CA747" s="13"/>
      <c r="CB747" s="13"/>
      <c r="CC747" s="13"/>
      <c r="CD747" s="13"/>
      <c r="CE747" s="13"/>
      <c r="CF747" s="13"/>
      <c r="CG747" s="13"/>
      <c r="CH747" s="13"/>
      <c r="CI747" s="13"/>
      <c r="CJ747" s="13"/>
      <c r="CK747" s="13"/>
      <c r="CL747" s="13"/>
      <c r="CM747" s="13"/>
      <c r="CN747" s="13"/>
      <c r="CO747" s="13"/>
      <c r="CP747" s="13"/>
      <c r="CQ747" s="13"/>
      <c r="CR747" s="13"/>
      <c r="CS747" s="13"/>
      <c r="CT747" s="13"/>
      <c r="CU747" s="13"/>
    </row>
    <row r="748" spans="1:99" ht="12.75">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c r="AH748" s="13"/>
      <c r="AI748" s="13"/>
      <c r="AJ748" s="13"/>
      <c r="AK748" s="13"/>
      <c r="AL748" s="13"/>
      <c r="AM748" s="13"/>
      <c r="AN748" s="13"/>
      <c r="AO748" s="13"/>
      <c r="AP748" s="13"/>
      <c r="AQ748" s="13"/>
      <c r="AR748" s="13"/>
      <c r="AS748" s="13"/>
      <c r="AT748" s="13"/>
      <c r="AU748" s="13"/>
      <c r="AV748" s="13"/>
      <c r="AW748" s="13"/>
      <c r="AX748" s="13"/>
      <c r="AY748" s="13"/>
      <c r="AZ748" s="13"/>
      <c r="BA748" s="13"/>
      <c r="BB748" s="13"/>
      <c r="BC748" s="13"/>
      <c r="BD748" s="13"/>
      <c r="BE748" s="13"/>
      <c r="BF748" s="13"/>
      <c r="BG748" s="13"/>
      <c r="BH748" s="13"/>
      <c r="BI748" s="13"/>
      <c r="BJ748" s="13"/>
      <c r="BK748" s="13"/>
      <c r="BL748" s="13"/>
      <c r="BM748" s="13"/>
      <c r="BN748" s="13"/>
      <c r="BO748" s="13"/>
      <c r="BP748" s="13"/>
      <c r="BQ748" s="13"/>
      <c r="BR748" s="13"/>
      <c r="BS748" s="13"/>
      <c r="BT748" s="13"/>
      <c r="BU748" s="13"/>
      <c r="BV748" s="13"/>
      <c r="BW748" s="13"/>
      <c r="BX748" s="13"/>
      <c r="BY748" s="13"/>
      <c r="BZ748" s="13"/>
      <c r="CA748" s="13"/>
      <c r="CB748" s="13"/>
      <c r="CC748" s="13"/>
      <c r="CD748" s="13"/>
      <c r="CE748" s="13"/>
      <c r="CF748" s="13"/>
      <c r="CG748" s="13"/>
      <c r="CH748" s="13"/>
      <c r="CI748" s="13"/>
      <c r="CJ748" s="13"/>
      <c r="CK748" s="13"/>
      <c r="CL748" s="13"/>
      <c r="CM748" s="13"/>
      <c r="CN748" s="13"/>
      <c r="CO748" s="13"/>
      <c r="CP748" s="13"/>
      <c r="CQ748" s="13"/>
      <c r="CR748" s="13"/>
      <c r="CS748" s="13"/>
      <c r="CT748" s="13"/>
      <c r="CU748" s="13"/>
    </row>
    <row r="749" spans="1:99" ht="12.75">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c r="AH749" s="13"/>
      <c r="AI749" s="13"/>
      <c r="AJ749" s="13"/>
      <c r="AK749" s="13"/>
      <c r="AL749" s="13"/>
      <c r="AM749" s="13"/>
      <c r="AN749" s="13"/>
      <c r="AO749" s="13"/>
      <c r="AP749" s="13"/>
      <c r="AQ749" s="13"/>
      <c r="AR749" s="13"/>
      <c r="AS749" s="13"/>
      <c r="AT749" s="13"/>
      <c r="AU749" s="13"/>
      <c r="AV749" s="13"/>
      <c r="AW749" s="13"/>
      <c r="AX749" s="13"/>
      <c r="AY749" s="13"/>
      <c r="AZ749" s="13"/>
      <c r="BA749" s="13"/>
      <c r="BB749" s="13"/>
      <c r="BC749" s="13"/>
      <c r="BD749" s="13"/>
      <c r="BE749" s="13"/>
      <c r="BF749" s="13"/>
      <c r="BG749" s="13"/>
      <c r="BH749" s="13"/>
      <c r="BI749" s="13"/>
      <c r="BJ749" s="13"/>
      <c r="BK749" s="13"/>
      <c r="BL749" s="13"/>
      <c r="BM749" s="13"/>
      <c r="BN749" s="13"/>
      <c r="BO749" s="13"/>
      <c r="BP749" s="13"/>
      <c r="BQ749" s="13"/>
      <c r="BR749" s="13"/>
      <c r="BS749" s="13"/>
      <c r="BT749" s="13"/>
      <c r="BU749" s="13"/>
      <c r="BV749" s="13"/>
      <c r="BW749" s="13"/>
      <c r="BX749" s="13"/>
      <c r="BY749" s="13"/>
      <c r="BZ749" s="13"/>
      <c r="CA749" s="13"/>
      <c r="CB749" s="13"/>
      <c r="CC749" s="13"/>
      <c r="CD749" s="13"/>
      <c r="CE749" s="13"/>
      <c r="CF749" s="13"/>
      <c r="CG749" s="13"/>
      <c r="CH749" s="13"/>
      <c r="CI749" s="13"/>
      <c r="CJ749" s="13"/>
      <c r="CK749" s="13"/>
      <c r="CL749" s="13"/>
      <c r="CM749" s="13"/>
      <c r="CN749" s="13"/>
      <c r="CO749" s="13"/>
      <c r="CP749" s="13"/>
      <c r="CQ749" s="13"/>
      <c r="CR749" s="13"/>
      <c r="CS749" s="13"/>
      <c r="CT749" s="13"/>
      <c r="CU749" s="13"/>
    </row>
    <row r="750" spans="1:99" ht="12.75">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c r="AO750" s="13"/>
      <c r="AP750" s="13"/>
      <c r="AQ750" s="13"/>
      <c r="AR750" s="13"/>
      <c r="AS750" s="13"/>
      <c r="AT750" s="13"/>
      <c r="AU750" s="13"/>
      <c r="AV750" s="13"/>
      <c r="AW750" s="13"/>
      <c r="AX750" s="13"/>
      <c r="AY750" s="13"/>
      <c r="AZ750" s="13"/>
      <c r="BA750" s="13"/>
      <c r="BB750" s="13"/>
      <c r="BC750" s="13"/>
      <c r="BD750" s="13"/>
      <c r="BE750" s="13"/>
      <c r="BF750" s="13"/>
      <c r="BG750" s="13"/>
      <c r="BH750" s="13"/>
      <c r="BI750" s="13"/>
      <c r="BJ750" s="13"/>
      <c r="BK750" s="13"/>
      <c r="BL750" s="13"/>
      <c r="BM750" s="13"/>
      <c r="BN750" s="13"/>
      <c r="BO750" s="13"/>
      <c r="BP750" s="13"/>
      <c r="BQ750" s="13"/>
      <c r="BR750" s="13"/>
      <c r="BS750" s="13"/>
      <c r="BT750" s="13"/>
      <c r="BU750" s="13"/>
      <c r="BV750" s="13"/>
      <c r="BW750" s="13"/>
      <c r="BX750" s="13"/>
      <c r="BY750" s="13"/>
      <c r="BZ750" s="13"/>
      <c r="CA750" s="13"/>
      <c r="CB750" s="13"/>
      <c r="CC750" s="13"/>
      <c r="CD750" s="13"/>
      <c r="CE750" s="13"/>
      <c r="CF750" s="13"/>
      <c r="CG750" s="13"/>
      <c r="CH750" s="13"/>
      <c r="CI750" s="13"/>
      <c r="CJ750" s="13"/>
      <c r="CK750" s="13"/>
      <c r="CL750" s="13"/>
      <c r="CM750" s="13"/>
      <c r="CN750" s="13"/>
      <c r="CO750" s="13"/>
      <c r="CP750" s="13"/>
      <c r="CQ750" s="13"/>
      <c r="CR750" s="13"/>
      <c r="CS750" s="13"/>
      <c r="CT750" s="13"/>
      <c r="CU750" s="13"/>
    </row>
    <row r="751" spans="1:99" ht="12.75">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c r="AN751" s="13"/>
      <c r="AO751" s="13"/>
      <c r="AP751" s="13"/>
      <c r="AQ751" s="13"/>
      <c r="AR751" s="13"/>
      <c r="AS751" s="13"/>
      <c r="AT751" s="13"/>
      <c r="AU751" s="13"/>
      <c r="AV751" s="13"/>
      <c r="AW751" s="13"/>
      <c r="AX751" s="13"/>
      <c r="AY751" s="13"/>
      <c r="AZ751" s="13"/>
      <c r="BA751" s="13"/>
      <c r="BB751" s="13"/>
      <c r="BC751" s="13"/>
      <c r="BD751" s="13"/>
      <c r="BE751" s="13"/>
      <c r="BF751" s="13"/>
      <c r="BG751" s="13"/>
      <c r="BH751" s="13"/>
      <c r="BI751" s="13"/>
      <c r="BJ751" s="13"/>
      <c r="BK751" s="13"/>
      <c r="BL751" s="13"/>
      <c r="BM751" s="13"/>
      <c r="BN751" s="13"/>
      <c r="BO751" s="13"/>
      <c r="BP751" s="13"/>
      <c r="BQ751" s="13"/>
      <c r="BR751" s="13"/>
      <c r="BS751" s="13"/>
      <c r="BT751" s="13"/>
      <c r="BU751" s="13"/>
      <c r="BV751" s="13"/>
      <c r="BW751" s="13"/>
      <c r="BX751" s="13"/>
      <c r="BY751" s="13"/>
      <c r="BZ751" s="13"/>
      <c r="CA751" s="13"/>
      <c r="CB751" s="13"/>
      <c r="CC751" s="13"/>
      <c r="CD751" s="13"/>
      <c r="CE751" s="13"/>
      <c r="CF751" s="13"/>
      <c r="CG751" s="13"/>
      <c r="CH751" s="13"/>
      <c r="CI751" s="13"/>
      <c r="CJ751" s="13"/>
      <c r="CK751" s="13"/>
      <c r="CL751" s="13"/>
      <c r="CM751" s="13"/>
      <c r="CN751" s="13"/>
      <c r="CO751" s="13"/>
      <c r="CP751" s="13"/>
      <c r="CQ751" s="13"/>
      <c r="CR751" s="13"/>
      <c r="CS751" s="13"/>
      <c r="CT751" s="13"/>
      <c r="CU751" s="13"/>
    </row>
    <row r="752" spans="1:99" ht="12.75">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c r="AN752" s="13"/>
      <c r="AO752" s="13"/>
      <c r="AP752" s="13"/>
      <c r="AQ752" s="13"/>
      <c r="AR752" s="13"/>
      <c r="AS752" s="13"/>
      <c r="AT752" s="13"/>
      <c r="AU752" s="13"/>
      <c r="AV752" s="13"/>
      <c r="AW752" s="13"/>
      <c r="AX752" s="13"/>
      <c r="AY752" s="13"/>
      <c r="AZ752" s="13"/>
      <c r="BA752" s="13"/>
      <c r="BB752" s="13"/>
      <c r="BC752" s="13"/>
      <c r="BD752" s="13"/>
      <c r="BE752" s="13"/>
      <c r="BF752" s="13"/>
      <c r="BG752" s="13"/>
      <c r="BH752" s="13"/>
      <c r="BI752" s="13"/>
      <c r="BJ752" s="13"/>
      <c r="BK752" s="13"/>
      <c r="BL752" s="13"/>
      <c r="BM752" s="13"/>
      <c r="BN752" s="13"/>
      <c r="BO752" s="13"/>
      <c r="BP752" s="13"/>
      <c r="BQ752" s="13"/>
      <c r="BR752" s="13"/>
      <c r="BS752" s="13"/>
      <c r="BT752" s="13"/>
      <c r="BU752" s="13"/>
      <c r="BV752" s="13"/>
      <c r="BW752" s="13"/>
      <c r="BX752" s="13"/>
      <c r="BY752" s="13"/>
      <c r="BZ752" s="13"/>
      <c r="CA752" s="13"/>
      <c r="CB752" s="13"/>
      <c r="CC752" s="13"/>
      <c r="CD752" s="13"/>
      <c r="CE752" s="13"/>
      <c r="CF752" s="13"/>
      <c r="CG752" s="13"/>
      <c r="CH752" s="13"/>
      <c r="CI752" s="13"/>
      <c r="CJ752" s="13"/>
      <c r="CK752" s="13"/>
      <c r="CL752" s="13"/>
      <c r="CM752" s="13"/>
      <c r="CN752" s="13"/>
      <c r="CO752" s="13"/>
      <c r="CP752" s="13"/>
      <c r="CQ752" s="13"/>
      <c r="CR752" s="13"/>
      <c r="CS752" s="13"/>
      <c r="CT752" s="13"/>
      <c r="CU752" s="13"/>
    </row>
    <row r="753" spans="1:99" ht="12.75">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c r="AH753" s="13"/>
      <c r="AI753" s="13"/>
      <c r="AJ753" s="13"/>
      <c r="AK753" s="13"/>
      <c r="AL753" s="13"/>
      <c r="AM753" s="13"/>
      <c r="AN753" s="13"/>
      <c r="AO753" s="13"/>
      <c r="AP753" s="13"/>
      <c r="AQ753" s="13"/>
      <c r="AR753" s="13"/>
      <c r="AS753" s="13"/>
      <c r="AT753" s="13"/>
      <c r="AU753" s="13"/>
      <c r="AV753" s="13"/>
      <c r="AW753" s="13"/>
      <c r="AX753" s="13"/>
      <c r="AY753" s="13"/>
      <c r="AZ753" s="13"/>
      <c r="BA753" s="13"/>
      <c r="BB753" s="13"/>
      <c r="BC753" s="13"/>
      <c r="BD753" s="13"/>
      <c r="BE753" s="13"/>
      <c r="BF753" s="13"/>
      <c r="BG753" s="13"/>
      <c r="BH753" s="13"/>
      <c r="BI753" s="13"/>
      <c r="BJ753" s="13"/>
      <c r="BK753" s="13"/>
      <c r="BL753" s="13"/>
      <c r="BM753" s="13"/>
      <c r="BN753" s="13"/>
      <c r="BO753" s="13"/>
      <c r="BP753" s="13"/>
      <c r="BQ753" s="13"/>
      <c r="BR753" s="13"/>
      <c r="BS753" s="13"/>
      <c r="BT753" s="13"/>
      <c r="BU753" s="13"/>
      <c r="BV753" s="13"/>
      <c r="BW753" s="13"/>
      <c r="BX753" s="13"/>
      <c r="BY753" s="13"/>
      <c r="BZ753" s="13"/>
      <c r="CA753" s="13"/>
      <c r="CB753" s="13"/>
      <c r="CC753" s="13"/>
      <c r="CD753" s="13"/>
      <c r="CE753" s="13"/>
      <c r="CF753" s="13"/>
      <c r="CG753" s="13"/>
      <c r="CH753" s="13"/>
      <c r="CI753" s="13"/>
      <c r="CJ753" s="13"/>
      <c r="CK753" s="13"/>
      <c r="CL753" s="13"/>
      <c r="CM753" s="13"/>
      <c r="CN753" s="13"/>
      <c r="CO753" s="13"/>
      <c r="CP753" s="13"/>
      <c r="CQ753" s="13"/>
      <c r="CR753" s="13"/>
      <c r="CS753" s="13"/>
      <c r="CT753" s="13"/>
      <c r="CU753" s="13"/>
    </row>
    <row r="754" spans="1:99" ht="12.75">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c r="AH754" s="13"/>
      <c r="AI754" s="13"/>
      <c r="AJ754" s="13"/>
      <c r="AK754" s="13"/>
      <c r="AL754" s="13"/>
      <c r="AM754" s="13"/>
      <c r="AN754" s="13"/>
      <c r="AO754" s="13"/>
      <c r="AP754" s="13"/>
      <c r="AQ754" s="13"/>
      <c r="AR754" s="13"/>
      <c r="AS754" s="13"/>
      <c r="AT754" s="13"/>
      <c r="AU754" s="13"/>
      <c r="AV754" s="13"/>
      <c r="AW754" s="13"/>
      <c r="AX754" s="13"/>
      <c r="AY754" s="13"/>
      <c r="AZ754" s="13"/>
      <c r="BA754" s="13"/>
      <c r="BB754" s="13"/>
      <c r="BC754" s="13"/>
      <c r="BD754" s="13"/>
      <c r="BE754" s="13"/>
      <c r="BF754" s="13"/>
      <c r="BG754" s="13"/>
      <c r="BH754" s="13"/>
      <c r="BI754" s="13"/>
      <c r="BJ754" s="13"/>
      <c r="BK754" s="13"/>
      <c r="BL754" s="13"/>
      <c r="BM754" s="13"/>
      <c r="BN754" s="13"/>
      <c r="BO754" s="13"/>
      <c r="BP754" s="13"/>
      <c r="BQ754" s="13"/>
      <c r="BR754" s="13"/>
      <c r="BS754" s="13"/>
      <c r="BT754" s="13"/>
      <c r="BU754" s="13"/>
      <c r="BV754" s="13"/>
      <c r="BW754" s="13"/>
      <c r="BX754" s="13"/>
      <c r="BY754" s="13"/>
      <c r="BZ754" s="13"/>
      <c r="CA754" s="13"/>
      <c r="CB754" s="13"/>
      <c r="CC754" s="13"/>
      <c r="CD754" s="13"/>
      <c r="CE754" s="13"/>
      <c r="CF754" s="13"/>
      <c r="CG754" s="13"/>
      <c r="CH754" s="13"/>
      <c r="CI754" s="13"/>
      <c r="CJ754" s="13"/>
      <c r="CK754" s="13"/>
      <c r="CL754" s="13"/>
      <c r="CM754" s="13"/>
      <c r="CN754" s="13"/>
      <c r="CO754" s="13"/>
      <c r="CP754" s="13"/>
      <c r="CQ754" s="13"/>
      <c r="CR754" s="13"/>
      <c r="CS754" s="13"/>
      <c r="CT754" s="13"/>
      <c r="CU754" s="13"/>
    </row>
    <row r="755" spans="1:99" ht="12.75">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c r="AH755" s="13"/>
      <c r="AI755" s="13"/>
      <c r="AJ755" s="13"/>
      <c r="AK755" s="13"/>
      <c r="AL755" s="13"/>
      <c r="AM755" s="13"/>
      <c r="AN755" s="13"/>
      <c r="AO755" s="13"/>
      <c r="AP755" s="13"/>
      <c r="AQ755" s="13"/>
      <c r="AR755" s="13"/>
      <c r="AS755" s="13"/>
      <c r="AT755" s="13"/>
      <c r="AU755" s="13"/>
      <c r="AV755" s="13"/>
      <c r="AW755" s="13"/>
      <c r="AX755" s="13"/>
      <c r="AY755" s="13"/>
      <c r="AZ755" s="13"/>
      <c r="BA755" s="13"/>
      <c r="BB755" s="13"/>
      <c r="BC755" s="13"/>
      <c r="BD755" s="13"/>
      <c r="BE755" s="13"/>
      <c r="BF755" s="13"/>
      <c r="BG755" s="13"/>
      <c r="BH755" s="13"/>
      <c r="BI755" s="13"/>
      <c r="BJ755" s="13"/>
      <c r="BK755" s="13"/>
      <c r="BL755" s="13"/>
      <c r="BM755" s="13"/>
      <c r="BN755" s="13"/>
      <c r="BO755" s="13"/>
      <c r="BP755" s="13"/>
      <c r="BQ755" s="13"/>
      <c r="BR755" s="13"/>
      <c r="BS755" s="13"/>
      <c r="BT755" s="13"/>
      <c r="BU755" s="13"/>
      <c r="BV755" s="13"/>
      <c r="BW755" s="13"/>
      <c r="BX755" s="13"/>
      <c r="BY755" s="13"/>
      <c r="BZ755" s="13"/>
      <c r="CA755" s="13"/>
      <c r="CB755" s="13"/>
      <c r="CC755" s="13"/>
      <c r="CD755" s="13"/>
      <c r="CE755" s="13"/>
      <c r="CF755" s="13"/>
      <c r="CG755" s="13"/>
      <c r="CH755" s="13"/>
      <c r="CI755" s="13"/>
      <c r="CJ755" s="13"/>
      <c r="CK755" s="13"/>
      <c r="CL755" s="13"/>
      <c r="CM755" s="13"/>
      <c r="CN755" s="13"/>
      <c r="CO755" s="13"/>
      <c r="CP755" s="13"/>
      <c r="CQ755" s="13"/>
      <c r="CR755" s="13"/>
      <c r="CS755" s="13"/>
      <c r="CT755" s="13"/>
      <c r="CU755" s="13"/>
    </row>
    <row r="756" spans="1:99" ht="12.75">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c r="AN756" s="13"/>
      <c r="AO756" s="13"/>
      <c r="AP756" s="13"/>
      <c r="AQ756" s="13"/>
      <c r="AR756" s="13"/>
      <c r="AS756" s="13"/>
      <c r="AT756" s="13"/>
      <c r="AU756" s="13"/>
      <c r="AV756" s="13"/>
      <c r="AW756" s="13"/>
      <c r="AX756" s="13"/>
      <c r="AY756" s="13"/>
      <c r="AZ756" s="13"/>
      <c r="BA756" s="13"/>
      <c r="BB756" s="13"/>
      <c r="BC756" s="13"/>
      <c r="BD756" s="13"/>
      <c r="BE756" s="13"/>
      <c r="BF756" s="13"/>
      <c r="BG756" s="13"/>
      <c r="BH756" s="13"/>
      <c r="BI756" s="13"/>
      <c r="BJ756" s="13"/>
      <c r="BK756" s="13"/>
      <c r="BL756" s="13"/>
      <c r="BM756" s="13"/>
      <c r="BN756" s="13"/>
      <c r="BO756" s="13"/>
      <c r="BP756" s="13"/>
      <c r="BQ756" s="13"/>
      <c r="BR756" s="13"/>
      <c r="BS756" s="13"/>
      <c r="BT756" s="13"/>
      <c r="BU756" s="13"/>
      <c r="BV756" s="13"/>
      <c r="BW756" s="13"/>
      <c r="BX756" s="13"/>
      <c r="BY756" s="13"/>
      <c r="BZ756" s="13"/>
      <c r="CA756" s="13"/>
      <c r="CB756" s="13"/>
      <c r="CC756" s="13"/>
      <c r="CD756" s="13"/>
      <c r="CE756" s="13"/>
      <c r="CF756" s="13"/>
      <c r="CG756" s="13"/>
      <c r="CH756" s="13"/>
      <c r="CI756" s="13"/>
      <c r="CJ756" s="13"/>
      <c r="CK756" s="13"/>
      <c r="CL756" s="13"/>
      <c r="CM756" s="13"/>
      <c r="CN756" s="13"/>
      <c r="CO756" s="13"/>
      <c r="CP756" s="13"/>
      <c r="CQ756" s="13"/>
      <c r="CR756" s="13"/>
      <c r="CS756" s="13"/>
      <c r="CT756" s="13"/>
      <c r="CU756" s="13"/>
    </row>
    <row r="757" spans="1:99" ht="12.75">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c r="AH757" s="13"/>
      <c r="AI757" s="13"/>
      <c r="AJ757" s="13"/>
      <c r="AK757" s="13"/>
      <c r="AL757" s="13"/>
      <c r="AM757" s="13"/>
      <c r="AN757" s="13"/>
      <c r="AO757" s="13"/>
      <c r="AP757" s="13"/>
      <c r="AQ757" s="13"/>
      <c r="AR757" s="13"/>
      <c r="AS757" s="13"/>
      <c r="AT757" s="13"/>
      <c r="AU757" s="13"/>
      <c r="AV757" s="13"/>
      <c r="AW757" s="13"/>
      <c r="AX757" s="13"/>
      <c r="AY757" s="13"/>
      <c r="AZ757" s="13"/>
      <c r="BA757" s="13"/>
      <c r="BB757" s="13"/>
      <c r="BC757" s="13"/>
      <c r="BD757" s="13"/>
      <c r="BE757" s="13"/>
      <c r="BF757" s="13"/>
      <c r="BG757" s="13"/>
      <c r="BH757" s="13"/>
      <c r="BI757" s="13"/>
      <c r="BJ757" s="13"/>
      <c r="BK757" s="13"/>
      <c r="BL757" s="13"/>
      <c r="BM757" s="13"/>
      <c r="BN757" s="13"/>
      <c r="BO757" s="13"/>
      <c r="BP757" s="13"/>
      <c r="BQ757" s="13"/>
      <c r="BR757" s="13"/>
      <c r="BS757" s="13"/>
      <c r="BT757" s="13"/>
      <c r="BU757" s="13"/>
      <c r="BV757" s="13"/>
      <c r="BW757" s="13"/>
      <c r="BX757" s="13"/>
      <c r="BY757" s="13"/>
      <c r="BZ757" s="13"/>
      <c r="CA757" s="13"/>
      <c r="CB757" s="13"/>
      <c r="CC757" s="13"/>
      <c r="CD757" s="13"/>
      <c r="CE757" s="13"/>
      <c r="CF757" s="13"/>
      <c r="CG757" s="13"/>
      <c r="CH757" s="13"/>
      <c r="CI757" s="13"/>
      <c r="CJ757" s="13"/>
      <c r="CK757" s="13"/>
      <c r="CL757" s="13"/>
      <c r="CM757" s="13"/>
      <c r="CN757" s="13"/>
      <c r="CO757" s="13"/>
      <c r="CP757" s="13"/>
      <c r="CQ757" s="13"/>
      <c r="CR757" s="13"/>
      <c r="CS757" s="13"/>
      <c r="CT757" s="13"/>
      <c r="CU757" s="13"/>
    </row>
    <row r="758" spans="1:99" ht="12.75">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c r="AN758" s="13"/>
      <c r="AO758" s="13"/>
      <c r="AP758" s="13"/>
      <c r="AQ758" s="13"/>
      <c r="AR758" s="13"/>
      <c r="AS758" s="13"/>
      <c r="AT758" s="13"/>
      <c r="AU758" s="13"/>
      <c r="AV758" s="13"/>
      <c r="AW758" s="13"/>
      <c r="AX758" s="13"/>
      <c r="AY758" s="13"/>
      <c r="AZ758" s="13"/>
      <c r="BA758" s="13"/>
      <c r="BB758" s="13"/>
      <c r="BC758" s="13"/>
      <c r="BD758" s="13"/>
      <c r="BE758" s="13"/>
      <c r="BF758" s="13"/>
      <c r="BG758" s="13"/>
      <c r="BH758" s="13"/>
      <c r="BI758" s="13"/>
      <c r="BJ758" s="13"/>
      <c r="BK758" s="13"/>
      <c r="BL758" s="13"/>
      <c r="BM758" s="13"/>
      <c r="BN758" s="13"/>
      <c r="BO758" s="13"/>
      <c r="BP758" s="13"/>
      <c r="BQ758" s="13"/>
      <c r="BR758" s="13"/>
      <c r="BS758" s="13"/>
      <c r="BT758" s="13"/>
      <c r="BU758" s="13"/>
      <c r="BV758" s="13"/>
      <c r="BW758" s="13"/>
      <c r="BX758" s="13"/>
      <c r="BY758" s="13"/>
      <c r="BZ758" s="13"/>
      <c r="CA758" s="13"/>
      <c r="CB758" s="13"/>
      <c r="CC758" s="13"/>
      <c r="CD758" s="13"/>
      <c r="CE758" s="13"/>
      <c r="CF758" s="13"/>
      <c r="CG758" s="13"/>
      <c r="CH758" s="13"/>
      <c r="CI758" s="13"/>
      <c r="CJ758" s="13"/>
      <c r="CK758" s="13"/>
      <c r="CL758" s="13"/>
      <c r="CM758" s="13"/>
      <c r="CN758" s="13"/>
      <c r="CO758" s="13"/>
      <c r="CP758" s="13"/>
      <c r="CQ758" s="13"/>
      <c r="CR758" s="13"/>
      <c r="CS758" s="13"/>
      <c r="CT758" s="13"/>
      <c r="CU758" s="13"/>
    </row>
    <row r="759" spans="1:99" ht="12.75">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c r="AH759" s="13"/>
      <c r="AI759" s="13"/>
      <c r="AJ759" s="13"/>
      <c r="AK759" s="13"/>
      <c r="AL759" s="13"/>
      <c r="AM759" s="13"/>
      <c r="AN759" s="13"/>
      <c r="AO759" s="13"/>
      <c r="AP759" s="13"/>
      <c r="AQ759" s="13"/>
      <c r="AR759" s="13"/>
      <c r="AS759" s="13"/>
      <c r="AT759" s="13"/>
      <c r="AU759" s="13"/>
      <c r="AV759" s="13"/>
      <c r="AW759" s="13"/>
      <c r="AX759" s="13"/>
      <c r="AY759" s="13"/>
      <c r="AZ759" s="13"/>
      <c r="BA759" s="13"/>
      <c r="BB759" s="13"/>
      <c r="BC759" s="13"/>
      <c r="BD759" s="13"/>
      <c r="BE759" s="13"/>
      <c r="BF759" s="13"/>
      <c r="BG759" s="13"/>
      <c r="BH759" s="13"/>
      <c r="BI759" s="13"/>
      <c r="BJ759" s="13"/>
      <c r="BK759" s="13"/>
      <c r="BL759" s="13"/>
      <c r="BM759" s="13"/>
      <c r="BN759" s="13"/>
      <c r="BO759" s="13"/>
      <c r="BP759" s="13"/>
      <c r="BQ759" s="13"/>
      <c r="BR759" s="13"/>
      <c r="BS759" s="13"/>
      <c r="BT759" s="13"/>
      <c r="BU759" s="13"/>
      <c r="BV759" s="13"/>
      <c r="BW759" s="13"/>
      <c r="BX759" s="13"/>
      <c r="BY759" s="13"/>
      <c r="BZ759" s="13"/>
      <c r="CA759" s="13"/>
      <c r="CB759" s="13"/>
      <c r="CC759" s="13"/>
      <c r="CD759" s="13"/>
      <c r="CE759" s="13"/>
      <c r="CF759" s="13"/>
      <c r="CG759" s="13"/>
      <c r="CH759" s="13"/>
      <c r="CI759" s="13"/>
      <c r="CJ759" s="13"/>
      <c r="CK759" s="13"/>
      <c r="CL759" s="13"/>
      <c r="CM759" s="13"/>
      <c r="CN759" s="13"/>
      <c r="CO759" s="13"/>
      <c r="CP759" s="13"/>
      <c r="CQ759" s="13"/>
      <c r="CR759" s="13"/>
      <c r="CS759" s="13"/>
      <c r="CT759" s="13"/>
      <c r="CU759" s="13"/>
    </row>
    <row r="760" spans="1:99" ht="12.75">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c r="AH760" s="13"/>
      <c r="AI760" s="13"/>
      <c r="AJ760" s="13"/>
      <c r="AK760" s="13"/>
      <c r="AL760" s="13"/>
      <c r="AM760" s="13"/>
      <c r="AN760" s="13"/>
      <c r="AO760" s="13"/>
      <c r="AP760" s="13"/>
      <c r="AQ760" s="13"/>
      <c r="AR760" s="13"/>
      <c r="AS760" s="13"/>
      <c r="AT760" s="13"/>
      <c r="AU760" s="13"/>
      <c r="AV760" s="13"/>
      <c r="AW760" s="13"/>
      <c r="AX760" s="13"/>
      <c r="AY760" s="13"/>
      <c r="AZ760" s="13"/>
      <c r="BA760" s="13"/>
      <c r="BB760" s="13"/>
      <c r="BC760" s="13"/>
      <c r="BD760" s="13"/>
      <c r="BE760" s="13"/>
      <c r="BF760" s="13"/>
      <c r="BG760" s="13"/>
      <c r="BH760" s="13"/>
      <c r="BI760" s="13"/>
      <c r="BJ760" s="13"/>
      <c r="BK760" s="13"/>
      <c r="BL760" s="13"/>
      <c r="BM760" s="13"/>
      <c r="BN760" s="13"/>
      <c r="BO760" s="13"/>
      <c r="BP760" s="13"/>
      <c r="BQ760" s="13"/>
      <c r="BR760" s="13"/>
      <c r="BS760" s="13"/>
      <c r="BT760" s="13"/>
      <c r="BU760" s="13"/>
      <c r="BV760" s="13"/>
      <c r="BW760" s="13"/>
      <c r="BX760" s="13"/>
      <c r="BY760" s="13"/>
      <c r="BZ760" s="13"/>
      <c r="CA760" s="13"/>
      <c r="CB760" s="13"/>
      <c r="CC760" s="13"/>
      <c r="CD760" s="13"/>
      <c r="CE760" s="13"/>
      <c r="CF760" s="13"/>
      <c r="CG760" s="13"/>
      <c r="CH760" s="13"/>
      <c r="CI760" s="13"/>
      <c r="CJ760" s="13"/>
      <c r="CK760" s="13"/>
      <c r="CL760" s="13"/>
      <c r="CM760" s="13"/>
      <c r="CN760" s="13"/>
      <c r="CO760" s="13"/>
      <c r="CP760" s="13"/>
      <c r="CQ760" s="13"/>
      <c r="CR760" s="13"/>
      <c r="CS760" s="13"/>
      <c r="CT760" s="13"/>
      <c r="CU760" s="13"/>
    </row>
    <row r="761" spans="1:99" ht="12.75">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c r="AH761" s="13"/>
      <c r="AI761" s="13"/>
      <c r="AJ761" s="13"/>
      <c r="AK761" s="13"/>
      <c r="AL761" s="13"/>
      <c r="AM761" s="13"/>
      <c r="AN761" s="13"/>
      <c r="AO761" s="13"/>
      <c r="AP761" s="13"/>
      <c r="AQ761" s="13"/>
      <c r="AR761" s="13"/>
      <c r="AS761" s="13"/>
      <c r="AT761" s="13"/>
      <c r="AU761" s="13"/>
      <c r="AV761" s="13"/>
      <c r="AW761" s="13"/>
      <c r="AX761" s="13"/>
      <c r="AY761" s="13"/>
      <c r="AZ761" s="13"/>
      <c r="BA761" s="13"/>
      <c r="BB761" s="13"/>
      <c r="BC761" s="13"/>
      <c r="BD761" s="13"/>
      <c r="BE761" s="13"/>
      <c r="BF761" s="13"/>
      <c r="BG761" s="13"/>
      <c r="BH761" s="13"/>
      <c r="BI761" s="13"/>
      <c r="BJ761" s="13"/>
      <c r="BK761" s="13"/>
      <c r="BL761" s="13"/>
      <c r="BM761" s="13"/>
      <c r="BN761" s="13"/>
      <c r="BO761" s="13"/>
      <c r="BP761" s="13"/>
      <c r="BQ761" s="13"/>
      <c r="BR761" s="13"/>
      <c r="BS761" s="13"/>
      <c r="BT761" s="13"/>
      <c r="BU761" s="13"/>
      <c r="BV761" s="13"/>
      <c r="BW761" s="13"/>
      <c r="BX761" s="13"/>
      <c r="BY761" s="13"/>
      <c r="BZ761" s="13"/>
      <c r="CA761" s="13"/>
      <c r="CB761" s="13"/>
      <c r="CC761" s="13"/>
      <c r="CD761" s="13"/>
      <c r="CE761" s="13"/>
      <c r="CF761" s="13"/>
      <c r="CG761" s="13"/>
      <c r="CH761" s="13"/>
      <c r="CI761" s="13"/>
      <c r="CJ761" s="13"/>
      <c r="CK761" s="13"/>
      <c r="CL761" s="13"/>
      <c r="CM761" s="13"/>
      <c r="CN761" s="13"/>
      <c r="CO761" s="13"/>
      <c r="CP761" s="13"/>
      <c r="CQ761" s="13"/>
      <c r="CR761" s="13"/>
      <c r="CS761" s="13"/>
      <c r="CT761" s="13"/>
      <c r="CU761" s="13"/>
    </row>
    <row r="762" spans="1:99" ht="12.75">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c r="AH762" s="13"/>
      <c r="AI762" s="13"/>
      <c r="AJ762" s="13"/>
      <c r="AK762" s="13"/>
      <c r="AL762" s="13"/>
      <c r="AM762" s="13"/>
      <c r="AN762" s="13"/>
      <c r="AO762" s="13"/>
      <c r="AP762" s="13"/>
      <c r="AQ762" s="13"/>
      <c r="AR762" s="13"/>
      <c r="AS762" s="13"/>
      <c r="AT762" s="13"/>
      <c r="AU762" s="13"/>
      <c r="AV762" s="13"/>
      <c r="AW762" s="13"/>
      <c r="AX762" s="13"/>
      <c r="AY762" s="13"/>
      <c r="AZ762" s="13"/>
      <c r="BA762" s="13"/>
      <c r="BB762" s="13"/>
      <c r="BC762" s="13"/>
      <c r="BD762" s="13"/>
      <c r="BE762" s="13"/>
      <c r="BF762" s="13"/>
      <c r="BG762" s="13"/>
      <c r="BH762" s="13"/>
      <c r="BI762" s="13"/>
      <c r="BJ762" s="13"/>
      <c r="BK762" s="13"/>
      <c r="BL762" s="13"/>
      <c r="BM762" s="13"/>
      <c r="BN762" s="13"/>
      <c r="BO762" s="13"/>
      <c r="BP762" s="13"/>
      <c r="BQ762" s="13"/>
      <c r="BR762" s="13"/>
      <c r="BS762" s="13"/>
      <c r="BT762" s="13"/>
      <c r="BU762" s="13"/>
      <c r="BV762" s="13"/>
      <c r="BW762" s="13"/>
      <c r="BX762" s="13"/>
      <c r="BY762" s="13"/>
      <c r="BZ762" s="13"/>
      <c r="CA762" s="13"/>
      <c r="CB762" s="13"/>
      <c r="CC762" s="13"/>
      <c r="CD762" s="13"/>
      <c r="CE762" s="13"/>
      <c r="CF762" s="13"/>
      <c r="CG762" s="13"/>
      <c r="CH762" s="13"/>
      <c r="CI762" s="13"/>
      <c r="CJ762" s="13"/>
      <c r="CK762" s="13"/>
      <c r="CL762" s="13"/>
      <c r="CM762" s="13"/>
      <c r="CN762" s="13"/>
      <c r="CO762" s="13"/>
      <c r="CP762" s="13"/>
      <c r="CQ762" s="13"/>
      <c r="CR762" s="13"/>
      <c r="CS762" s="13"/>
      <c r="CT762" s="13"/>
      <c r="CU762" s="13"/>
    </row>
    <row r="763" spans="1:99" ht="12.75">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c r="AH763" s="13"/>
      <c r="AI763" s="13"/>
      <c r="AJ763" s="13"/>
      <c r="AK763" s="13"/>
      <c r="AL763" s="13"/>
      <c r="AM763" s="13"/>
      <c r="AN763" s="13"/>
      <c r="AO763" s="13"/>
      <c r="AP763" s="13"/>
      <c r="AQ763" s="13"/>
      <c r="AR763" s="13"/>
      <c r="AS763" s="13"/>
      <c r="AT763" s="13"/>
      <c r="AU763" s="13"/>
      <c r="AV763" s="13"/>
      <c r="AW763" s="13"/>
      <c r="AX763" s="13"/>
      <c r="AY763" s="13"/>
      <c r="AZ763" s="13"/>
      <c r="BA763" s="13"/>
      <c r="BB763" s="13"/>
      <c r="BC763" s="13"/>
      <c r="BD763" s="13"/>
      <c r="BE763" s="13"/>
      <c r="BF763" s="13"/>
      <c r="BG763" s="13"/>
      <c r="BH763" s="13"/>
      <c r="BI763" s="13"/>
      <c r="BJ763" s="13"/>
      <c r="BK763" s="13"/>
      <c r="BL763" s="13"/>
      <c r="BM763" s="13"/>
      <c r="BN763" s="13"/>
      <c r="BO763" s="13"/>
      <c r="BP763" s="13"/>
      <c r="BQ763" s="13"/>
      <c r="BR763" s="13"/>
      <c r="BS763" s="13"/>
      <c r="BT763" s="13"/>
      <c r="BU763" s="13"/>
      <c r="BV763" s="13"/>
      <c r="BW763" s="13"/>
      <c r="BX763" s="13"/>
      <c r="BY763" s="13"/>
      <c r="BZ763" s="13"/>
      <c r="CA763" s="13"/>
      <c r="CB763" s="13"/>
      <c r="CC763" s="13"/>
      <c r="CD763" s="13"/>
      <c r="CE763" s="13"/>
      <c r="CF763" s="13"/>
      <c r="CG763" s="13"/>
      <c r="CH763" s="13"/>
      <c r="CI763" s="13"/>
      <c r="CJ763" s="13"/>
      <c r="CK763" s="13"/>
      <c r="CL763" s="13"/>
      <c r="CM763" s="13"/>
      <c r="CN763" s="13"/>
      <c r="CO763" s="13"/>
      <c r="CP763" s="13"/>
      <c r="CQ763" s="13"/>
      <c r="CR763" s="13"/>
      <c r="CS763" s="13"/>
      <c r="CT763" s="13"/>
      <c r="CU763" s="13"/>
    </row>
    <row r="764" spans="1:99" ht="12.75">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c r="AH764" s="13"/>
      <c r="AI764" s="13"/>
      <c r="AJ764" s="13"/>
      <c r="AK764" s="13"/>
      <c r="AL764" s="13"/>
      <c r="AM764" s="13"/>
      <c r="AN764" s="13"/>
      <c r="AO764" s="13"/>
      <c r="AP764" s="13"/>
      <c r="AQ764" s="13"/>
      <c r="AR764" s="13"/>
      <c r="AS764" s="13"/>
      <c r="AT764" s="13"/>
      <c r="AU764" s="13"/>
      <c r="AV764" s="13"/>
      <c r="AW764" s="13"/>
      <c r="AX764" s="13"/>
      <c r="AY764" s="13"/>
      <c r="AZ764" s="13"/>
      <c r="BA764" s="13"/>
      <c r="BB764" s="13"/>
      <c r="BC764" s="13"/>
      <c r="BD764" s="13"/>
      <c r="BE764" s="13"/>
      <c r="BF764" s="13"/>
      <c r="BG764" s="13"/>
      <c r="BH764" s="13"/>
      <c r="BI764" s="13"/>
      <c r="BJ764" s="13"/>
      <c r="BK764" s="13"/>
      <c r="BL764" s="13"/>
      <c r="BM764" s="13"/>
      <c r="BN764" s="13"/>
      <c r="BO764" s="13"/>
      <c r="BP764" s="13"/>
      <c r="BQ764" s="13"/>
      <c r="BR764" s="13"/>
      <c r="BS764" s="13"/>
      <c r="BT764" s="13"/>
      <c r="BU764" s="13"/>
      <c r="BV764" s="13"/>
      <c r="BW764" s="13"/>
      <c r="BX764" s="13"/>
      <c r="BY764" s="13"/>
      <c r="BZ764" s="13"/>
      <c r="CA764" s="13"/>
      <c r="CB764" s="13"/>
      <c r="CC764" s="13"/>
      <c r="CD764" s="13"/>
      <c r="CE764" s="13"/>
      <c r="CF764" s="13"/>
      <c r="CG764" s="13"/>
      <c r="CH764" s="13"/>
      <c r="CI764" s="13"/>
      <c r="CJ764" s="13"/>
      <c r="CK764" s="13"/>
      <c r="CL764" s="13"/>
      <c r="CM764" s="13"/>
      <c r="CN764" s="13"/>
      <c r="CO764" s="13"/>
      <c r="CP764" s="13"/>
      <c r="CQ764" s="13"/>
      <c r="CR764" s="13"/>
      <c r="CS764" s="13"/>
      <c r="CT764" s="13"/>
      <c r="CU764" s="13"/>
    </row>
    <row r="765" spans="1:99" ht="12.75">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c r="AH765" s="13"/>
      <c r="AI765" s="13"/>
      <c r="AJ765" s="13"/>
      <c r="AK765" s="13"/>
      <c r="AL765" s="13"/>
      <c r="AM765" s="13"/>
      <c r="AN765" s="13"/>
      <c r="AO765" s="13"/>
      <c r="AP765" s="13"/>
      <c r="AQ765" s="13"/>
      <c r="AR765" s="13"/>
      <c r="AS765" s="13"/>
      <c r="AT765" s="13"/>
      <c r="AU765" s="13"/>
      <c r="AV765" s="13"/>
      <c r="AW765" s="13"/>
      <c r="AX765" s="13"/>
      <c r="AY765" s="13"/>
      <c r="AZ765" s="13"/>
      <c r="BA765" s="13"/>
      <c r="BB765" s="13"/>
      <c r="BC765" s="13"/>
      <c r="BD765" s="13"/>
      <c r="BE765" s="13"/>
      <c r="BF765" s="13"/>
      <c r="BG765" s="13"/>
      <c r="BH765" s="13"/>
      <c r="BI765" s="13"/>
      <c r="BJ765" s="13"/>
      <c r="BK765" s="13"/>
      <c r="BL765" s="13"/>
      <c r="BM765" s="13"/>
      <c r="BN765" s="13"/>
      <c r="BO765" s="13"/>
      <c r="BP765" s="13"/>
      <c r="BQ765" s="13"/>
      <c r="BR765" s="13"/>
      <c r="BS765" s="13"/>
      <c r="BT765" s="13"/>
      <c r="BU765" s="13"/>
      <c r="BV765" s="13"/>
      <c r="BW765" s="13"/>
      <c r="BX765" s="13"/>
      <c r="BY765" s="13"/>
      <c r="BZ765" s="13"/>
      <c r="CA765" s="13"/>
      <c r="CB765" s="13"/>
      <c r="CC765" s="13"/>
      <c r="CD765" s="13"/>
      <c r="CE765" s="13"/>
      <c r="CF765" s="13"/>
      <c r="CG765" s="13"/>
      <c r="CH765" s="13"/>
      <c r="CI765" s="13"/>
      <c r="CJ765" s="13"/>
      <c r="CK765" s="13"/>
      <c r="CL765" s="13"/>
      <c r="CM765" s="13"/>
      <c r="CN765" s="13"/>
      <c r="CO765" s="13"/>
      <c r="CP765" s="13"/>
      <c r="CQ765" s="13"/>
      <c r="CR765" s="13"/>
      <c r="CS765" s="13"/>
      <c r="CT765" s="13"/>
      <c r="CU765" s="13"/>
    </row>
    <row r="766" spans="1:99" ht="12.75">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c r="AN766" s="13"/>
      <c r="AO766" s="13"/>
      <c r="AP766" s="13"/>
      <c r="AQ766" s="13"/>
      <c r="AR766" s="13"/>
      <c r="AS766" s="13"/>
      <c r="AT766" s="13"/>
      <c r="AU766" s="13"/>
      <c r="AV766" s="13"/>
      <c r="AW766" s="13"/>
      <c r="AX766" s="13"/>
      <c r="AY766" s="13"/>
      <c r="AZ766" s="13"/>
      <c r="BA766" s="13"/>
      <c r="BB766" s="13"/>
      <c r="BC766" s="13"/>
      <c r="BD766" s="13"/>
      <c r="BE766" s="13"/>
      <c r="BF766" s="13"/>
      <c r="BG766" s="13"/>
      <c r="BH766" s="13"/>
      <c r="BI766" s="13"/>
      <c r="BJ766" s="13"/>
      <c r="BK766" s="13"/>
      <c r="BL766" s="13"/>
      <c r="BM766" s="13"/>
      <c r="BN766" s="13"/>
      <c r="BO766" s="13"/>
      <c r="BP766" s="13"/>
      <c r="BQ766" s="13"/>
      <c r="BR766" s="13"/>
      <c r="BS766" s="13"/>
      <c r="BT766" s="13"/>
      <c r="BU766" s="13"/>
      <c r="BV766" s="13"/>
      <c r="BW766" s="13"/>
      <c r="BX766" s="13"/>
      <c r="BY766" s="13"/>
      <c r="BZ766" s="13"/>
      <c r="CA766" s="13"/>
      <c r="CB766" s="13"/>
      <c r="CC766" s="13"/>
      <c r="CD766" s="13"/>
      <c r="CE766" s="13"/>
      <c r="CF766" s="13"/>
      <c r="CG766" s="13"/>
      <c r="CH766" s="13"/>
      <c r="CI766" s="13"/>
      <c r="CJ766" s="13"/>
      <c r="CK766" s="13"/>
      <c r="CL766" s="13"/>
      <c r="CM766" s="13"/>
      <c r="CN766" s="13"/>
      <c r="CO766" s="13"/>
      <c r="CP766" s="13"/>
      <c r="CQ766" s="13"/>
      <c r="CR766" s="13"/>
      <c r="CS766" s="13"/>
      <c r="CT766" s="13"/>
      <c r="CU766" s="13"/>
    </row>
    <row r="767" spans="1:99" ht="12.75">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c r="AH767" s="13"/>
      <c r="AI767" s="13"/>
      <c r="AJ767" s="13"/>
      <c r="AK767" s="13"/>
      <c r="AL767" s="13"/>
      <c r="AM767" s="13"/>
      <c r="AN767" s="13"/>
      <c r="AO767" s="13"/>
      <c r="AP767" s="13"/>
      <c r="AQ767" s="13"/>
      <c r="AR767" s="13"/>
      <c r="AS767" s="13"/>
      <c r="AT767" s="13"/>
      <c r="AU767" s="13"/>
      <c r="AV767" s="13"/>
      <c r="AW767" s="13"/>
      <c r="AX767" s="13"/>
      <c r="AY767" s="13"/>
      <c r="AZ767" s="13"/>
      <c r="BA767" s="13"/>
      <c r="BB767" s="13"/>
      <c r="BC767" s="13"/>
      <c r="BD767" s="13"/>
      <c r="BE767" s="13"/>
      <c r="BF767" s="13"/>
      <c r="BG767" s="13"/>
      <c r="BH767" s="13"/>
      <c r="BI767" s="13"/>
      <c r="BJ767" s="13"/>
      <c r="BK767" s="13"/>
      <c r="BL767" s="13"/>
      <c r="BM767" s="13"/>
      <c r="BN767" s="13"/>
      <c r="BO767" s="13"/>
      <c r="BP767" s="13"/>
      <c r="BQ767" s="13"/>
      <c r="BR767" s="13"/>
      <c r="BS767" s="13"/>
      <c r="BT767" s="13"/>
      <c r="BU767" s="13"/>
      <c r="BV767" s="13"/>
      <c r="BW767" s="13"/>
      <c r="BX767" s="13"/>
      <c r="BY767" s="13"/>
      <c r="BZ767" s="13"/>
      <c r="CA767" s="13"/>
      <c r="CB767" s="13"/>
      <c r="CC767" s="13"/>
      <c r="CD767" s="13"/>
      <c r="CE767" s="13"/>
      <c r="CF767" s="13"/>
      <c r="CG767" s="13"/>
      <c r="CH767" s="13"/>
      <c r="CI767" s="13"/>
      <c r="CJ767" s="13"/>
      <c r="CK767" s="13"/>
      <c r="CL767" s="13"/>
      <c r="CM767" s="13"/>
      <c r="CN767" s="13"/>
      <c r="CO767" s="13"/>
      <c r="CP767" s="13"/>
      <c r="CQ767" s="13"/>
      <c r="CR767" s="13"/>
      <c r="CS767" s="13"/>
      <c r="CT767" s="13"/>
      <c r="CU767" s="13"/>
    </row>
    <row r="768" spans="1:99" ht="12.75">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c r="AH768" s="13"/>
      <c r="AI768" s="13"/>
      <c r="AJ768" s="13"/>
      <c r="AK768" s="13"/>
      <c r="AL768" s="13"/>
      <c r="AM768" s="13"/>
      <c r="AN768" s="13"/>
      <c r="AO768" s="13"/>
      <c r="AP768" s="13"/>
      <c r="AQ768" s="13"/>
      <c r="AR768" s="13"/>
      <c r="AS768" s="13"/>
      <c r="AT768" s="13"/>
      <c r="AU768" s="13"/>
      <c r="AV768" s="13"/>
      <c r="AW768" s="13"/>
      <c r="AX768" s="13"/>
      <c r="AY768" s="13"/>
      <c r="AZ768" s="13"/>
      <c r="BA768" s="13"/>
      <c r="BB768" s="13"/>
      <c r="BC768" s="13"/>
      <c r="BD768" s="13"/>
      <c r="BE768" s="13"/>
      <c r="BF768" s="13"/>
      <c r="BG768" s="13"/>
      <c r="BH768" s="13"/>
      <c r="BI768" s="13"/>
      <c r="BJ768" s="13"/>
      <c r="BK768" s="13"/>
      <c r="BL768" s="13"/>
      <c r="BM768" s="13"/>
      <c r="BN768" s="13"/>
      <c r="BO768" s="13"/>
      <c r="BP768" s="13"/>
      <c r="BQ768" s="13"/>
      <c r="BR768" s="13"/>
      <c r="BS768" s="13"/>
      <c r="BT768" s="13"/>
      <c r="BU768" s="13"/>
      <c r="BV768" s="13"/>
      <c r="BW768" s="13"/>
      <c r="BX768" s="13"/>
      <c r="BY768" s="13"/>
      <c r="BZ768" s="13"/>
      <c r="CA768" s="13"/>
      <c r="CB768" s="13"/>
      <c r="CC768" s="13"/>
      <c r="CD768" s="13"/>
      <c r="CE768" s="13"/>
      <c r="CF768" s="13"/>
      <c r="CG768" s="13"/>
      <c r="CH768" s="13"/>
      <c r="CI768" s="13"/>
      <c r="CJ768" s="13"/>
      <c r="CK768" s="13"/>
      <c r="CL768" s="13"/>
      <c r="CM768" s="13"/>
      <c r="CN768" s="13"/>
      <c r="CO768" s="13"/>
      <c r="CP768" s="13"/>
      <c r="CQ768" s="13"/>
      <c r="CR768" s="13"/>
      <c r="CS768" s="13"/>
      <c r="CT768" s="13"/>
      <c r="CU768" s="13"/>
    </row>
    <row r="769" spans="1:99" ht="12.75">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c r="AH769" s="13"/>
      <c r="AI769" s="13"/>
      <c r="AJ769" s="13"/>
      <c r="AK769" s="13"/>
      <c r="AL769" s="13"/>
      <c r="AM769" s="13"/>
      <c r="AN769" s="13"/>
      <c r="AO769" s="13"/>
      <c r="AP769" s="13"/>
      <c r="AQ769" s="13"/>
      <c r="AR769" s="13"/>
      <c r="AS769" s="13"/>
      <c r="AT769" s="13"/>
      <c r="AU769" s="13"/>
      <c r="AV769" s="13"/>
      <c r="AW769" s="13"/>
      <c r="AX769" s="13"/>
      <c r="AY769" s="13"/>
      <c r="AZ769" s="13"/>
      <c r="BA769" s="13"/>
      <c r="BB769" s="13"/>
      <c r="BC769" s="13"/>
      <c r="BD769" s="13"/>
      <c r="BE769" s="13"/>
      <c r="BF769" s="13"/>
      <c r="BG769" s="13"/>
      <c r="BH769" s="13"/>
      <c r="BI769" s="13"/>
      <c r="BJ769" s="13"/>
      <c r="BK769" s="13"/>
      <c r="BL769" s="13"/>
      <c r="BM769" s="13"/>
      <c r="BN769" s="13"/>
      <c r="BO769" s="13"/>
      <c r="BP769" s="13"/>
      <c r="BQ769" s="13"/>
      <c r="BR769" s="13"/>
      <c r="BS769" s="13"/>
      <c r="BT769" s="13"/>
      <c r="BU769" s="13"/>
      <c r="BV769" s="13"/>
      <c r="BW769" s="13"/>
      <c r="BX769" s="13"/>
      <c r="BY769" s="13"/>
      <c r="BZ769" s="13"/>
      <c r="CA769" s="13"/>
      <c r="CB769" s="13"/>
      <c r="CC769" s="13"/>
      <c r="CD769" s="13"/>
      <c r="CE769" s="13"/>
      <c r="CF769" s="13"/>
      <c r="CG769" s="13"/>
      <c r="CH769" s="13"/>
      <c r="CI769" s="13"/>
      <c r="CJ769" s="13"/>
      <c r="CK769" s="13"/>
      <c r="CL769" s="13"/>
      <c r="CM769" s="13"/>
      <c r="CN769" s="13"/>
      <c r="CO769" s="13"/>
      <c r="CP769" s="13"/>
      <c r="CQ769" s="13"/>
      <c r="CR769" s="13"/>
      <c r="CS769" s="13"/>
      <c r="CT769" s="13"/>
      <c r="CU769" s="13"/>
    </row>
    <row r="770" spans="1:99" ht="12.75">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c r="AH770" s="13"/>
      <c r="AI770" s="13"/>
      <c r="AJ770" s="13"/>
      <c r="AK770" s="13"/>
      <c r="AL770" s="13"/>
      <c r="AM770" s="13"/>
      <c r="AN770" s="13"/>
      <c r="AO770" s="13"/>
      <c r="AP770" s="13"/>
      <c r="AQ770" s="13"/>
      <c r="AR770" s="13"/>
      <c r="AS770" s="13"/>
      <c r="AT770" s="13"/>
      <c r="AU770" s="13"/>
      <c r="AV770" s="13"/>
      <c r="AW770" s="13"/>
      <c r="AX770" s="13"/>
      <c r="AY770" s="13"/>
      <c r="AZ770" s="13"/>
      <c r="BA770" s="13"/>
      <c r="BB770" s="13"/>
      <c r="BC770" s="13"/>
      <c r="BD770" s="13"/>
      <c r="BE770" s="13"/>
      <c r="BF770" s="13"/>
      <c r="BG770" s="13"/>
      <c r="BH770" s="13"/>
      <c r="BI770" s="13"/>
      <c r="BJ770" s="13"/>
      <c r="BK770" s="13"/>
      <c r="BL770" s="13"/>
      <c r="BM770" s="13"/>
      <c r="BN770" s="13"/>
      <c r="BO770" s="13"/>
      <c r="BP770" s="13"/>
      <c r="BQ770" s="13"/>
      <c r="BR770" s="13"/>
      <c r="BS770" s="13"/>
      <c r="BT770" s="13"/>
      <c r="BU770" s="13"/>
      <c r="BV770" s="13"/>
      <c r="BW770" s="13"/>
      <c r="BX770" s="13"/>
      <c r="BY770" s="13"/>
      <c r="BZ770" s="13"/>
      <c r="CA770" s="13"/>
      <c r="CB770" s="13"/>
      <c r="CC770" s="13"/>
      <c r="CD770" s="13"/>
      <c r="CE770" s="13"/>
      <c r="CF770" s="13"/>
      <c r="CG770" s="13"/>
      <c r="CH770" s="13"/>
      <c r="CI770" s="13"/>
      <c r="CJ770" s="13"/>
      <c r="CK770" s="13"/>
      <c r="CL770" s="13"/>
      <c r="CM770" s="13"/>
      <c r="CN770" s="13"/>
      <c r="CO770" s="13"/>
      <c r="CP770" s="13"/>
      <c r="CQ770" s="13"/>
      <c r="CR770" s="13"/>
      <c r="CS770" s="13"/>
      <c r="CT770" s="13"/>
      <c r="CU770" s="13"/>
    </row>
    <row r="771" spans="1:99" ht="12.75">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c r="AH771" s="13"/>
      <c r="AI771" s="13"/>
      <c r="AJ771" s="13"/>
      <c r="AK771" s="13"/>
      <c r="AL771" s="13"/>
      <c r="AM771" s="13"/>
      <c r="AN771" s="13"/>
      <c r="AO771" s="13"/>
      <c r="AP771" s="13"/>
      <c r="AQ771" s="13"/>
      <c r="AR771" s="13"/>
      <c r="AS771" s="13"/>
      <c r="AT771" s="13"/>
      <c r="AU771" s="13"/>
      <c r="AV771" s="13"/>
      <c r="AW771" s="13"/>
      <c r="AX771" s="13"/>
      <c r="AY771" s="13"/>
      <c r="AZ771" s="13"/>
      <c r="BA771" s="13"/>
      <c r="BB771" s="13"/>
      <c r="BC771" s="13"/>
      <c r="BD771" s="13"/>
      <c r="BE771" s="13"/>
      <c r="BF771" s="13"/>
      <c r="BG771" s="13"/>
      <c r="BH771" s="13"/>
      <c r="BI771" s="13"/>
      <c r="BJ771" s="13"/>
      <c r="BK771" s="13"/>
      <c r="BL771" s="13"/>
      <c r="BM771" s="13"/>
      <c r="BN771" s="13"/>
      <c r="BO771" s="13"/>
      <c r="BP771" s="13"/>
      <c r="BQ771" s="13"/>
      <c r="BR771" s="13"/>
      <c r="BS771" s="13"/>
      <c r="BT771" s="13"/>
      <c r="BU771" s="13"/>
      <c r="BV771" s="13"/>
      <c r="BW771" s="13"/>
      <c r="BX771" s="13"/>
      <c r="BY771" s="13"/>
      <c r="BZ771" s="13"/>
      <c r="CA771" s="13"/>
      <c r="CB771" s="13"/>
      <c r="CC771" s="13"/>
      <c r="CD771" s="13"/>
      <c r="CE771" s="13"/>
      <c r="CF771" s="13"/>
      <c r="CG771" s="13"/>
      <c r="CH771" s="13"/>
      <c r="CI771" s="13"/>
      <c r="CJ771" s="13"/>
      <c r="CK771" s="13"/>
      <c r="CL771" s="13"/>
      <c r="CM771" s="13"/>
      <c r="CN771" s="13"/>
      <c r="CO771" s="13"/>
      <c r="CP771" s="13"/>
      <c r="CQ771" s="13"/>
      <c r="CR771" s="13"/>
      <c r="CS771" s="13"/>
      <c r="CT771" s="13"/>
      <c r="CU771" s="13"/>
    </row>
    <row r="772" spans="1:99" ht="12.75">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c r="AH772" s="13"/>
      <c r="AI772" s="13"/>
      <c r="AJ772" s="13"/>
      <c r="AK772" s="13"/>
      <c r="AL772" s="13"/>
      <c r="AM772" s="13"/>
      <c r="AN772" s="13"/>
      <c r="AO772" s="13"/>
      <c r="AP772" s="13"/>
      <c r="AQ772" s="13"/>
      <c r="AR772" s="13"/>
      <c r="AS772" s="13"/>
      <c r="AT772" s="13"/>
      <c r="AU772" s="13"/>
      <c r="AV772" s="13"/>
      <c r="AW772" s="13"/>
      <c r="AX772" s="13"/>
      <c r="AY772" s="13"/>
      <c r="AZ772" s="13"/>
      <c r="BA772" s="13"/>
      <c r="BB772" s="13"/>
      <c r="BC772" s="13"/>
      <c r="BD772" s="13"/>
      <c r="BE772" s="13"/>
      <c r="BF772" s="13"/>
      <c r="BG772" s="13"/>
      <c r="BH772" s="13"/>
      <c r="BI772" s="13"/>
      <c r="BJ772" s="13"/>
      <c r="BK772" s="13"/>
      <c r="BL772" s="13"/>
      <c r="BM772" s="13"/>
      <c r="BN772" s="13"/>
      <c r="BO772" s="13"/>
      <c r="BP772" s="13"/>
      <c r="BQ772" s="13"/>
      <c r="BR772" s="13"/>
      <c r="BS772" s="13"/>
      <c r="BT772" s="13"/>
      <c r="BU772" s="13"/>
      <c r="BV772" s="13"/>
      <c r="BW772" s="13"/>
      <c r="BX772" s="13"/>
      <c r="BY772" s="13"/>
      <c r="BZ772" s="13"/>
      <c r="CA772" s="13"/>
      <c r="CB772" s="13"/>
      <c r="CC772" s="13"/>
      <c r="CD772" s="13"/>
      <c r="CE772" s="13"/>
      <c r="CF772" s="13"/>
      <c r="CG772" s="13"/>
      <c r="CH772" s="13"/>
      <c r="CI772" s="13"/>
      <c r="CJ772" s="13"/>
      <c r="CK772" s="13"/>
      <c r="CL772" s="13"/>
      <c r="CM772" s="13"/>
      <c r="CN772" s="13"/>
      <c r="CO772" s="13"/>
      <c r="CP772" s="13"/>
      <c r="CQ772" s="13"/>
      <c r="CR772" s="13"/>
      <c r="CS772" s="13"/>
      <c r="CT772" s="13"/>
      <c r="CU772" s="13"/>
    </row>
    <row r="773" spans="1:99" ht="12.75">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c r="AH773" s="13"/>
      <c r="AI773" s="13"/>
      <c r="AJ773" s="13"/>
      <c r="AK773" s="13"/>
      <c r="AL773" s="13"/>
      <c r="AM773" s="13"/>
      <c r="AN773" s="13"/>
      <c r="AO773" s="13"/>
      <c r="AP773" s="13"/>
      <c r="AQ773" s="13"/>
      <c r="AR773" s="13"/>
      <c r="AS773" s="13"/>
      <c r="AT773" s="13"/>
      <c r="AU773" s="13"/>
      <c r="AV773" s="13"/>
      <c r="AW773" s="13"/>
      <c r="AX773" s="13"/>
      <c r="AY773" s="13"/>
      <c r="AZ773" s="13"/>
      <c r="BA773" s="13"/>
      <c r="BB773" s="13"/>
      <c r="BC773" s="13"/>
      <c r="BD773" s="13"/>
      <c r="BE773" s="13"/>
      <c r="BF773" s="13"/>
      <c r="BG773" s="13"/>
      <c r="BH773" s="13"/>
      <c r="BI773" s="13"/>
      <c r="BJ773" s="13"/>
      <c r="BK773" s="13"/>
      <c r="BL773" s="13"/>
      <c r="BM773" s="13"/>
      <c r="BN773" s="13"/>
      <c r="BO773" s="13"/>
      <c r="BP773" s="13"/>
      <c r="BQ773" s="13"/>
      <c r="BR773" s="13"/>
      <c r="BS773" s="13"/>
      <c r="BT773" s="13"/>
      <c r="BU773" s="13"/>
      <c r="BV773" s="13"/>
      <c r="BW773" s="13"/>
      <c r="BX773" s="13"/>
      <c r="BY773" s="13"/>
      <c r="BZ773" s="13"/>
      <c r="CA773" s="13"/>
      <c r="CB773" s="13"/>
      <c r="CC773" s="13"/>
      <c r="CD773" s="13"/>
      <c r="CE773" s="13"/>
      <c r="CF773" s="13"/>
      <c r="CG773" s="13"/>
      <c r="CH773" s="13"/>
      <c r="CI773" s="13"/>
      <c r="CJ773" s="13"/>
      <c r="CK773" s="13"/>
      <c r="CL773" s="13"/>
      <c r="CM773" s="13"/>
      <c r="CN773" s="13"/>
      <c r="CO773" s="13"/>
      <c r="CP773" s="13"/>
      <c r="CQ773" s="13"/>
      <c r="CR773" s="13"/>
      <c r="CS773" s="13"/>
      <c r="CT773" s="13"/>
      <c r="CU773" s="13"/>
    </row>
    <row r="774" spans="1:99" ht="12.75">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c r="AN774" s="13"/>
      <c r="AO774" s="13"/>
      <c r="AP774" s="13"/>
      <c r="AQ774" s="13"/>
      <c r="AR774" s="13"/>
      <c r="AS774" s="13"/>
      <c r="AT774" s="13"/>
      <c r="AU774" s="13"/>
      <c r="AV774" s="13"/>
      <c r="AW774" s="13"/>
      <c r="AX774" s="13"/>
      <c r="AY774" s="13"/>
      <c r="AZ774" s="13"/>
      <c r="BA774" s="13"/>
      <c r="BB774" s="13"/>
      <c r="BC774" s="13"/>
      <c r="BD774" s="13"/>
      <c r="BE774" s="13"/>
      <c r="BF774" s="13"/>
      <c r="BG774" s="13"/>
      <c r="BH774" s="13"/>
      <c r="BI774" s="13"/>
      <c r="BJ774" s="13"/>
      <c r="BK774" s="13"/>
      <c r="BL774" s="13"/>
      <c r="BM774" s="13"/>
      <c r="BN774" s="13"/>
      <c r="BO774" s="13"/>
      <c r="BP774" s="13"/>
      <c r="BQ774" s="13"/>
      <c r="BR774" s="13"/>
      <c r="BS774" s="13"/>
      <c r="BT774" s="13"/>
      <c r="BU774" s="13"/>
      <c r="BV774" s="13"/>
      <c r="BW774" s="13"/>
      <c r="BX774" s="13"/>
      <c r="BY774" s="13"/>
      <c r="BZ774" s="13"/>
      <c r="CA774" s="13"/>
      <c r="CB774" s="13"/>
      <c r="CC774" s="13"/>
      <c r="CD774" s="13"/>
      <c r="CE774" s="13"/>
      <c r="CF774" s="13"/>
      <c r="CG774" s="13"/>
      <c r="CH774" s="13"/>
      <c r="CI774" s="13"/>
      <c r="CJ774" s="13"/>
      <c r="CK774" s="13"/>
      <c r="CL774" s="13"/>
      <c r="CM774" s="13"/>
      <c r="CN774" s="13"/>
      <c r="CO774" s="13"/>
      <c r="CP774" s="13"/>
      <c r="CQ774" s="13"/>
      <c r="CR774" s="13"/>
      <c r="CS774" s="13"/>
      <c r="CT774" s="13"/>
      <c r="CU774" s="13"/>
    </row>
    <row r="775" spans="1:99" ht="12.75">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c r="AH775" s="13"/>
      <c r="AI775" s="13"/>
      <c r="AJ775" s="13"/>
      <c r="AK775" s="13"/>
      <c r="AL775" s="13"/>
      <c r="AM775" s="13"/>
      <c r="AN775" s="13"/>
      <c r="AO775" s="13"/>
      <c r="AP775" s="13"/>
      <c r="AQ775" s="13"/>
      <c r="AR775" s="13"/>
      <c r="AS775" s="13"/>
      <c r="AT775" s="13"/>
      <c r="AU775" s="13"/>
      <c r="AV775" s="13"/>
      <c r="AW775" s="13"/>
      <c r="AX775" s="13"/>
      <c r="AY775" s="13"/>
      <c r="AZ775" s="13"/>
      <c r="BA775" s="13"/>
      <c r="BB775" s="13"/>
      <c r="BC775" s="13"/>
      <c r="BD775" s="13"/>
      <c r="BE775" s="13"/>
      <c r="BF775" s="13"/>
      <c r="BG775" s="13"/>
      <c r="BH775" s="13"/>
      <c r="BI775" s="13"/>
      <c r="BJ775" s="13"/>
      <c r="BK775" s="13"/>
      <c r="BL775" s="13"/>
      <c r="BM775" s="13"/>
      <c r="BN775" s="13"/>
      <c r="BO775" s="13"/>
      <c r="BP775" s="13"/>
      <c r="BQ775" s="13"/>
      <c r="BR775" s="13"/>
      <c r="BS775" s="13"/>
      <c r="BT775" s="13"/>
      <c r="BU775" s="13"/>
      <c r="BV775" s="13"/>
      <c r="BW775" s="13"/>
      <c r="BX775" s="13"/>
      <c r="BY775" s="13"/>
      <c r="BZ775" s="13"/>
      <c r="CA775" s="13"/>
      <c r="CB775" s="13"/>
      <c r="CC775" s="13"/>
      <c r="CD775" s="13"/>
      <c r="CE775" s="13"/>
      <c r="CF775" s="13"/>
      <c r="CG775" s="13"/>
      <c r="CH775" s="13"/>
      <c r="CI775" s="13"/>
      <c r="CJ775" s="13"/>
      <c r="CK775" s="13"/>
      <c r="CL775" s="13"/>
      <c r="CM775" s="13"/>
      <c r="CN775" s="13"/>
      <c r="CO775" s="13"/>
      <c r="CP775" s="13"/>
      <c r="CQ775" s="13"/>
      <c r="CR775" s="13"/>
      <c r="CS775" s="13"/>
      <c r="CT775" s="13"/>
      <c r="CU775" s="13"/>
    </row>
    <row r="776" spans="1:99" ht="12.75">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c r="AH776" s="13"/>
      <c r="AI776" s="13"/>
      <c r="AJ776" s="13"/>
      <c r="AK776" s="13"/>
      <c r="AL776" s="13"/>
      <c r="AM776" s="13"/>
      <c r="AN776" s="13"/>
      <c r="AO776" s="13"/>
      <c r="AP776" s="13"/>
      <c r="AQ776" s="13"/>
      <c r="AR776" s="13"/>
      <c r="AS776" s="13"/>
      <c r="AT776" s="13"/>
      <c r="AU776" s="13"/>
      <c r="AV776" s="13"/>
      <c r="AW776" s="13"/>
      <c r="AX776" s="13"/>
      <c r="AY776" s="13"/>
      <c r="AZ776" s="13"/>
      <c r="BA776" s="13"/>
      <c r="BB776" s="13"/>
      <c r="BC776" s="13"/>
      <c r="BD776" s="13"/>
      <c r="BE776" s="13"/>
      <c r="BF776" s="13"/>
      <c r="BG776" s="13"/>
      <c r="BH776" s="13"/>
      <c r="BI776" s="13"/>
      <c r="BJ776" s="13"/>
      <c r="BK776" s="13"/>
      <c r="BL776" s="13"/>
      <c r="BM776" s="13"/>
      <c r="BN776" s="13"/>
      <c r="BO776" s="13"/>
      <c r="BP776" s="13"/>
      <c r="BQ776" s="13"/>
      <c r="BR776" s="13"/>
      <c r="BS776" s="13"/>
      <c r="BT776" s="13"/>
      <c r="BU776" s="13"/>
      <c r="BV776" s="13"/>
      <c r="BW776" s="13"/>
      <c r="BX776" s="13"/>
      <c r="BY776" s="13"/>
      <c r="BZ776" s="13"/>
      <c r="CA776" s="13"/>
      <c r="CB776" s="13"/>
      <c r="CC776" s="13"/>
      <c r="CD776" s="13"/>
      <c r="CE776" s="13"/>
      <c r="CF776" s="13"/>
      <c r="CG776" s="13"/>
      <c r="CH776" s="13"/>
      <c r="CI776" s="13"/>
      <c r="CJ776" s="13"/>
      <c r="CK776" s="13"/>
      <c r="CL776" s="13"/>
      <c r="CM776" s="13"/>
      <c r="CN776" s="13"/>
      <c r="CO776" s="13"/>
      <c r="CP776" s="13"/>
      <c r="CQ776" s="13"/>
      <c r="CR776" s="13"/>
      <c r="CS776" s="13"/>
      <c r="CT776" s="13"/>
      <c r="CU776" s="13"/>
    </row>
    <row r="777" spans="1:99" ht="12.75">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c r="AH777" s="13"/>
      <c r="AI777" s="13"/>
      <c r="AJ777" s="13"/>
      <c r="AK777" s="13"/>
      <c r="AL777" s="13"/>
      <c r="AM777" s="13"/>
      <c r="AN777" s="13"/>
      <c r="AO777" s="13"/>
      <c r="AP777" s="13"/>
      <c r="AQ777" s="13"/>
      <c r="AR777" s="13"/>
      <c r="AS777" s="13"/>
      <c r="AT777" s="13"/>
      <c r="AU777" s="13"/>
      <c r="AV777" s="13"/>
      <c r="AW777" s="13"/>
      <c r="AX777" s="13"/>
      <c r="AY777" s="13"/>
      <c r="AZ777" s="13"/>
      <c r="BA777" s="13"/>
      <c r="BB777" s="13"/>
      <c r="BC777" s="13"/>
      <c r="BD777" s="13"/>
      <c r="BE777" s="13"/>
      <c r="BF777" s="13"/>
      <c r="BG777" s="13"/>
      <c r="BH777" s="13"/>
      <c r="BI777" s="13"/>
      <c r="BJ777" s="13"/>
      <c r="BK777" s="13"/>
      <c r="BL777" s="13"/>
      <c r="BM777" s="13"/>
      <c r="BN777" s="13"/>
      <c r="BO777" s="13"/>
      <c r="BP777" s="13"/>
      <c r="BQ777" s="13"/>
      <c r="BR777" s="13"/>
      <c r="BS777" s="13"/>
      <c r="BT777" s="13"/>
      <c r="BU777" s="13"/>
      <c r="BV777" s="13"/>
      <c r="BW777" s="13"/>
      <c r="BX777" s="13"/>
      <c r="BY777" s="13"/>
      <c r="BZ777" s="13"/>
      <c r="CA777" s="13"/>
      <c r="CB777" s="13"/>
      <c r="CC777" s="13"/>
      <c r="CD777" s="13"/>
      <c r="CE777" s="13"/>
      <c r="CF777" s="13"/>
      <c r="CG777" s="13"/>
      <c r="CH777" s="13"/>
      <c r="CI777" s="13"/>
      <c r="CJ777" s="13"/>
      <c r="CK777" s="13"/>
      <c r="CL777" s="13"/>
      <c r="CM777" s="13"/>
      <c r="CN777" s="13"/>
      <c r="CO777" s="13"/>
      <c r="CP777" s="13"/>
      <c r="CQ777" s="13"/>
      <c r="CR777" s="13"/>
      <c r="CS777" s="13"/>
      <c r="CT777" s="13"/>
      <c r="CU777" s="13"/>
    </row>
    <row r="778" spans="1:99" ht="12.75">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c r="AH778" s="13"/>
      <c r="AI778" s="13"/>
      <c r="AJ778" s="13"/>
      <c r="AK778" s="13"/>
      <c r="AL778" s="13"/>
      <c r="AM778" s="13"/>
      <c r="AN778" s="13"/>
      <c r="AO778" s="13"/>
      <c r="AP778" s="13"/>
      <c r="AQ778" s="13"/>
      <c r="AR778" s="13"/>
      <c r="AS778" s="13"/>
      <c r="AT778" s="13"/>
      <c r="AU778" s="13"/>
      <c r="AV778" s="13"/>
      <c r="AW778" s="13"/>
      <c r="AX778" s="13"/>
      <c r="AY778" s="13"/>
      <c r="AZ778" s="13"/>
      <c r="BA778" s="13"/>
      <c r="BB778" s="13"/>
      <c r="BC778" s="13"/>
      <c r="BD778" s="13"/>
      <c r="BE778" s="13"/>
      <c r="BF778" s="13"/>
      <c r="BG778" s="13"/>
      <c r="BH778" s="13"/>
      <c r="BI778" s="13"/>
      <c r="BJ778" s="13"/>
      <c r="BK778" s="13"/>
      <c r="BL778" s="13"/>
      <c r="BM778" s="13"/>
      <c r="BN778" s="13"/>
      <c r="BO778" s="13"/>
      <c r="BP778" s="13"/>
      <c r="BQ778" s="13"/>
      <c r="BR778" s="13"/>
      <c r="BS778" s="13"/>
      <c r="BT778" s="13"/>
      <c r="BU778" s="13"/>
      <c r="BV778" s="13"/>
      <c r="BW778" s="13"/>
      <c r="BX778" s="13"/>
      <c r="BY778" s="13"/>
      <c r="BZ778" s="13"/>
      <c r="CA778" s="13"/>
      <c r="CB778" s="13"/>
      <c r="CC778" s="13"/>
      <c r="CD778" s="13"/>
      <c r="CE778" s="13"/>
      <c r="CF778" s="13"/>
      <c r="CG778" s="13"/>
      <c r="CH778" s="13"/>
      <c r="CI778" s="13"/>
      <c r="CJ778" s="13"/>
      <c r="CK778" s="13"/>
      <c r="CL778" s="13"/>
      <c r="CM778" s="13"/>
      <c r="CN778" s="13"/>
      <c r="CO778" s="13"/>
      <c r="CP778" s="13"/>
      <c r="CQ778" s="13"/>
      <c r="CR778" s="13"/>
      <c r="CS778" s="13"/>
      <c r="CT778" s="13"/>
      <c r="CU778" s="13"/>
    </row>
    <row r="779" spans="1:99" ht="12.75">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c r="AH779" s="13"/>
      <c r="AI779" s="13"/>
      <c r="AJ779" s="13"/>
      <c r="AK779" s="13"/>
      <c r="AL779" s="13"/>
      <c r="AM779" s="13"/>
      <c r="AN779" s="13"/>
      <c r="AO779" s="13"/>
      <c r="AP779" s="13"/>
      <c r="AQ779" s="13"/>
      <c r="AR779" s="13"/>
      <c r="AS779" s="13"/>
      <c r="AT779" s="13"/>
      <c r="AU779" s="13"/>
      <c r="AV779" s="13"/>
      <c r="AW779" s="13"/>
      <c r="AX779" s="13"/>
      <c r="AY779" s="13"/>
      <c r="AZ779" s="13"/>
      <c r="BA779" s="13"/>
      <c r="BB779" s="13"/>
      <c r="BC779" s="13"/>
      <c r="BD779" s="13"/>
      <c r="BE779" s="13"/>
      <c r="BF779" s="13"/>
      <c r="BG779" s="13"/>
      <c r="BH779" s="13"/>
      <c r="BI779" s="13"/>
      <c r="BJ779" s="13"/>
      <c r="BK779" s="13"/>
      <c r="BL779" s="13"/>
      <c r="BM779" s="13"/>
      <c r="BN779" s="13"/>
      <c r="BO779" s="13"/>
      <c r="BP779" s="13"/>
      <c r="BQ779" s="13"/>
      <c r="BR779" s="13"/>
      <c r="BS779" s="13"/>
      <c r="BT779" s="13"/>
      <c r="BU779" s="13"/>
      <c r="BV779" s="13"/>
      <c r="BW779" s="13"/>
      <c r="BX779" s="13"/>
      <c r="BY779" s="13"/>
      <c r="BZ779" s="13"/>
      <c r="CA779" s="13"/>
      <c r="CB779" s="13"/>
      <c r="CC779" s="13"/>
      <c r="CD779" s="13"/>
      <c r="CE779" s="13"/>
      <c r="CF779" s="13"/>
      <c r="CG779" s="13"/>
      <c r="CH779" s="13"/>
      <c r="CI779" s="13"/>
      <c r="CJ779" s="13"/>
      <c r="CK779" s="13"/>
      <c r="CL779" s="13"/>
      <c r="CM779" s="13"/>
      <c r="CN779" s="13"/>
      <c r="CO779" s="13"/>
      <c r="CP779" s="13"/>
      <c r="CQ779" s="13"/>
      <c r="CR779" s="13"/>
      <c r="CS779" s="13"/>
      <c r="CT779" s="13"/>
      <c r="CU779" s="13"/>
    </row>
    <row r="780" spans="1:99" ht="12.75">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c r="AH780" s="13"/>
      <c r="AI780" s="13"/>
      <c r="AJ780" s="13"/>
      <c r="AK780" s="13"/>
      <c r="AL780" s="13"/>
      <c r="AM780" s="13"/>
      <c r="AN780" s="13"/>
      <c r="AO780" s="13"/>
      <c r="AP780" s="13"/>
      <c r="AQ780" s="13"/>
      <c r="AR780" s="13"/>
      <c r="AS780" s="13"/>
      <c r="AT780" s="13"/>
      <c r="AU780" s="13"/>
      <c r="AV780" s="13"/>
      <c r="AW780" s="13"/>
      <c r="AX780" s="13"/>
      <c r="AY780" s="13"/>
      <c r="AZ780" s="13"/>
      <c r="BA780" s="13"/>
      <c r="BB780" s="13"/>
      <c r="BC780" s="13"/>
      <c r="BD780" s="13"/>
      <c r="BE780" s="13"/>
      <c r="BF780" s="13"/>
      <c r="BG780" s="13"/>
      <c r="BH780" s="13"/>
      <c r="BI780" s="13"/>
      <c r="BJ780" s="13"/>
      <c r="BK780" s="13"/>
      <c r="BL780" s="13"/>
      <c r="BM780" s="13"/>
      <c r="BN780" s="13"/>
      <c r="BO780" s="13"/>
      <c r="BP780" s="13"/>
      <c r="BQ780" s="13"/>
      <c r="BR780" s="13"/>
      <c r="BS780" s="13"/>
      <c r="BT780" s="13"/>
      <c r="BU780" s="13"/>
      <c r="BV780" s="13"/>
      <c r="BW780" s="13"/>
      <c r="BX780" s="13"/>
      <c r="BY780" s="13"/>
      <c r="BZ780" s="13"/>
      <c r="CA780" s="13"/>
      <c r="CB780" s="13"/>
      <c r="CC780" s="13"/>
      <c r="CD780" s="13"/>
      <c r="CE780" s="13"/>
      <c r="CF780" s="13"/>
      <c r="CG780" s="13"/>
      <c r="CH780" s="13"/>
      <c r="CI780" s="13"/>
      <c r="CJ780" s="13"/>
      <c r="CK780" s="13"/>
      <c r="CL780" s="13"/>
      <c r="CM780" s="13"/>
      <c r="CN780" s="13"/>
      <c r="CO780" s="13"/>
      <c r="CP780" s="13"/>
      <c r="CQ780" s="13"/>
      <c r="CR780" s="13"/>
      <c r="CS780" s="13"/>
      <c r="CT780" s="13"/>
      <c r="CU780" s="13"/>
    </row>
    <row r="781" spans="1:99" ht="12.75">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c r="AH781" s="13"/>
      <c r="AI781" s="13"/>
      <c r="AJ781" s="13"/>
      <c r="AK781" s="13"/>
      <c r="AL781" s="13"/>
      <c r="AM781" s="13"/>
      <c r="AN781" s="13"/>
      <c r="AO781" s="13"/>
      <c r="AP781" s="13"/>
      <c r="AQ781" s="13"/>
      <c r="AR781" s="13"/>
      <c r="AS781" s="13"/>
      <c r="AT781" s="13"/>
      <c r="AU781" s="13"/>
      <c r="AV781" s="13"/>
      <c r="AW781" s="13"/>
      <c r="AX781" s="13"/>
      <c r="AY781" s="13"/>
      <c r="AZ781" s="13"/>
      <c r="BA781" s="13"/>
      <c r="BB781" s="13"/>
      <c r="BC781" s="13"/>
      <c r="BD781" s="13"/>
      <c r="BE781" s="13"/>
      <c r="BF781" s="13"/>
      <c r="BG781" s="13"/>
      <c r="BH781" s="13"/>
      <c r="BI781" s="13"/>
      <c r="BJ781" s="13"/>
      <c r="BK781" s="13"/>
      <c r="BL781" s="13"/>
      <c r="BM781" s="13"/>
      <c r="BN781" s="13"/>
      <c r="BO781" s="13"/>
      <c r="BP781" s="13"/>
      <c r="BQ781" s="13"/>
      <c r="BR781" s="13"/>
      <c r="BS781" s="13"/>
      <c r="BT781" s="13"/>
      <c r="BU781" s="13"/>
      <c r="BV781" s="13"/>
      <c r="BW781" s="13"/>
      <c r="BX781" s="13"/>
      <c r="BY781" s="13"/>
      <c r="BZ781" s="13"/>
      <c r="CA781" s="13"/>
      <c r="CB781" s="13"/>
      <c r="CC781" s="13"/>
      <c r="CD781" s="13"/>
      <c r="CE781" s="13"/>
      <c r="CF781" s="13"/>
      <c r="CG781" s="13"/>
      <c r="CH781" s="13"/>
      <c r="CI781" s="13"/>
      <c r="CJ781" s="13"/>
      <c r="CK781" s="13"/>
      <c r="CL781" s="13"/>
      <c r="CM781" s="13"/>
      <c r="CN781" s="13"/>
      <c r="CO781" s="13"/>
      <c r="CP781" s="13"/>
      <c r="CQ781" s="13"/>
      <c r="CR781" s="13"/>
      <c r="CS781" s="13"/>
      <c r="CT781" s="13"/>
      <c r="CU781" s="13"/>
    </row>
    <row r="782" spans="1:99" ht="12.75">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c r="AN782" s="13"/>
      <c r="AO782" s="13"/>
      <c r="AP782" s="13"/>
      <c r="AQ782" s="13"/>
      <c r="AR782" s="13"/>
      <c r="AS782" s="13"/>
      <c r="AT782" s="13"/>
      <c r="AU782" s="13"/>
      <c r="AV782" s="13"/>
      <c r="AW782" s="13"/>
      <c r="AX782" s="13"/>
      <c r="AY782" s="13"/>
      <c r="AZ782" s="13"/>
      <c r="BA782" s="13"/>
      <c r="BB782" s="13"/>
      <c r="BC782" s="13"/>
      <c r="BD782" s="13"/>
      <c r="BE782" s="13"/>
      <c r="BF782" s="13"/>
      <c r="BG782" s="13"/>
      <c r="BH782" s="13"/>
      <c r="BI782" s="13"/>
      <c r="BJ782" s="13"/>
      <c r="BK782" s="13"/>
      <c r="BL782" s="13"/>
      <c r="BM782" s="13"/>
      <c r="BN782" s="13"/>
      <c r="BO782" s="13"/>
      <c r="BP782" s="13"/>
      <c r="BQ782" s="13"/>
      <c r="BR782" s="13"/>
      <c r="BS782" s="13"/>
      <c r="BT782" s="13"/>
      <c r="BU782" s="13"/>
      <c r="BV782" s="13"/>
      <c r="BW782" s="13"/>
      <c r="BX782" s="13"/>
      <c r="BY782" s="13"/>
      <c r="BZ782" s="13"/>
      <c r="CA782" s="13"/>
      <c r="CB782" s="13"/>
      <c r="CC782" s="13"/>
      <c r="CD782" s="13"/>
      <c r="CE782" s="13"/>
      <c r="CF782" s="13"/>
      <c r="CG782" s="13"/>
      <c r="CH782" s="13"/>
      <c r="CI782" s="13"/>
      <c r="CJ782" s="13"/>
      <c r="CK782" s="13"/>
      <c r="CL782" s="13"/>
      <c r="CM782" s="13"/>
      <c r="CN782" s="13"/>
      <c r="CO782" s="13"/>
      <c r="CP782" s="13"/>
      <c r="CQ782" s="13"/>
      <c r="CR782" s="13"/>
      <c r="CS782" s="13"/>
      <c r="CT782" s="13"/>
      <c r="CU782" s="13"/>
    </row>
    <row r="783" spans="1:99" ht="12.75">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c r="AH783" s="13"/>
      <c r="AI783" s="13"/>
      <c r="AJ783" s="13"/>
      <c r="AK783" s="13"/>
      <c r="AL783" s="13"/>
      <c r="AM783" s="13"/>
      <c r="AN783" s="13"/>
      <c r="AO783" s="13"/>
      <c r="AP783" s="13"/>
      <c r="AQ783" s="13"/>
      <c r="AR783" s="13"/>
      <c r="AS783" s="13"/>
      <c r="AT783" s="13"/>
      <c r="AU783" s="13"/>
      <c r="AV783" s="13"/>
      <c r="AW783" s="13"/>
      <c r="AX783" s="13"/>
      <c r="AY783" s="13"/>
      <c r="AZ783" s="13"/>
      <c r="BA783" s="13"/>
      <c r="BB783" s="13"/>
      <c r="BC783" s="13"/>
      <c r="BD783" s="13"/>
      <c r="BE783" s="13"/>
      <c r="BF783" s="13"/>
      <c r="BG783" s="13"/>
      <c r="BH783" s="13"/>
      <c r="BI783" s="13"/>
      <c r="BJ783" s="13"/>
      <c r="BK783" s="13"/>
      <c r="BL783" s="13"/>
      <c r="BM783" s="13"/>
      <c r="BN783" s="13"/>
      <c r="BO783" s="13"/>
      <c r="BP783" s="13"/>
      <c r="BQ783" s="13"/>
      <c r="BR783" s="13"/>
      <c r="BS783" s="13"/>
      <c r="BT783" s="13"/>
      <c r="BU783" s="13"/>
      <c r="BV783" s="13"/>
      <c r="BW783" s="13"/>
      <c r="BX783" s="13"/>
      <c r="BY783" s="13"/>
      <c r="BZ783" s="13"/>
      <c r="CA783" s="13"/>
      <c r="CB783" s="13"/>
      <c r="CC783" s="13"/>
      <c r="CD783" s="13"/>
      <c r="CE783" s="13"/>
      <c r="CF783" s="13"/>
      <c r="CG783" s="13"/>
      <c r="CH783" s="13"/>
      <c r="CI783" s="13"/>
      <c r="CJ783" s="13"/>
      <c r="CK783" s="13"/>
      <c r="CL783" s="13"/>
      <c r="CM783" s="13"/>
      <c r="CN783" s="13"/>
      <c r="CO783" s="13"/>
      <c r="CP783" s="13"/>
      <c r="CQ783" s="13"/>
      <c r="CR783" s="13"/>
      <c r="CS783" s="13"/>
      <c r="CT783" s="13"/>
      <c r="CU783" s="13"/>
    </row>
    <row r="784" spans="1:99" ht="12.75">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c r="AH784" s="13"/>
      <c r="AI784" s="13"/>
      <c r="AJ784" s="13"/>
      <c r="AK784" s="13"/>
      <c r="AL784" s="13"/>
      <c r="AM784" s="13"/>
      <c r="AN784" s="13"/>
      <c r="AO784" s="13"/>
      <c r="AP784" s="13"/>
      <c r="AQ784" s="13"/>
      <c r="AR784" s="13"/>
      <c r="AS784" s="13"/>
      <c r="AT784" s="13"/>
      <c r="AU784" s="13"/>
      <c r="AV784" s="13"/>
      <c r="AW784" s="13"/>
      <c r="AX784" s="13"/>
      <c r="AY784" s="13"/>
      <c r="AZ784" s="13"/>
      <c r="BA784" s="13"/>
      <c r="BB784" s="13"/>
      <c r="BC784" s="13"/>
      <c r="BD784" s="13"/>
      <c r="BE784" s="13"/>
      <c r="BF784" s="13"/>
      <c r="BG784" s="13"/>
      <c r="BH784" s="13"/>
      <c r="BI784" s="13"/>
      <c r="BJ784" s="13"/>
      <c r="BK784" s="13"/>
      <c r="BL784" s="13"/>
      <c r="BM784" s="13"/>
      <c r="BN784" s="13"/>
      <c r="BO784" s="13"/>
      <c r="BP784" s="13"/>
      <c r="BQ784" s="13"/>
      <c r="BR784" s="13"/>
      <c r="BS784" s="13"/>
      <c r="BT784" s="13"/>
      <c r="BU784" s="13"/>
      <c r="BV784" s="13"/>
      <c r="BW784" s="13"/>
      <c r="BX784" s="13"/>
      <c r="BY784" s="13"/>
      <c r="BZ784" s="13"/>
      <c r="CA784" s="13"/>
      <c r="CB784" s="13"/>
      <c r="CC784" s="13"/>
      <c r="CD784" s="13"/>
      <c r="CE784" s="13"/>
      <c r="CF784" s="13"/>
      <c r="CG784" s="13"/>
      <c r="CH784" s="13"/>
      <c r="CI784" s="13"/>
      <c r="CJ784" s="13"/>
      <c r="CK784" s="13"/>
      <c r="CL784" s="13"/>
      <c r="CM784" s="13"/>
      <c r="CN784" s="13"/>
      <c r="CO784" s="13"/>
      <c r="CP784" s="13"/>
      <c r="CQ784" s="13"/>
      <c r="CR784" s="13"/>
      <c r="CS784" s="13"/>
      <c r="CT784" s="13"/>
      <c r="CU784" s="13"/>
    </row>
    <row r="785" spans="1:99" ht="12.75">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c r="AH785" s="13"/>
      <c r="AI785" s="13"/>
      <c r="AJ785" s="13"/>
      <c r="AK785" s="13"/>
      <c r="AL785" s="13"/>
      <c r="AM785" s="13"/>
      <c r="AN785" s="13"/>
      <c r="AO785" s="13"/>
      <c r="AP785" s="13"/>
      <c r="AQ785" s="13"/>
      <c r="AR785" s="13"/>
      <c r="AS785" s="13"/>
      <c r="AT785" s="13"/>
      <c r="AU785" s="13"/>
      <c r="AV785" s="13"/>
      <c r="AW785" s="13"/>
      <c r="AX785" s="13"/>
      <c r="AY785" s="13"/>
      <c r="AZ785" s="13"/>
      <c r="BA785" s="13"/>
      <c r="BB785" s="13"/>
      <c r="BC785" s="13"/>
      <c r="BD785" s="13"/>
      <c r="BE785" s="13"/>
      <c r="BF785" s="13"/>
      <c r="BG785" s="13"/>
      <c r="BH785" s="13"/>
      <c r="BI785" s="13"/>
      <c r="BJ785" s="13"/>
      <c r="BK785" s="13"/>
      <c r="BL785" s="13"/>
      <c r="BM785" s="13"/>
      <c r="BN785" s="13"/>
      <c r="BO785" s="13"/>
      <c r="BP785" s="13"/>
      <c r="BQ785" s="13"/>
      <c r="BR785" s="13"/>
      <c r="BS785" s="13"/>
      <c r="BT785" s="13"/>
      <c r="BU785" s="13"/>
      <c r="BV785" s="13"/>
      <c r="BW785" s="13"/>
      <c r="BX785" s="13"/>
      <c r="BY785" s="13"/>
      <c r="BZ785" s="13"/>
      <c r="CA785" s="13"/>
      <c r="CB785" s="13"/>
      <c r="CC785" s="13"/>
      <c r="CD785" s="13"/>
      <c r="CE785" s="13"/>
      <c r="CF785" s="13"/>
      <c r="CG785" s="13"/>
      <c r="CH785" s="13"/>
      <c r="CI785" s="13"/>
      <c r="CJ785" s="13"/>
      <c r="CK785" s="13"/>
      <c r="CL785" s="13"/>
      <c r="CM785" s="13"/>
      <c r="CN785" s="13"/>
      <c r="CO785" s="13"/>
      <c r="CP785" s="13"/>
      <c r="CQ785" s="13"/>
      <c r="CR785" s="13"/>
      <c r="CS785" s="13"/>
      <c r="CT785" s="13"/>
      <c r="CU785" s="13"/>
    </row>
    <row r="786" spans="1:99" ht="12.75">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c r="AH786" s="13"/>
      <c r="AI786" s="13"/>
      <c r="AJ786" s="13"/>
      <c r="AK786" s="13"/>
      <c r="AL786" s="13"/>
      <c r="AM786" s="13"/>
      <c r="AN786" s="13"/>
      <c r="AO786" s="13"/>
      <c r="AP786" s="13"/>
      <c r="AQ786" s="13"/>
      <c r="AR786" s="13"/>
      <c r="AS786" s="13"/>
      <c r="AT786" s="13"/>
      <c r="AU786" s="13"/>
      <c r="AV786" s="13"/>
      <c r="AW786" s="13"/>
      <c r="AX786" s="13"/>
      <c r="AY786" s="13"/>
      <c r="AZ786" s="13"/>
      <c r="BA786" s="13"/>
      <c r="BB786" s="13"/>
      <c r="BC786" s="13"/>
      <c r="BD786" s="13"/>
      <c r="BE786" s="13"/>
      <c r="BF786" s="13"/>
      <c r="BG786" s="13"/>
      <c r="BH786" s="13"/>
      <c r="BI786" s="13"/>
      <c r="BJ786" s="13"/>
      <c r="BK786" s="13"/>
      <c r="BL786" s="13"/>
      <c r="BM786" s="13"/>
      <c r="BN786" s="13"/>
      <c r="BO786" s="13"/>
      <c r="BP786" s="13"/>
      <c r="BQ786" s="13"/>
      <c r="BR786" s="13"/>
      <c r="BS786" s="13"/>
      <c r="BT786" s="13"/>
      <c r="BU786" s="13"/>
      <c r="BV786" s="13"/>
      <c r="BW786" s="13"/>
      <c r="BX786" s="13"/>
      <c r="BY786" s="13"/>
      <c r="BZ786" s="13"/>
      <c r="CA786" s="13"/>
      <c r="CB786" s="13"/>
      <c r="CC786" s="13"/>
      <c r="CD786" s="13"/>
      <c r="CE786" s="13"/>
      <c r="CF786" s="13"/>
      <c r="CG786" s="13"/>
      <c r="CH786" s="13"/>
      <c r="CI786" s="13"/>
      <c r="CJ786" s="13"/>
      <c r="CK786" s="13"/>
      <c r="CL786" s="13"/>
      <c r="CM786" s="13"/>
      <c r="CN786" s="13"/>
      <c r="CO786" s="13"/>
      <c r="CP786" s="13"/>
      <c r="CQ786" s="13"/>
      <c r="CR786" s="13"/>
      <c r="CS786" s="13"/>
      <c r="CT786" s="13"/>
      <c r="CU786" s="13"/>
    </row>
    <row r="787" spans="1:99" ht="12.75">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c r="AH787" s="13"/>
      <c r="AI787" s="13"/>
      <c r="AJ787" s="13"/>
      <c r="AK787" s="13"/>
      <c r="AL787" s="13"/>
      <c r="AM787" s="13"/>
      <c r="AN787" s="13"/>
      <c r="AO787" s="13"/>
      <c r="AP787" s="13"/>
      <c r="AQ787" s="13"/>
      <c r="AR787" s="13"/>
      <c r="AS787" s="13"/>
      <c r="AT787" s="13"/>
      <c r="AU787" s="13"/>
      <c r="AV787" s="13"/>
      <c r="AW787" s="13"/>
      <c r="AX787" s="13"/>
      <c r="AY787" s="13"/>
      <c r="AZ787" s="13"/>
      <c r="BA787" s="13"/>
      <c r="BB787" s="13"/>
      <c r="BC787" s="13"/>
      <c r="BD787" s="13"/>
      <c r="BE787" s="13"/>
      <c r="BF787" s="13"/>
      <c r="BG787" s="13"/>
      <c r="BH787" s="13"/>
      <c r="BI787" s="13"/>
      <c r="BJ787" s="13"/>
      <c r="BK787" s="13"/>
      <c r="BL787" s="13"/>
      <c r="BM787" s="13"/>
      <c r="BN787" s="13"/>
      <c r="BO787" s="13"/>
      <c r="BP787" s="13"/>
      <c r="BQ787" s="13"/>
      <c r="BR787" s="13"/>
      <c r="BS787" s="13"/>
      <c r="BT787" s="13"/>
      <c r="BU787" s="13"/>
      <c r="BV787" s="13"/>
      <c r="BW787" s="13"/>
      <c r="BX787" s="13"/>
      <c r="BY787" s="13"/>
      <c r="BZ787" s="13"/>
      <c r="CA787" s="13"/>
      <c r="CB787" s="13"/>
      <c r="CC787" s="13"/>
      <c r="CD787" s="13"/>
      <c r="CE787" s="13"/>
      <c r="CF787" s="13"/>
      <c r="CG787" s="13"/>
      <c r="CH787" s="13"/>
      <c r="CI787" s="13"/>
      <c r="CJ787" s="13"/>
      <c r="CK787" s="13"/>
      <c r="CL787" s="13"/>
      <c r="CM787" s="13"/>
      <c r="CN787" s="13"/>
      <c r="CO787" s="13"/>
      <c r="CP787" s="13"/>
      <c r="CQ787" s="13"/>
      <c r="CR787" s="13"/>
      <c r="CS787" s="13"/>
      <c r="CT787" s="13"/>
      <c r="CU787" s="13"/>
    </row>
    <row r="788" spans="1:99" ht="12.75">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c r="AH788" s="13"/>
      <c r="AI788" s="13"/>
      <c r="AJ788" s="13"/>
      <c r="AK788" s="13"/>
      <c r="AL788" s="13"/>
      <c r="AM788" s="13"/>
      <c r="AN788" s="13"/>
      <c r="AO788" s="13"/>
      <c r="AP788" s="13"/>
      <c r="AQ788" s="13"/>
      <c r="AR788" s="13"/>
      <c r="AS788" s="13"/>
      <c r="AT788" s="13"/>
      <c r="AU788" s="13"/>
      <c r="AV788" s="13"/>
      <c r="AW788" s="13"/>
      <c r="AX788" s="13"/>
      <c r="AY788" s="13"/>
      <c r="AZ788" s="13"/>
      <c r="BA788" s="13"/>
      <c r="BB788" s="13"/>
      <c r="BC788" s="13"/>
      <c r="BD788" s="13"/>
      <c r="BE788" s="13"/>
      <c r="BF788" s="13"/>
      <c r="BG788" s="13"/>
      <c r="BH788" s="13"/>
      <c r="BI788" s="13"/>
      <c r="BJ788" s="13"/>
      <c r="BK788" s="13"/>
      <c r="BL788" s="13"/>
      <c r="BM788" s="13"/>
      <c r="BN788" s="13"/>
      <c r="BO788" s="13"/>
      <c r="BP788" s="13"/>
      <c r="BQ788" s="13"/>
      <c r="BR788" s="13"/>
      <c r="BS788" s="13"/>
      <c r="BT788" s="13"/>
      <c r="BU788" s="13"/>
      <c r="BV788" s="13"/>
      <c r="BW788" s="13"/>
      <c r="BX788" s="13"/>
      <c r="BY788" s="13"/>
      <c r="BZ788" s="13"/>
      <c r="CA788" s="13"/>
      <c r="CB788" s="13"/>
      <c r="CC788" s="13"/>
      <c r="CD788" s="13"/>
      <c r="CE788" s="13"/>
      <c r="CF788" s="13"/>
      <c r="CG788" s="13"/>
      <c r="CH788" s="13"/>
      <c r="CI788" s="13"/>
      <c r="CJ788" s="13"/>
      <c r="CK788" s="13"/>
      <c r="CL788" s="13"/>
      <c r="CM788" s="13"/>
      <c r="CN788" s="13"/>
      <c r="CO788" s="13"/>
      <c r="CP788" s="13"/>
      <c r="CQ788" s="13"/>
      <c r="CR788" s="13"/>
      <c r="CS788" s="13"/>
      <c r="CT788" s="13"/>
      <c r="CU788" s="13"/>
    </row>
    <row r="789" spans="1:99" ht="12.75">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c r="AH789" s="13"/>
      <c r="AI789" s="13"/>
      <c r="AJ789" s="13"/>
      <c r="AK789" s="13"/>
      <c r="AL789" s="13"/>
      <c r="AM789" s="13"/>
      <c r="AN789" s="13"/>
      <c r="AO789" s="13"/>
      <c r="AP789" s="13"/>
      <c r="AQ789" s="13"/>
      <c r="AR789" s="13"/>
      <c r="AS789" s="13"/>
      <c r="AT789" s="13"/>
      <c r="AU789" s="13"/>
      <c r="AV789" s="13"/>
      <c r="AW789" s="13"/>
      <c r="AX789" s="13"/>
      <c r="AY789" s="13"/>
      <c r="AZ789" s="13"/>
      <c r="BA789" s="13"/>
      <c r="BB789" s="13"/>
      <c r="BC789" s="13"/>
      <c r="BD789" s="13"/>
      <c r="BE789" s="13"/>
      <c r="BF789" s="13"/>
      <c r="BG789" s="13"/>
      <c r="BH789" s="13"/>
      <c r="BI789" s="13"/>
      <c r="BJ789" s="13"/>
      <c r="BK789" s="13"/>
      <c r="BL789" s="13"/>
      <c r="BM789" s="13"/>
      <c r="BN789" s="13"/>
      <c r="BO789" s="13"/>
      <c r="BP789" s="13"/>
      <c r="BQ789" s="13"/>
      <c r="BR789" s="13"/>
      <c r="BS789" s="13"/>
      <c r="BT789" s="13"/>
      <c r="BU789" s="13"/>
      <c r="BV789" s="13"/>
      <c r="BW789" s="13"/>
      <c r="BX789" s="13"/>
      <c r="BY789" s="13"/>
      <c r="BZ789" s="13"/>
      <c r="CA789" s="13"/>
      <c r="CB789" s="13"/>
      <c r="CC789" s="13"/>
      <c r="CD789" s="13"/>
      <c r="CE789" s="13"/>
      <c r="CF789" s="13"/>
      <c r="CG789" s="13"/>
      <c r="CH789" s="13"/>
      <c r="CI789" s="13"/>
      <c r="CJ789" s="13"/>
      <c r="CK789" s="13"/>
      <c r="CL789" s="13"/>
      <c r="CM789" s="13"/>
      <c r="CN789" s="13"/>
      <c r="CO789" s="13"/>
      <c r="CP789" s="13"/>
      <c r="CQ789" s="13"/>
      <c r="CR789" s="13"/>
      <c r="CS789" s="13"/>
      <c r="CT789" s="13"/>
      <c r="CU789" s="13"/>
    </row>
    <row r="790" spans="1:99" ht="12.75">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c r="AH790" s="13"/>
      <c r="AI790" s="13"/>
      <c r="AJ790" s="13"/>
      <c r="AK790" s="13"/>
      <c r="AL790" s="13"/>
      <c r="AM790" s="13"/>
      <c r="AN790" s="13"/>
      <c r="AO790" s="13"/>
      <c r="AP790" s="13"/>
      <c r="AQ790" s="13"/>
      <c r="AR790" s="13"/>
      <c r="AS790" s="13"/>
      <c r="AT790" s="13"/>
      <c r="AU790" s="13"/>
      <c r="AV790" s="13"/>
      <c r="AW790" s="13"/>
      <c r="AX790" s="13"/>
      <c r="AY790" s="13"/>
      <c r="AZ790" s="13"/>
      <c r="BA790" s="13"/>
      <c r="BB790" s="13"/>
      <c r="BC790" s="13"/>
      <c r="BD790" s="13"/>
      <c r="BE790" s="13"/>
      <c r="BF790" s="13"/>
      <c r="BG790" s="13"/>
      <c r="BH790" s="13"/>
      <c r="BI790" s="13"/>
      <c r="BJ790" s="13"/>
      <c r="BK790" s="13"/>
      <c r="BL790" s="13"/>
      <c r="BM790" s="13"/>
      <c r="BN790" s="13"/>
      <c r="BO790" s="13"/>
      <c r="BP790" s="13"/>
      <c r="BQ790" s="13"/>
      <c r="BR790" s="13"/>
      <c r="BS790" s="13"/>
      <c r="BT790" s="13"/>
      <c r="BU790" s="13"/>
      <c r="BV790" s="13"/>
      <c r="BW790" s="13"/>
      <c r="BX790" s="13"/>
      <c r="BY790" s="13"/>
      <c r="BZ790" s="13"/>
      <c r="CA790" s="13"/>
      <c r="CB790" s="13"/>
      <c r="CC790" s="13"/>
      <c r="CD790" s="13"/>
      <c r="CE790" s="13"/>
      <c r="CF790" s="13"/>
      <c r="CG790" s="13"/>
      <c r="CH790" s="13"/>
      <c r="CI790" s="13"/>
      <c r="CJ790" s="13"/>
      <c r="CK790" s="13"/>
      <c r="CL790" s="13"/>
      <c r="CM790" s="13"/>
      <c r="CN790" s="13"/>
      <c r="CO790" s="13"/>
      <c r="CP790" s="13"/>
      <c r="CQ790" s="13"/>
      <c r="CR790" s="13"/>
      <c r="CS790" s="13"/>
      <c r="CT790" s="13"/>
      <c r="CU790" s="13"/>
    </row>
    <row r="791" spans="1:99" ht="12.75">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c r="AH791" s="13"/>
      <c r="AI791" s="13"/>
      <c r="AJ791" s="13"/>
      <c r="AK791" s="13"/>
      <c r="AL791" s="13"/>
      <c r="AM791" s="13"/>
      <c r="AN791" s="13"/>
      <c r="AO791" s="13"/>
      <c r="AP791" s="13"/>
      <c r="AQ791" s="13"/>
      <c r="AR791" s="13"/>
      <c r="AS791" s="13"/>
      <c r="AT791" s="13"/>
      <c r="AU791" s="13"/>
      <c r="AV791" s="13"/>
      <c r="AW791" s="13"/>
      <c r="AX791" s="13"/>
      <c r="AY791" s="13"/>
      <c r="AZ791" s="13"/>
      <c r="BA791" s="13"/>
      <c r="BB791" s="13"/>
      <c r="BC791" s="13"/>
      <c r="BD791" s="13"/>
      <c r="BE791" s="13"/>
      <c r="BF791" s="13"/>
      <c r="BG791" s="13"/>
      <c r="BH791" s="13"/>
      <c r="BI791" s="13"/>
      <c r="BJ791" s="13"/>
      <c r="BK791" s="13"/>
      <c r="BL791" s="13"/>
      <c r="BM791" s="13"/>
      <c r="BN791" s="13"/>
      <c r="BO791" s="13"/>
      <c r="BP791" s="13"/>
      <c r="BQ791" s="13"/>
      <c r="BR791" s="13"/>
      <c r="BS791" s="13"/>
      <c r="BT791" s="13"/>
      <c r="BU791" s="13"/>
      <c r="BV791" s="13"/>
      <c r="BW791" s="13"/>
      <c r="BX791" s="13"/>
      <c r="BY791" s="13"/>
      <c r="BZ791" s="13"/>
      <c r="CA791" s="13"/>
      <c r="CB791" s="13"/>
      <c r="CC791" s="13"/>
      <c r="CD791" s="13"/>
      <c r="CE791" s="13"/>
      <c r="CF791" s="13"/>
      <c r="CG791" s="13"/>
      <c r="CH791" s="13"/>
      <c r="CI791" s="13"/>
      <c r="CJ791" s="13"/>
      <c r="CK791" s="13"/>
      <c r="CL791" s="13"/>
      <c r="CM791" s="13"/>
      <c r="CN791" s="13"/>
      <c r="CO791" s="13"/>
      <c r="CP791" s="13"/>
      <c r="CQ791" s="13"/>
      <c r="CR791" s="13"/>
      <c r="CS791" s="13"/>
      <c r="CT791" s="13"/>
      <c r="CU791" s="13"/>
    </row>
    <row r="792" spans="1:99" ht="12.75">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c r="AH792" s="13"/>
      <c r="AI792" s="13"/>
      <c r="AJ792" s="13"/>
      <c r="AK792" s="13"/>
      <c r="AL792" s="13"/>
      <c r="AM792" s="13"/>
      <c r="AN792" s="13"/>
      <c r="AO792" s="13"/>
      <c r="AP792" s="13"/>
      <c r="AQ792" s="13"/>
      <c r="AR792" s="13"/>
      <c r="AS792" s="13"/>
      <c r="AT792" s="13"/>
      <c r="AU792" s="13"/>
      <c r="AV792" s="13"/>
      <c r="AW792" s="13"/>
      <c r="AX792" s="13"/>
      <c r="AY792" s="13"/>
      <c r="AZ792" s="13"/>
      <c r="BA792" s="13"/>
      <c r="BB792" s="13"/>
      <c r="BC792" s="13"/>
      <c r="BD792" s="13"/>
      <c r="BE792" s="13"/>
      <c r="BF792" s="13"/>
      <c r="BG792" s="13"/>
      <c r="BH792" s="13"/>
      <c r="BI792" s="13"/>
      <c r="BJ792" s="13"/>
      <c r="BK792" s="13"/>
      <c r="BL792" s="13"/>
      <c r="BM792" s="13"/>
      <c r="BN792" s="13"/>
      <c r="BO792" s="13"/>
      <c r="BP792" s="13"/>
      <c r="BQ792" s="13"/>
      <c r="BR792" s="13"/>
      <c r="BS792" s="13"/>
      <c r="BT792" s="13"/>
      <c r="BU792" s="13"/>
      <c r="BV792" s="13"/>
      <c r="BW792" s="13"/>
      <c r="BX792" s="13"/>
      <c r="BY792" s="13"/>
      <c r="BZ792" s="13"/>
      <c r="CA792" s="13"/>
      <c r="CB792" s="13"/>
      <c r="CC792" s="13"/>
      <c r="CD792" s="13"/>
      <c r="CE792" s="13"/>
      <c r="CF792" s="13"/>
      <c r="CG792" s="13"/>
      <c r="CH792" s="13"/>
      <c r="CI792" s="13"/>
      <c r="CJ792" s="13"/>
      <c r="CK792" s="13"/>
      <c r="CL792" s="13"/>
      <c r="CM792" s="13"/>
      <c r="CN792" s="13"/>
      <c r="CO792" s="13"/>
      <c r="CP792" s="13"/>
      <c r="CQ792" s="13"/>
      <c r="CR792" s="13"/>
      <c r="CS792" s="13"/>
      <c r="CT792" s="13"/>
      <c r="CU792" s="13"/>
    </row>
    <row r="793" spans="1:99" ht="12.75">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c r="AH793" s="13"/>
      <c r="AI793" s="13"/>
      <c r="AJ793" s="13"/>
      <c r="AK793" s="13"/>
      <c r="AL793" s="13"/>
      <c r="AM793" s="13"/>
      <c r="AN793" s="13"/>
      <c r="AO793" s="13"/>
      <c r="AP793" s="13"/>
      <c r="AQ793" s="13"/>
      <c r="AR793" s="13"/>
      <c r="AS793" s="13"/>
      <c r="AT793" s="13"/>
      <c r="AU793" s="13"/>
      <c r="AV793" s="13"/>
      <c r="AW793" s="13"/>
      <c r="AX793" s="13"/>
      <c r="AY793" s="13"/>
      <c r="AZ793" s="13"/>
      <c r="BA793" s="13"/>
      <c r="BB793" s="13"/>
      <c r="BC793" s="13"/>
      <c r="BD793" s="13"/>
      <c r="BE793" s="13"/>
      <c r="BF793" s="13"/>
      <c r="BG793" s="13"/>
      <c r="BH793" s="13"/>
      <c r="BI793" s="13"/>
      <c r="BJ793" s="13"/>
      <c r="BK793" s="13"/>
      <c r="BL793" s="13"/>
      <c r="BM793" s="13"/>
      <c r="BN793" s="13"/>
      <c r="BO793" s="13"/>
      <c r="BP793" s="13"/>
      <c r="BQ793" s="13"/>
      <c r="BR793" s="13"/>
      <c r="BS793" s="13"/>
      <c r="BT793" s="13"/>
      <c r="BU793" s="13"/>
      <c r="BV793" s="13"/>
      <c r="BW793" s="13"/>
      <c r="BX793" s="13"/>
      <c r="BY793" s="13"/>
      <c r="BZ793" s="13"/>
      <c r="CA793" s="13"/>
      <c r="CB793" s="13"/>
      <c r="CC793" s="13"/>
      <c r="CD793" s="13"/>
      <c r="CE793" s="13"/>
      <c r="CF793" s="13"/>
      <c r="CG793" s="13"/>
      <c r="CH793" s="13"/>
      <c r="CI793" s="13"/>
      <c r="CJ793" s="13"/>
      <c r="CK793" s="13"/>
      <c r="CL793" s="13"/>
      <c r="CM793" s="13"/>
      <c r="CN793" s="13"/>
      <c r="CO793" s="13"/>
      <c r="CP793" s="13"/>
      <c r="CQ793" s="13"/>
      <c r="CR793" s="13"/>
      <c r="CS793" s="13"/>
      <c r="CT793" s="13"/>
      <c r="CU793" s="13"/>
    </row>
    <row r="794" spans="1:99" ht="12.75">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c r="AH794" s="13"/>
      <c r="AI794" s="13"/>
      <c r="AJ794" s="13"/>
      <c r="AK794" s="13"/>
      <c r="AL794" s="13"/>
      <c r="AM794" s="13"/>
      <c r="AN794" s="13"/>
      <c r="AO794" s="13"/>
      <c r="AP794" s="13"/>
      <c r="AQ794" s="13"/>
      <c r="AR794" s="13"/>
      <c r="AS794" s="13"/>
      <c r="AT794" s="13"/>
      <c r="AU794" s="13"/>
      <c r="AV794" s="13"/>
      <c r="AW794" s="13"/>
      <c r="AX794" s="13"/>
      <c r="AY794" s="13"/>
      <c r="AZ794" s="13"/>
      <c r="BA794" s="13"/>
      <c r="BB794" s="13"/>
      <c r="BC794" s="13"/>
      <c r="BD794" s="13"/>
      <c r="BE794" s="13"/>
      <c r="BF794" s="13"/>
      <c r="BG794" s="13"/>
      <c r="BH794" s="13"/>
      <c r="BI794" s="13"/>
      <c r="BJ794" s="13"/>
      <c r="BK794" s="13"/>
      <c r="BL794" s="13"/>
      <c r="BM794" s="13"/>
      <c r="BN794" s="13"/>
      <c r="BO794" s="13"/>
      <c r="BP794" s="13"/>
      <c r="BQ794" s="13"/>
      <c r="BR794" s="13"/>
      <c r="BS794" s="13"/>
      <c r="BT794" s="13"/>
      <c r="BU794" s="13"/>
      <c r="BV794" s="13"/>
      <c r="BW794" s="13"/>
      <c r="BX794" s="13"/>
      <c r="BY794" s="13"/>
      <c r="BZ794" s="13"/>
      <c r="CA794" s="13"/>
      <c r="CB794" s="13"/>
      <c r="CC794" s="13"/>
      <c r="CD794" s="13"/>
      <c r="CE794" s="13"/>
      <c r="CF794" s="13"/>
      <c r="CG794" s="13"/>
      <c r="CH794" s="13"/>
      <c r="CI794" s="13"/>
      <c r="CJ794" s="13"/>
      <c r="CK794" s="13"/>
      <c r="CL794" s="13"/>
      <c r="CM794" s="13"/>
      <c r="CN794" s="13"/>
      <c r="CO794" s="13"/>
      <c r="CP794" s="13"/>
      <c r="CQ794" s="13"/>
      <c r="CR794" s="13"/>
      <c r="CS794" s="13"/>
      <c r="CT794" s="13"/>
      <c r="CU794" s="13"/>
    </row>
    <row r="795" spans="1:99" ht="12.75">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c r="AH795" s="13"/>
      <c r="AI795" s="13"/>
      <c r="AJ795" s="13"/>
      <c r="AK795" s="13"/>
      <c r="AL795" s="13"/>
      <c r="AM795" s="13"/>
      <c r="AN795" s="13"/>
      <c r="AO795" s="13"/>
      <c r="AP795" s="13"/>
      <c r="AQ795" s="13"/>
      <c r="AR795" s="13"/>
      <c r="AS795" s="13"/>
      <c r="AT795" s="13"/>
      <c r="AU795" s="13"/>
      <c r="AV795" s="13"/>
      <c r="AW795" s="13"/>
      <c r="AX795" s="13"/>
      <c r="AY795" s="13"/>
      <c r="AZ795" s="13"/>
      <c r="BA795" s="13"/>
      <c r="BB795" s="13"/>
      <c r="BC795" s="13"/>
      <c r="BD795" s="13"/>
      <c r="BE795" s="13"/>
      <c r="BF795" s="13"/>
      <c r="BG795" s="13"/>
      <c r="BH795" s="13"/>
      <c r="BI795" s="13"/>
      <c r="BJ795" s="13"/>
      <c r="BK795" s="13"/>
      <c r="BL795" s="13"/>
      <c r="BM795" s="13"/>
      <c r="BN795" s="13"/>
      <c r="BO795" s="13"/>
      <c r="BP795" s="13"/>
      <c r="BQ795" s="13"/>
      <c r="BR795" s="13"/>
      <c r="BS795" s="13"/>
      <c r="BT795" s="13"/>
      <c r="BU795" s="13"/>
      <c r="BV795" s="13"/>
      <c r="BW795" s="13"/>
      <c r="BX795" s="13"/>
      <c r="BY795" s="13"/>
      <c r="BZ795" s="13"/>
      <c r="CA795" s="13"/>
      <c r="CB795" s="13"/>
      <c r="CC795" s="13"/>
      <c r="CD795" s="13"/>
      <c r="CE795" s="13"/>
      <c r="CF795" s="13"/>
      <c r="CG795" s="13"/>
      <c r="CH795" s="13"/>
      <c r="CI795" s="13"/>
      <c r="CJ795" s="13"/>
      <c r="CK795" s="13"/>
      <c r="CL795" s="13"/>
      <c r="CM795" s="13"/>
      <c r="CN795" s="13"/>
      <c r="CO795" s="13"/>
      <c r="CP795" s="13"/>
      <c r="CQ795" s="13"/>
      <c r="CR795" s="13"/>
      <c r="CS795" s="13"/>
      <c r="CT795" s="13"/>
      <c r="CU795" s="13"/>
    </row>
    <row r="796" spans="1:99" ht="12.75">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c r="AH796" s="13"/>
      <c r="AI796" s="13"/>
      <c r="AJ796" s="13"/>
      <c r="AK796" s="13"/>
      <c r="AL796" s="13"/>
      <c r="AM796" s="13"/>
      <c r="AN796" s="13"/>
      <c r="AO796" s="13"/>
      <c r="AP796" s="13"/>
      <c r="AQ796" s="13"/>
      <c r="AR796" s="13"/>
      <c r="AS796" s="13"/>
      <c r="AT796" s="13"/>
      <c r="AU796" s="13"/>
      <c r="AV796" s="13"/>
      <c r="AW796" s="13"/>
      <c r="AX796" s="13"/>
      <c r="AY796" s="13"/>
      <c r="AZ796" s="13"/>
      <c r="BA796" s="13"/>
      <c r="BB796" s="13"/>
      <c r="BC796" s="13"/>
      <c r="BD796" s="13"/>
      <c r="BE796" s="13"/>
      <c r="BF796" s="13"/>
      <c r="BG796" s="13"/>
      <c r="BH796" s="13"/>
      <c r="BI796" s="13"/>
      <c r="BJ796" s="13"/>
      <c r="BK796" s="13"/>
      <c r="BL796" s="13"/>
      <c r="BM796" s="13"/>
      <c r="BN796" s="13"/>
      <c r="BO796" s="13"/>
      <c r="BP796" s="13"/>
      <c r="BQ796" s="13"/>
      <c r="BR796" s="13"/>
      <c r="BS796" s="13"/>
      <c r="BT796" s="13"/>
      <c r="BU796" s="13"/>
      <c r="BV796" s="13"/>
      <c r="BW796" s="13"/>
      <c r="BX796" s="13"/>
      <c r="BY796" s="13"/>
      <c r="BZ796" s="13"/>
      <c r="CA796" s="13"/>
      <c r="CB796" s="13"/>
      <c r="CC796" s="13"/>
      <c r="CD796" s="13"/>
      <c r="CE796" s="13"/>
      <c r="CF796" s="13"/>
      <c r="CG796" s="13"/>
      <c r="CH796" s="13"/>
      <c r="CI796" s="13"/>
      <c r="CJ796" s="13"/>
      <c r="CK796" s="13"/>
      <c r="CL796" s="13"/>
      <c r="CM796" s="13"/>
      <c r="CN796" s="13"/>
      <c r="CO796" s="13"/>
      <c r="CP796" s="13"/>
      <c r="CQ796" s="13"/>
      <c r="CR796" s="13"/>
      <c r="CS796" s="13"/>
      <c r="CT796" s="13"/>
      <c r="CU796" s="13"/>
    </row>
    <row r="797" spans="1:99" ht="12.75">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c r="AH797" s="13"/>
      <c r="AI797" s="13"/>
      <c r="AJ797" s="13"/>
      <c r="AK797" s="13"/>
      <c r="AL797" s="13"/>
      <c r="AM797" s="13"/>
      <c r="AN797" s="13"/>
      <c r="AO797" s="13"/>
      <c r="AP797" s="13"/>
      <c r="AQ797" s="13"/>
      <c r="AR797" s="13"/>
      <c r="AS797" s="13"/>
      <c r="AT797" s="13"/>
      <c r="AU797" s="13"/>
      <c r="AV797" s="13"/>
      <c r="AW797" s="13"/>
      <c r="AX797" s="13"/>
      <c r="AY797" s="13"/>
      <c r="AZ797" s="13"/>
      <c r="BA797" s="13"/>
      <c r="BB797" s="13"/>
      <c r="BC797" s="13"/>
      <c r="BD797" s="13"/>
      <c r="BE797" s="13"/>
      <c r="BF797" s="13"/>
      <c r="BG797" s="13"/>
      <c r="BH797" s="13"/>
      <c r="BI797" s="13"/>
      <c r="BJ797" s="13"/>
      <c r="BK797" s="13"/>
      <c r="BL797" s="13"/>
      <c r="BM797" s="13"/>
      <c r="BN797" s="13"/>
      <c r="BO797" s="13"/>
      <c r="BP797" s="13"/>
      <c r="BQ797" s="13"/>
      <c r="BR797" s="13"/>
      <c r="BS797" s="13"/>
      <c r="BT797" s="13"/>
      <c r="BU797" s="13"/>
      <c r="BV797" s="13"/>
      <c r="BW797" s="13"/>
      <c r="BX797" s="13"/>
      <c r="BY797" s="13"/>
      <c r="BZ797" s="13"/>
      <c r="CA797" s="13"/>
      <c r="CB797" s="13"/>
      <c r="CC797" s="13"/>
      <c r="CD797" s="13"/>
      <c r="CE797" s="13"/>
      <c r="CF797" s="13"/>
      <c r="CG797" s="13"/>
      <c r="CH797" s="13"/>
      <c r="CI797" s="13"/>
      <c r="CJ797" s="13"/>
      <c r="CK797" s="13"/>
      <c r="CL797" s="13"/>
      <c r="CM797" s="13"/>
      <c r="CN797" s="13"/>
      <c r="CO797" s="13"/>
      <c r="CP797" s="13"/>
      <c r="CQ797" s="13"/>
      <c r="CR797" s="13"/>
      <c r="CS797" s="13"/>
      <c r="CT797" s="13"/>
      <c r="CU797" s="13"/>
    </row>
    <row r="798" spans="1:99" ht="12.75">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c r="AN798" s="13"/>
      <c r="AO798" s="13"/>
      <c r="AP798" s="13"/>
      <c r="AQ798" s="13"/>
      <c r="AR798" s="13"/>
      <c r="AS798" s="13"/>
      <c r="AT798" s="13"/>
      <c r="AU798" s="13"/>
      <c r="AV798" s="13"/>
      <c r="AW798" s="13"/>
      <c r="AX798" s="13"/>
      <c r="AY798" s="13"/>
      <c r="AZ798" s="13"/>
      <c r="BA798" s="13"/>
      <c r="BB798" s="13"/>
      <c r="BC798" s="13"/>
      <c r="BD798" s="13"/>
      <c r="BE798" s="13"/>
      <c r="BF798" s="13"/>
      <c r="BG798" s="13"/>
      <c r="BH798" s="13"/>
      <c r="BI798" s="13"/>
      <c r="BJ798" s="13"/>
      <c r="BK798" s="13"/>
      <c r="BL798" s="13"/>
      <c r="BM798" s="13"/>
      <c r="BN798" s="13"/>
      <c r="BO798" s="13"/>
      <c r="BP798" s="13"/>
      <c r="BQ798" s="13"/>
      <c r="BR798" s="13"/>
      <c r="BS798" s="13"/>
      <c r="BT798" s="13"/>
      <c r="BU798" s="13"/>
      <c r="BV798" s="13"/>
      <c r="BW798" s="13"/>
      <c r="BX798" s="13"/>
      <c r="BY798" s="13"/>
      <c r="BZ798" s="13"/>
      <c r="CA798" s="13"/>
      <c r="CB798" s="13"/>
      <c r="CC798" s="13"/>
      <c r="CD798" s="13"/>
      <c r="CE798" s="13"/>
      <c r="CF798" s="13"/>
      <c r="CG798" s="13"/>
      <c r="CH798" s="13"/>
      <c r="CI798" s="13"/>
      <c r="CJ798" s="13"/>
      <c r="CK798" s="13"/>
      <c r="CL798" s="13"/>
      <c r="CM798" s="13"/>
      <c r="CN798" s="13"/>
      <c r="CO798" s="13"/>
      <c r="CP798" s="13"/>
      <c r="CQ798" s="13"/>
      <c r="CR798" s="13"/>
      <c r="CS798" s="13"/>
      <c r="CT798" s="13"/>
      <c r="CU798" s="13"/>
    </row>
    <row r="799" spans="1:99" ht="12.75">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c r="AH799" s="13"/>
      <c r="AI799" s="13"/>
      <c r="AJ799" s="13"/>
      <c r="AK799" s="13"/>
      <c r="AL799" s="13"/>
      <c r="AM799" s="13"/>
      <c r="AN799" s="13"/>
      <c r="AO799" s="13"/>
      <c r="AP799" s="13"/>
      <c r="AQ799" s="13"/>
      <c r="AR799" s="13"/>
      <c r="AS799" s="13"/>
      <c r="AT799" s="13"/>
      <c r="AU799" s="13"/>
      <c r="AV799" s="13"/>
      <c r="AW799" s="13"/>
      <c r="AX799" s="13"/>
      <c r="AY799" s="13"/>
      <c r="AZ799" s="13"/>
      <c r="BA799" s="13"/>
      <c r="BB799" s="13"/>
      <c r="BC799" s="13"/>
      <c r="BD799" s="13"/>
      <c r="BE799" s="13"/>
      <c r="BF799" s="13"/>
      <c r="BG799" s="13"/>
      <c r="BH799" s="13"/>
      <c r="BI799" s="13"/>
      <c r="BJ799" s="13"/>
      <c r="BK799" s="13"/>
      <c r="BL799" s="13"/>
      <c r="BM799" s="13"/>
      <c r="BN799" s="13"/>
      <c r="BO799" s="13"/>
      <c r="BP799" s="13"/>
      <c r="BQ799" s="13"/>
      <c r="BR799" s="13"/>
      <c r="BS799" s="13"/>
      <c r="BT799" s="13"/>
      <c r="BU799" s="13"/>
      <c r="BV799" s="13"/>
      <c r="BW799" s="13"/>
      <c r="BX799" s="13"/>
      <c r="BY799" s="13"/>
      <c r="BZ799" s="13"/>
      <c r="CA799" s="13"/>
      <c r="CB799" s="13"/>
      <c r="CC799" s="13"/>
      <c r="CD799" s="13"/>
      <c r="CE799" s="13"/>
      <c r="CF799" s="13"/>
      <c r="CG799" s="13"/>
      <c r="CH799" s="13"/>
      <c r="CI799" s="13"/>
      <c r="CJ799" s="13"/>
      <c r="CK799" s="13"/>
      <c r="CL799" s="13"/>
      <c r="CM799" s="13"/>
      <c r="CN799" s="13"/>
      <c r="CO799" s="13"/>
      <c r="CP799" s="13"/>
      <c r="CQ799" s="13"/>
      <c r="CR799" s="13"/>
      <c r="CS799" s="13"/>
      <c r="CT799" s="13"/>
      <c r="CU799" s="13"/>
    </row>
    <row r="800" spans="1:99" ht="12.75">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c r="AH800" s="13"/>
      <c r="AI800" s="13"/>
      <c r="AJ800" s="13"/>
      <c r="AK800" s="13"/>
      <c r="AL800" s="13"/>
      <c r="AM800" s="13"/>
      <c r="AN800" s="13"/>
      <c r="AO800" s="13"/>
      <c r="AP800" s="13"/>
      <c r="AQ800" s="13"/>
      <c r="AR800" s="13"/>
      <c r="AS800" s="13"/>
      <c r="AT800" s="13"/>
      <c r="AU800" s="13"/>
      <c r="AV800" s="13"/>
      <c r="AW800" s="13"/>
      <c r="AX800" s="13"/>
      <c r="AY800" s="13"/>
      <c r="AZ800" s="13"/>
      <c r="BA800" s="13"/>
      <c r="BB800" s="13"/>
      <c r="BC800" s="13"/>
      <c r="BD800" s="13"/>
      <c r="BE800" s="13"/>
      <c r="BF800" s="13"/>
      <c r="BG800" s="13"/>
      <c r="BH800" s="13"/>
      <c r="BI800" s="13"/>
      <c r="BJ800" s="13"/>
      <c r="BK800" s="13"/>
      <c r="BL800" s="13"/>
      <c r="BM800" s="13"/>
      <c r="BN800" s="13"/>
      <c r="BO800" s="13"/>
      <c r="BP800" s="13"/>
      <c r="BQ800" s="13"/>
      <c r="BR800" s="13"/>
      <c r="BS800" s="13"/>
      <c r="BT800" s="13"/>
      <c r="BU800" s="13"/>
      <c r="BV800" s="13"/>
      <c r="BW800" s="13"/>
      <c r="BX800" s="13"/>
      <c r="BY800" s="13"/>
      <c r="BZ800" s="13"/>
      <c r="CA800" s="13"/>
      <c r="CB800" s="13"/>
      <c r="CC800" s="13"/>
      <c r="CD800" s="13"/>
      <c r="CE800" s="13"/>
      <c r="CF800" s="13"/>
      <c r="CG800" s="13"/>
      <c r="CH800" s="13"/>
      <c r="CI800" s="13"/>
      <c r="CJ800" s="13"/>
      <c r="CK800" s="13"/>
      <c r="CL800" s="13"/>
      <c r="CM800" s="13"/>
      <c r="CN800" s="13"/>
      <c r="CO800" s="13"/>
      <c r="CP800" s="13"/>
      <c r="CQ800" s="13"/>
      <c r="CR800" s="13"/>
      <c r="CS800" s="13"/>
      <c r="CT800" s="13"/>
      <c r="CU800" s="13"/>
    </row>
    <row r="801" spans="1:99" ht="12.75">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c r="AH801" s="13"/>
      <c r="AI801" s="13"/>
      <c r="AJ801" s="13"/>
      <c r="AK801" s="13"/>
      <c r="AL801" s="13"/>
      <c r="AM801" s="13"/>
      <c r="AN801" s="13"/>
      <c r="AO801" s="13"/>
      <c r="AP801" s="13"/>
      <c r="AQ801" s="13"/>
      <c r="AR801" s="13"/>
      <c r="AS801" s="13"/>
      <c r="AT801" s="13"/>
      <c r="AU801" s="13"/>
      <c r="AV801" s="13"/>
      <c r="AW801" s="13"/>
      <c r="AX801" s="13"/>
      <c r="AY801" s="13"/>
      <c r="AZ801" s="13"/>
      <c r="BA801" s="13"/>
      <c r="BB801" s="13"/>
      <c r="BC801" s="13"/>
      <c r="BD801" s="13"/>
      <c r="BE801" s="13"/>
      <c r="BF801" s="13"/>
      <c r="BG801" s="13"/>
      <c r="BH801" s="13"/>
      <c r="BI801" s="13"/>
      <c r="BJ801" s="13"/>
      <c r="BK801" s="13"/>
      <c r="BL801" s="13"/>
      <c r="BM801" s="13"/>
      <c r="BN801" s="13"/>
      <c r="BO801" s="13"/>
      <c r="BP801" s="13"/>
      <c r="BQ801" s="13"/>
      <c r="BR801" s="13"/>
      <c r="BS801" s="13"/>
      <c r="BT801" s="13"/>
      <c r="BU801" s="13"/>
      <c r="BV801" s="13"/>
      <c r="BW801" s="13"/>
      <c r="BX801" s="13"/>
      <c r="BY801" s="13"/>
      <c r="BZ801" s="13"/>
      <c r="CA801" s="13"/>
      <c r="CB801" s="13"/>
      <c r="CC801" s="13"/>
      <c r="CD801" s="13"/>
      <c r="CE801" s="13"/>
      <c r="CF801" s="13"/>
      <c r="CG801" s="13"/>
      <c r="CH801" s="13"/>
      <c r="CI801" s="13"/>
      <c r="CJ801" s="13"/>
      <c r="CK801" s="13"/>
      <c r="CL801" s="13"/>
      <c r="CM801" s="13"/>
      <c r="CN801" s="13"/>
      <c r="CO801" s="13"/>
      <c r="CP801" s="13"/>
      <c r="CQ801" s="13"/>
      <c r="CR801" s="13"/>
      <c r="CS801" s="13"/>
      <c r="CT801" s="13"/>
      <c r="CU801" s="13"/>
    </row>
    <row r="802" spans="1:99" ht="12.75">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c r="AH802" s="13"/>
      <c r="AI802" s="13"/>
      <c r="AJ802" s="13"/>
      <c r="AK802" s="13"/>
      <c r="AL802" s="13"/>
      <c r="AM802" s="13"/>
      <c r="AN802" s="13"/>
      <c r="AO802" s="13"/>
      <c r="AP802" s="13"/>
      <c r="AQ802" s="13"/>
      <c r="AR802" s="13"/>
      <c r="AS802" s="13"/>
      <c r="AT802" s="13"/>
      <c r="AU802" s="13"/>
      <c r="AV802" s="13"/>
      <c r="AW802" s="13"/>
      <c r="AX802" s="13"/>
      <c r="AY802" s="13"/>
      <c r="AZ802" s="13"/>
      <c r="BA802" s="13"/>
      <c r="BB802" s="13"/>
      <c r="BC802" s="13"/>
      <c r="BD802" s="13"/>
      <c r="BE802" s="13"/>
      <c r="BF802" s="13"/>
      <c r="BG802" s="13"/>
      <c r="BH802" s="13"/>
      <c r="BI802" s="13"/>
      <c r="BJ802" s="13"/>
      <c r="BK802" s="13"/>
      <c r="BL802" s="13"/>
      <c r="BM802" s="13"/>
      <c r="BN802" s="13"/>
      <c r="BO802" s="13"/>
      <c r="BP802" s="13"/>
      <c r="BQ802" s="13"/>
      <c r="BR802" s="13"/>
      <c r="BS802" s="13"/>
      <c r="BT802" s="13"/>
      <c r="BU802" s="13"/>
      <c r="BV802" s="13"/>
      <c r="BW802" s="13"/>
      <c r="BX802" s="13"/>
      <c r="BY802" s="13"/>
      <c r="BZ802" s="13"/>
      <c r="CA802" s="13"/>
      <c r="CB802" s="13"/>
      <c r="CC802" s="13"/>
      <c r="CD802" s="13"/>
      <c r="CE802" s="13"/>
      <c r="CF802" s="13"/>
      <c r="CG802" s="13"/>
      <c r="CH802" s="13"/>
      <c r="CI802" s="13"/>
      <c r="CJ802" s="13"/>
      <c r="CK802" s="13"/>
      <c r="CL802" s="13"/>
      <c r="CM802" s="13"/>
      <c r="CN802" s="13"/>
      <c r="CO802" s="13"/>
      <c r="CP802" s="13"/>
      <c r="CQ802" s="13"/>
      <c r="CR802" s="13"/>
      <c r="CS802" s="13"/>
      <c r="CT802" s="13"/>
      <c r="CU802" s="13"/>
    </row>
    <row r="803" spans="1:99" ht="12.75">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c r="AH803" s="13"/>
      <c r="AI803" s="13"/>
      <c r="AJ803" s="13"/>
      <c r="AK803" s="13"/>
      <c r="AL803" s="13"/>
      <c r="AM803" s="13"/>
      <c r="AN803" s="13"/>
      <c r="AO803" s="13"/>
      <c r="AP803" s="13"/>
      <c r="AQ803" s="13"/>
      <c r="AR803" s="13"/>
      <c r="AS803" s="13"/>
      <c r="AT803" s="13"/>
      <c r="AU803" s="13"/>
      <c r="AV803" s="13"/>
      <c r="AW803" s="13"/>
      <c r="AX803" s="13"/>
      <c r="AY803" s="13"/>
      <c r="AZ803" s="13"/>
      <c r="BA803" s="13"/>
      <c r="BB803" s="13"/>
      <c r="BC803" s="13"/>
      <c r="BD803" s="13"/>
      <c r="BE803" s="13"/>
      <c r="BF803" s="13"/>
      <c r="BG803" s="13"/>
      <c r="BH803" s="13"/>
      <c r="BI803" s="13"/>
      <c r="BJ803" s="13"/>
      <c r="BK803" s="13"/>
      <c r="BL803" s="13"/>
      <c r="BM803" s="13"/>
      <c r="BN803" s="13"/>
      <c r="BO803" s="13"/>
      <c r="BP803" s="13"/>
      <c r="BQ803" s="13"/>
      <c r="BR803" s="13"/>
      <c r="BS803" s="13"/>
      <c r="BT803" s="13"/>
      <c r="BU803" s="13"/>
      <c r="BV803" s="13"/>
      <c r="BW803" s="13"/>
      <c r="BX803" s="13"/>
      <c r="BY803" s="13"/>
      <c r="BZ803" s="13"/>
      <c r="CA803" s="13"/>
      <c r="CB803" s="13"/>
      <c r="CC803" s="13"/>
      <c r="CD803" s="13"/>
      <c r="CE803" s="13"/>
      <c r="CF803" s="13"/>
      <c r="CG803" s="13"/>
      <c r="CH803" s="13"/>
      <c r="CI803" s="13"/>
      <c r="CJ803" s="13"/>
      <c r="CK803" s="13"/>
      <c r="CL803" s="13"/>
      <c r="CM803" s="13"/>
      <c r="CN803" s="13"/>
      <c r="CO803" s="13"/>
      <c r="CP803" s="13"/>
      <c r="CQ803" s="13"/>
      <c r="CR803" s="13"/>
      <c r="CS803" s="13"/>
      <c r="CT803" s="13"/>
      <c r="CU803" s="13"/>
    </row>
    <row r="804" spans="1:99" ht="12.75">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c r="AH804" s="13"/>
      <c r="AI804" s="13"/>
      <c r="AJ804" s="13"/>
      <c r="AK804" s="13"/>
      <c r="AL804" s="13"/>
      <c r="AM804" s="13"/>
      <c r="AN804" s="13"/>
      <c r="AO804" s="13"/>
      <c r="AP804" s="13"/>
      <c r="AQ804" s="13"/>
      <c r="AR804" s="13"/>
      <c r="AS804" s="13"/>
      <c r="AT804" s="13"/>
      <c r="AU804" s="13"/>
      <c r="AV804" s="13"/>
      <c r="AW804" s="13"/>
      <c r="AX804" s="13"/>
      <c r="AY804" s="13"/>
      <c r="AZ804" s="13"/>
      <c r="BA804" s="13"/>
      <c r="BB804" s="13"/>
      <c r="BC804" s="13"/>
      <c r="BD804" s="13"/>
      <c r="BE804" s="13"/>
      <c r="BF804" s="13"/>
      <c r="BG804" s="13"/>
      <c r="BH804" s="13"/>
      <c r="BI804" s="13"/>
      <c r="BJ804" s="13"/>
      <c r="BK804" s="13"/>
      <c r="BL804" s="13"/>
      <c r="BM804" s="13"/>
      <c r="BN804" s="13"/>
      <c r="BO804" s="13"/>
      <c r="BP804" s="13"/>
      <c r="BQ804" s="13"/>
      <c r="BR804" s="13"/>
      <c r="BS804" s="13"/>
      <c r="BT804" s="13"/>
      <c r="BU804" s="13"/>
      <c r="BV804" s="13"/>
      <c r="BW804" s="13"/>
      <c r="BX804" s="13"/>
      <c r="BY804" s="13"/>
      <c r="BZ804" s="13"/>
      <c r="CA804" s="13"/>
      <c r="CB804" s="13"/>
      <c r="CC804" s="13"/>
      <c r="CD804" s="13"/>
      <c r="CE804" s="13"/>
      <c r="CF804" s="13"/>
      <c r="CG804" s="13"/>
      <c r="CH804" s="13"/>
      <c r="CI804" s="13"/>
      <c r="CJ804" s="13"/>
      <c r="CK804" s="13"/>
      <c r="CL804" s="13"/>
      <c r="CM804" s="13"/>
      <c r="CN804" s="13"/>
      <c r="CO804" s="13"/>
      <c r="CP804" s="13"/>
      <c r="CQ804" s="13"/>
      <c r="CR804" s="13"/>
      <c r="CS804" s="13"/>
      <c r="CT804" s="13"/>
      <c r="CU804" s="13"/>
    </row>
    <row r="805" spans="1:99" ht="12.75">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c r="AH805" s="13"/>
      <c r="AI805" s="13"/>
      <c r="AJ805" s="13"/>
      <c r="AK805" s="13"/>
      <c r="AL805" s="13"/>
      <c r="AM805" s="13"/>
      <c r="AN805" s="13"/>
      <c r="AO805" s="13"/>
      <c r="AP805" s="13"/>
      <c r="AQ805" s="13"/>
      <c r="AR805" s="13"/>
      <c r="AS805" s="13"/>
      <c r="AT805" s="13"/>
      <c r="AU805" s="13"/>
      <c r="AV805" s="13"/>
      <c r="AW805" s="13"/>
      <c r="AX805" s="13"/>
      <c r="AY805" s="13"/>
      <c r="AZ805" s="13"/>
      <c r="BA805" s="13"/>
      <c r="BB805" s="13"/>
      <c r="BC805" s="13"/>
      <c r="BD805" s="13"/>
      <c r="BE805" s="13"/>
      <c r="BF805" s="13"/>
      <c r="BG805" s="13"/>
      <c r="BH805" s="13"/>
      <c r="BI805" s="13"/>
      <c r="BJ805" s="13"/>
      <c r="BK805" s="13"/>
      <c r="BL805" s="13"/>
      <c r="BM805" s="13"/>
      <c r="BN805" s="13"/>
      <c r="BO805" s="13"/>
      <c r="BP805" s="13"/>
      <c r="BQ805" s="13"/>
      <c r="BR805" s="13"/>
      <c r="BS805" s="13"/>
      <c r="BT805" s="13"/>
      <c r="BU805" s="13"/>
      <c r="BV805" s="13"/>
      <c r="BW805" s="13"/>
      <c r="BX805" s="13"/>
      <c r="BY805" s="13"/>
      <c r="BZ805" s="13"/>
      <c r="CA805" s="13"/>
      <c r="CB805" s="13"/>
      <c r="CC805" s="13"/>
      <c r="CD805" s="13"/>
      <c r="CE805" s="13"/>
      <c r="CF805" s="13"/>
      <c r="CG805" s="13"/>
      <c r="CH805" s="13"/>
      <c r="CI805" s="13"/>
      <c r="CJ805" s="13"/>
      <c r="CK805" s="13"/>
      <c r="CL805" s="13"/>
      <c r="CM805" s="13"/>
      <c r="CN805" s="13"/>
      <c r="CO805" s="13"/>
      <c r="CP805" s="13"/>
      <c r="CQ805" s="13"/>
      <c r="CR805" s="13"/>
      <c r="CS805" s="13"/>
      <c r="CT805" s="13"/>
      <c r="CU805" s="13"/>
    </row>
    <row r="806" spans="1:99" ht="12.75">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c r="AO806" s="13"/>
      <c r="AP806" s="13"/>
      <c r="AQ806" s="13"/>
      <c r="AR806" s="13"/>
      <c r="AS806" s="13"/>
      <c r="AT806" s="13"/>
      <c r="AU806" s="13"/>
      <c r="AV806" s="13"/>
      <c r="AW806" s="13"/>
      <c r="AX806" s="13"/>
      <c r="AY806" s="13"/>
      <c r="AZ806" s="13"/>
      <c r="BA806" s="13"/>
      <c r="BB806" s="13"/>
      <c r="BC806" s="13"/>
      <c r="BD806" s="13"/>
      <c r="BE806" s="13"/>
      <c r="BF806" s="13"/>
      <c r="BG806" s="13"/>
      <c r="BH806" s="13"/>
      <c r="BI806" s="13"/>
      <c r="BJ806" s="13"/>
      <c r="BK806" s="13"/>
      <c r="BL806" s="13"/>
      <c r="BM806" s="13"/>
      <c r="BN806" s="13"/>
      <c r="BO806" s="13"/>
      <c r="BP806" s="13"/>
      <c r="BQ806" s="13"/>
      <c r="BR806" s="13"/>
      <c r="BS806" s="13"/>
      <c r="BT806" s="13"/>
      <c r="BU806" s="13"/>
      <c r="BV806" s="13"/>
      <c r="BW806" s="13"/>
      <c r="BX806" s="13"/>
      <c r="BY806" s="13"/>
      <c r="BZ806" s="13"/>
      <c r="CA806" s="13"/>
      <c r="CB806" s="13"/>
      <c r="CC806" s="13"/>
      <c r="CD806" s="13"/>
      <c r="CE806" s="13"/>
      <c r="CF806" s="13"/>
      <c r="CG806" s="13"/>
      <c r="CH806" s="13"/>
      <c r="CI806" s="13"/>
      <c r="CJ806" s="13"/>
      <c r="CK806" s="13"/>
      <c r="CL806" s="13"/>
      <c r="CM806" s="13"/>
      <c r="CN806" s="13"/>
      <c r="CO806" s="13"/>
      <c r="CP806" s="13"/>
      <c r="CQ806" s="13"/>
      <c r="CR806" s="13"/>
      <c r="CS806" s="13"/>
      <c r="CT806" s="13"/>
      <c r="CU806" s="13"/>
    </row>
    <row r="807" spans="1:99" ht="12.75">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c r="AH807" s="13"/>
      <c r="AI807" s="13"/>
      <c r="AJ807" s="13"/>
      <c r="AK807" s="13"/>
      <c r="AL807" s="13"/>
      <c r="AM807" s="13"/>
      <c r="AN807" s="13"/>
      <c r="AO807" s="13"/>
      <c r="AP807" s="13"/>
      <c r="AQ807" s="13"/>
      <c r="AR807" s="13"/>
      <c r="AS807" s="13"/>
      <c r="AT807" s="13"/>
      <c r="AU807" s="13"/>
      <c r="AV807" s="13"/>
      <c r="AW807" s="13"/>
      <c r="AX807" s="13"/>
      <c r="AY807" s="13"/>
      <c r="AZ807" s="13"/>
      <c r="BA807" s="13"/>
      <c r="BB807" s="13"/>
      <c r="BC807" s="13"/>
      <c r="BD807" s="13"/>
      <c r="BE807" s="13"/>
      <c r="BF807" s="13"/>
      <c r="BG807" s="13"/>
      <c r="BH807" s="13"/>
      <c r="BI807" s="13"/>
      <c r="BJ807" s="13"/>
      <c r="BK807" s="13"/>
      <c r="BL807" s="13"/>
      <c r="BM807" s="13"/>
      <c r="BN807" s="13"/>
      <c r="BO807" s="13"/>
      <c r="BP807" s="13"/>
      <c r="BQ807" s="13"/>
      <c r="BR807" s="13"/>
      <c r="BS807" s="13"/>
      <c r="BT807" s="13"/>
      <c r="BU807" s="13"/>
      <c r="BV807" s="13"/>
      <c r="BW807" s="13"/>
      <c r="BX807" s="13"/>
      <c r="BY807" s="13"/>
      <c r="BZ807" s="13"/>
      <c r="CA807" s="13"/>
      <c r="CB807" s="13"/>
      <c r="CC807" s="13"/>
      <c r="CD807" s="13"/>
      <c r="CE807" s="13"/>
      <c r="CF807" s="13"/>
      <c r="CG807" s="13"/>
      <c r="CH807" s="13"/>
      <c r="CI807" s="13"/>
      <c r="CJ807" s="13"/>
      <c r="CK807" s="13"/>
      <c r="CL807" s="13"/>
      <c r="CM807" s="13"/>
      <c r="CN807" s="13"/>
      <c r="CO807" s="13"/>
      <c r="CP807" s="13"/>
      <c r="CQ807" s="13"/>
      <c r="CR807" s="13"/>
      <c r="CS807" s="13"/>
      <c r="CT807" s="13"/>
      <c r="CU807" s="13"/>
    </row>
    <row r="808" spans="1:99" ht="12.75">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c r="AH808" s="13"/>
      <c r="AI808" s="13"/>
      <c r="AJ808" s="13"/>
      <c r="AK808" s="13"/>
      <c r="AL808" s="13"/>
      <c r="AM808" s="13"/>
      <c r="AN808" s="13"/>
      <c r="AO808" s="13"/>
      <c r="AP808" s="13"/>
      <c r="AQ808" s="13"/>
      <c r="AR808" s="13"/>
      <c r="AS808" s="13"/>
      <c r="AT808" s="13"/>
      <c r="AU808" s="13"/>
      <c r="AV808" s="13"/>
      <c r="AW808" s="13"/>
      <c r="AX808" s="13"/>
      <c r="AY808" s="13"/>
      <c r="AZ808" s="13"/>
      <c r="BA808" s="13"/>
      <c r="BB808" s="13"/>
      <c r="BC808" s="13"/>
      <c r="BD808" s="13"/>
      <c r="BE808" s="13"/>
      <c r="BF808" s="13"/>
      <c r="BG808" s="13"/>
      <c r="BH808" s="13"/>
      <c r="BI808" s="13"/>
      <c r="BJ808" s="13"/>
      <c r="BK808" s="13"/>
      <c r="BL808" s="13"/>
      <c r="BM808" s="13"/>
      <c r="BN808" s="13"/>
      <c r="BO808" s="13"/>
      <c r="BP808" s="13"/>
      <c r="BQ808" s="13"/>
      <c r="BR808" s="13"/>
      <c r="BS808" s="13"/>
      <c r="BT808" s="13"/>
      <c r="BU808" s="13"/>
      <c r="BV808" s="13"/>
      <c r="BW808" s="13"/>
      <c r="BX808" s="13"/>
      <c r="BY808" s="13"/>
      <c r="BZ808" s="13"/>
      <c r="CA808" s="13"/>
      <c r="CB808" s="13"/>
      <c r="CC808" s="13"/>
      <c r="CD808" s="13"/>
      <c r="CE808" s="13"/>
      <c r="CF808" s="13"/>
      <c r="CG808" s="13"/>
      <c r="CH808" s="13"/>
      <c r="CI808" s="13"/>
      <c r="CJ808" s="13"/>
      <c r="CK808" s="13"/>
      <c r="CL808" s="13"/>
      <c r="CM808" s="13"/>
      <c r="CN808" s="13"/>
      <c r="CO808" s="13"/>
      <c r="CP808" s="13"/>
      <c r="CQ808" s="13"/>
      <c r="CR808" s="13"/>
      <c r="CS808" s="13"/>
      <c r="CT808" s="13"/>
      <c r="CU808" s="13"/>
    </row>
    <row r="809" spans="1:99" ht="12.75">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c r="AH809" s="13"/>
      <c r="AI809" s="13"/>
      <c r="AJ809" s="13"/>
      <c r="AK809" s="13"/>
      <c r="AL809" s="13"/>
      <c r="AM809" s="13"/>
      <c r="AN809" s="13"/>
      <c r="AO809" s="13"/>
      <c r="AP809" s="13"/>
      <c r="AQ809" s="13"/>
      <c r="AR809" s="13"/>
      <c r="AS809" s="13"/>
      <c r="AT809" s="13"/>
      <c r="AU809" s="13"/>
      <c r="AV809" s="13"/>
      <c r="AW809" s="13"/>
      <c r="AX809" s="13"/>
      <c r="AY809" s="13"/>
      <c r="AZ809" s="13"/>
      <c r="BA809" s="13"/>
      <c r="BB809" s="13"/>
      <c r="BC809" s="13"/>
      <c r="BD809" s="13"/>
      <c r="BE809" s="13"/>
      <c r="BF809" s="13"/>
      <c r="BG809" s="13"/>
      <c r="BH809" s="13"/>
      <c r="BI809" s="13"/>
      <c r="BJ809" s="13"/>
      <c r="BK809" s="13"/>
      <c r="BL809" s="13"/>
      <c r="BM809" s="13"/>
      <c r="BN809" s="13"/>
      <c r="BO809" s="13"/>
      <c r="BP809" s="13"/>
      <c r="BQ809" s="13"/>
      <c r="BR809" s="13"/>
      <c r="BS809" s="13"/>
      <c r="BT809" s="13"/>
      <c r="BU809" s="13"/>
      <c r="BV809" s="13"/>
      <c r="BW809" s="13"/>
      <c r="BX809" s="13"/>
      <c r="BY809" s="13"/>
      <c r="BZ809" s="13"/>
      <c r="CA809" s="13"/>
      <c r="CB809" s="13"/>
      <c r="CC809" s="13"/>
      <c r="CD809" s="13"/>
      <c r="CE809" s="13"/>
      <c r="CF809" s="13"/>
      <c r="CG809" s="13"/>
      <c r="CH809" s="13"/>
      <c r="CI809" s="13"/>
      <c r="CJ809" s="13"/>
      <c r="CK809" s="13"/>
      <c r="CL809" s="13"/>
      <c r="CM809" s="13"/>
      <c r="CN809" s="13"/>
      <c r="CO809" s="13"/>
      <c r="CP809" s="13"/>
      <c r="CQ809" s="13"/>
      <c r="CR809" s="13"/>
      <c r="CS809" s="13"/>
      <c r="CT809" s="13"/>
      <c r="CU809" s="13"/>
    </row>
    <row r="810" spans="1:99" ht="12.75">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c r="AH810" s="13"/>
      <c r="AI810" s="13"/>
      <c r="AJ810" s="13"/>
      <c r="AK810" s="13"/>
      <c r="AL810" s="13"/>
      <c r="AM810" s="13"/>
      <c r="AN810" s="13"/>
      <c r="AO810" s="13"/>
      <c r="AP810" s="13"/>
      <c r="AQ810" s="13"/>
      <c r="AR810" s="13"/>
      <c r="AS810" s="13"/>
      <c r="AT810" s="13"/>
      <c r="AU810" s="13"/>
      <c r="AV810" s="13"/>
      <c r="AW810" s="13"/>
      <c r="AX810" s="13"/>
      <c r="AY810" s="13"/>
      <c r="AZ810" s="13"/>
      <c r="BA810" s="13"/>
      <c r="BB810" s="13"/>
      <c r="BC810" s="13"/>
      <c r="BD810" s="13"/>
      <c r="BE810" s="13"/>
      <c r="BF810" s="13"/>
      <c r="BG810" s="13"/>
      <c r="BH810" s="13"/>
      <c r="BI810" s="13"/>
      <c r="BJ810" s="13"/>
      <c r="BK810" s="13"/>
      <c r="BL810" s="13"/>
      <c r="BM810" s="13"/>
      <c r="BN810" s="13"/>
      <c r="BO810" s="13"/>
      <c r="BP810" s="13"/>
      <c r="BQ810" s="13"/>
      <c r="BR810" s="13"/>
      <c r="BS810" s="13"/>
      <c r="BT810" s="13"/>
      <c r="BU810" s="13"/>
      <c r="BV810" s="13"/>
      <c r="BW810" s="13"/>
      <c r="BX810" s="13"/>
      <c r="BY810" s="13"/>
      <c r="BZ810" s="13"/>
      <c r="CA810" s="13"/>
      <c r="CB810" s="13"/>
      <c r="CC810" s="13"/>
      <c r="CD810" s="13"/>
      <c r="CE810" s="13"/>
      <c r="CF810" s="13"/>
      <c r="CG810" s="13"/>
      <c r="CH810" s="13"/>
      <c r="CI810" s="13"/>
      <c r="CJ810" s="13"/>
      <c r="CK810" s="13"/>
      <c r="CL810" s="13"/>
      <c r="CM810" s="13"/>
      <c r="CN810" s="13"/>
      <c r="CO810" s="13"/>
      <c r="CP810" s="13"/>
      <c r="CQ810" s="13"/>
      <c r="CR810" s="13"/>
      <c r="CS810" s="13"/>
      <c r="CT810" s="13"/>
      <c r="CU810" s="13"/>
    </row>
    <row r="811" spans="1:99" ht="12.75">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c r="AH811" s="13"/>
      <c r="AI811" s="13"/>
      <c r="AJ811" s="13"/>
      <c r="AK811" s="13"/>
      <c r="AL811" s="13"/>
      <c r="AM811" s="13"/>
      <c r="AN811" s="13"/>
      <c r="AO811" s="13"/>
      <c r="AP811" s="13"/>
      <c r="AQ811" s="13"/>
      <c r="AR811" s="13"/>
      <c r="AS811" s="13"/>
      <c r="AT811" s="13"/>
      <c r="AU811" s="13"/>
      <c r="AV811" s="13"/>
      <c r="AW811" s="13"/>
      <c r="AX811" s="13"/>
      <c r="AY811" s="13"/>
      <c r="AZ811" s="13"/>
      <c r="BA811" s="13"/>
      <c r="BB811" s="13"/>
      <c r="BC811" s="13"/>
      <c r="BD811" s="13"/>
      <c r="BE811" s="13"/>
      <c r="BF811" s="13"/>
      <c r="BG811" s="13"/>
      <c r="BH811" s="13"/>
      <c r="BI811" s="13"/>
      <c r="BJ811" s="13"/>
      <c r="BK811" s="13"/>
      <c r="BL811" s="13"/>
      <c r="BM811" s="13"/>
      <c r="BN811" s="13"/>
      <c r="BO811" s="13"/>
      <c r="BP811" s="13"/>
      <c r="BQ811" s="13"/>
      <c r="BR811" s="13"/>
      <c r="BS811" s="13"/>
      <c r="BT811" s="13"/>
      <c r="BU811" s="13"/>
      <c r="BV811" s="13"/>
      <c r="BW811" s="13"/>
      <c r="BX811" s="13"/>
      <c r="BY811" s="13"/>
      <c r="BZ811" s="13"/>
      <c r="CA811" s="13"/>
      <c r="CB811" s="13"/>
      <c r="CC811" s="13"/>
      <c r="CD811" s="13"/>
      <c r="CE811" s="13"/>
      <c r="CF811" s="13"/>
      <c r="CG811" s="13"/>
      <c r="CH811" s="13"/>
      <c r="CI811" s="13"/>
      <c r="CJ811" s="13"/>
      <c r="CK811" s="13"/>
      <c r="CL811" s="13"/>
      <c r="CM811" s="13"/>
      <c r="CN811" s="13"/>
      <c r="CO811" s="13"/>
      <c r="CP811" s="13"/>
      <c r="CQ811" s="13"/>
      <c r="CR811" s="13"/>
      <c r="CS811" s="13"/>
      <c r="CT811" s="13"/>
      <c r="CU811" s="13"/>
    </row>
    <row r="812" spans="1:99" ht="12.75">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c r="AH812" s="13"/>
      <c r="AI812" s="13"/>
      <c r="AJ812" s="13"/>
      <c r="AK812" s="13"/>
      <c r="AL812" s="13"/>
      <c r="AM812" s="13"/>
      <c r="AN812" s="13"/>
      <c r="AO812" s="13"/>
      <c r="AP812" s="13"/>
      <c r="AQ812" s="13"/>
      <c r="AR812" s="13"/>
      <c r="AS812" s="13"/>
      <c r="AT812" s="13"/>
      <c r="AU812" s="13"/>
      <c r="AV812" s="13"/>
      <c r="AW812" s="13"/>
      <c r="AX812" s="13"/>
      <c r="AY812" s="13"/>
      <c r="AZ812" s="13"/>
      <c r="BA812" s="13"/>
      <c r="BB812" s="13"/>
      <c r="BC812" s="13"/>
      <c r="BD812" s="13"/>
      <c r="BE812" s="13"/>
      <c r="BF812" s="13"/>
      <c r="BG812" s="13"/>
      <c r="BH812" s="13"/>
      <c r="BI812" s="13"/>
      <c r="BJ812" s="13"/>
      <c r="BK812" s="13"/>
      <c r="BL812" s="13"/>
      <c r="BM812" s="13"/>
      <c r="BN812" s="13"/>
      <c r="BO812" s="13"/>
      <c r="BP812" s="13"/>
      <c r="BQ812" s="13"/>
      <c r="BR812" s="13"/>
      <c r="BS812" s="13"/>
      <c r="BT812" s="13"/>
      <c r="BU812" s="13"/>
      <c r="BV812" s="13"/>
      <c r="BW812" s="13"/>
      <c r="BX812" s="13"/>
      <c r="BY812" s="13"/>
      <c r="BZ812" s="13"/>
      <c r="CA812" s="13"/>
      <c r="CB812" s="13"/>
      <c r="CC812" s="13"/>
      <c r="CD812" s="13"/>
      <c r="CE812" s="13"/>
      <c r="CF812" s="13"/>
      <c r="CG812" s="13"/>
      <c r="CH812" s="13"/>
      <c r="CI812" s="13"/>
      <c r="CJ812" s="13"/>
      <c r="CK812" s="13"/>
      <c r="CL812" s="13"/>
      <c r="CM812" s="13"/>
      <c r="CN812" s="13"/>
      <c r="CO812" s="13"/>
      <c r="CP812" s="13"/>
      <c r="CQ812" s="13"/>
      <c r="CR812" s="13"/>
      <c r="CS812" s="13"/>
      <c r="CT812" s="13"/>
      <c r="CU812" s="13"/>
    </row>
    <row r="813" spans="1:99" ht="12.75">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c r="AH813" s="13"/>
      <c r="AI813" s="13"/>
      <c r="AJ813" s="13"/>
      <c r="AK813" s="13"/>
      <c r="AL813" s="13"/>
      <c r="AM813" s="13"/>
      <c r="AN813" s="13"/>
      <c r="AO813" s="13"/>
      <c r="AP813" s="13"/>
      <c r="AQ813" s="13"/>
      <c r="AR813" s="13"/>
      <c r="AS813" s="13"/>
      <c r="AT813" s="13"/>
      <c r="AU813" s="13"/>
      <c r="AV813" s="13"/>
      <c r="AW813" s="13"/>
      <c r="AX813" s="13"/>
      <c r="AY813" s="13"/>
      <c r="AZ813" s="13"/>
      <c r="BA813" s="13"/>
      <c r="BB813" s="13"/>
      <c r="BC813" s="13"/>
      <c r="BD813" s="13"/>
      <c r="BE813" s="13"/>
      <c r="BF813" s="13"/>
      <c r="BG813" s="13"/>
      <c r="BH813" s="13"/>
      <c r="BI813" s="13"/>
      <c r="BJ813" s="13"/>
      <c r="BK813" s="13"/>
      <c r="BL813" s="13"/>
      <c r="BM813" s="13"/>
      <c r="BN813" s="13"/>
      <c r="BO813" s="13"/>
      <c r="BP813" s="13"/>
      <c r="BQ813" s="13"/>
      <c r="BR813" s="13"/>
      <c r="BS813" s="13"/>
      <c r="BT813" s="13"/>
      <c r="BU813" s="13"/>
      <c r="BV813" s="13"/>
      <c r="BW813" s="13"/>
      <c r="BX813" s="13"/>
      <c r="BY813" s="13"/>
      <c r="BZ813" s="13"/>
      <c r="CA813" s="13"/>
      <c r="CB813" s="13"/>
      <c r="CC813" s="13"/>
      <c r="CD813" s="13"/>
      <c r="CE813" s="13"/>
      <c r="CF813" s="13"/>
      <c r="CG813" s="13"/>
      <c r="CH813" s="13"/>
      <c r="CI813" s="13"/>
      <c r="CJ813" s="13"/>
      <c r="CK813" s="13"/>
      <c r="CL813" s="13"/>
      <c r="CM813" s="13"/>
      <c r="CN813" s="13"/>
      <c r="CO813" s="13"/>
      <c r="CP813" s="13"/>
      <c r="CQ813" s="13"/>
      <c r="CR813" s="13"/>
      <c r="CS813" s="13"/>
      <c r="CT813" s="13"/>
      <c r="CU813" s="13"/>
    </row>
    <row r="814" spans="1:99" ht="12.75">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c r="AH814" s="13"/>
      <c r="AI814" s="13"/>
      <c r="AJ814" s="13"/>
      <c r="AK814" s="13"/>
      <c r="AL814" s="13"/>
      <c r="AM814" s="13"/>
      <c r="AN814" s="13"/>
      <c r="AO814" s="13"/>
      <c r="AP814" s="13"/>
      <c r="AQ814" s="13"/>
      <c r="AR814" s="13"/>
      <c r="AS814" s="13"/>
      <c r="AT814" s="13"/>
      <c r="AU814" s="13"/>
      <c r="AV814" s="13"/>
      <c r="AW814" s="13"/>
      <c r="AX814" s="13"/>
      <c r="AY814" s="13"/>
      <c r="AZ814" s="13"/>
      <c r="BA814" s="13"/>
      <c r="BB814" s="13"/>
      <c r="BC814" s="13"/>
      <c r="BD814" s="13"/>
      <c r="BE814" s="13"/>
      <c r="BF814" s="13"/>
      <c r="BG814" s="13"/>
      <c r="BH814" s="13"/>
      <c r="BI814" s="13"/>
      <c r="BJ814" s="13"/>
      <c r="BK814" s="13"/>
      <c r="BL814" s="13"/>
      <c r="BM814" s="13"/>
      <c r="BN814" s="13"/>
      <c r="BO814" s="13"/>
      <c r="BP814" s="13"/>
      <c r="BQ814" s="13"/>
      <c r="BR814" s="13"/>
      <c r="BS814" s="13"/>
      <c r="BT814" s="13"/>
      <c r="BU814" s="13"/>
      <c r="BV814" s="13"/>
      <c r="BW814" s="13"/>
      <c r="BX814" s="13"/>
      <c r="BY814" s="13"/>
      <c r="BZ814" s="13"/>
      <c r="CA814" s="13"/>
      <c r="CB814" s="13"/>
      <c r="CC814" s="13"/>
      <c r="CD814" s="13"/>
      <c r="CE814" s="13"/>
      <c r="CF814" s="13"/>
      <c r="CG814" s="13"/>
      <c r="CH814" s="13"/>
      <c r="CI814" s="13"/>
      <c r="CJ814" s="13"/>
      <c r="CK814" s="13"/>
      <c r="CL814" s="13"/>
      <c r="CM814" s="13"/>
      <c r="CN814" s="13"/>
      <c r="CO814" s="13"/>
      <c r="CP814" s="13"/>
      <c r="CQ814" s="13"/>
      <c r="CR814" s="13"/>
      <c r="CS814" s="13"/>
      <c r="CT814" s="13"/>
      <c r="CU814" s="13"/>
    </row>
    <row r="815" spans="1:99" ht="12.75">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c r="AH815" s="13"/>
      <c r="AI815" s="13"/>
      <c r="AJ815" s="13"/>
      <c r="AK815" s="13"/>
      <c r="AL815" s="13"/>
      <c r="AM815" s="13"/>
      <c r="AN815" s="13"/>
      <c r="AO815" s="13"/>
      <c r="AP815" s="13"/>
      <c r="AQ815" s="13"/>
      <c r="AR815" s="13"/>
      <c r="AS815" s="13"/>
      <c r="AT815" s="13"/>
      <c r="AU815" s="13"/>
      <c r="AV815" s="13"/>
      <c r="AW815" s="13"/>
      <c r="AX815" s="13"/>
      <c r="AY815" s="13"/>
      <c r="AZ815" s="13"/>
      <c r="BA815" s="13"/>
      <c r="BB815" s="13"/>
      <c r="BC815" s="13"/>
      <c r="BD815" s="13"/>
      <c r="BE815" s="13"/>
      <c r="BF815" s="13"/>
      <c r="BG815" s="13"/>
      <c r="BH815" s="13"/>
      <c r="BI815" s="13"/>
      <c r="BJ815" s="13"/>
      <c r="BK815" s="13"/>
      <c r="BL815" s="13"/>
      <c r="BM815" s="13"/>
      <c r="BN815" s="13"/>
      <c r="BO815" s="13"/>
      <c r="BP815" s="13"/>
      <c r="BQ815" s="13"/>
      <c r="BR815" s="13"/>
      <c r="BS815" s="13"/>
      <c r="BT815" s="13"/>
      <c r="BU815" s="13"/>
      <c r="BV815" s="13"/>
      <c r="BW815" s="13"/>
      <c r="BX815" s="13"/>
      <c r="BY815" s="13"/>
      <c r="BZ815" s="13"/>
      <c r="CA815" s="13"/>
      <c r="CB815" s="13"/>
      <c r="CC815" s="13"/>
      <c r="CD815" s="13"/>
      <c r="CE815" s="13"/>
      <c r="CF815" s="13"/>
      <c r="CG815" s="13"/>
      <c r="CH815" s="13"/>
      <c r="CI815" s="13"/>
      <c r="CJ815" s="13"/>
      <c r="CK815" s="13"/>
      <c r="CL815" s="13"/>
      <c r="CM815" s="13"/>
      <c r="CN815" s="13"/>
      <c r="CO815" s="13"/>
      <c r="CP815" s="13"/>
      <c r="CQ815" s="13"/>
      <c r="CR815" s="13"/>
      <c r="CS815" s="13"/>
      <c r="CT815" s="13"/>
      <c r="CU815" s="13"/>
    </row>
    <row r="816" spans="1:99" ht="12.75">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c r="AH816" s="13"/>
      <c r="AI816" s="13"/>
      <c r="AJ816" s="13"/>
      <c r="AK816" s="13"/>
      <c r="AL816" s="13"/>
      <c r="AM816" s="13"/>
      <c r="AN816" s="13"/>
      <c r="AO816" s="13"/>
      <c r="AP816" s="13"/>
      <c r="AQ816" s="13"/>
      <c r="AR816" s="13"/>
      <c r="AS816" s="13"/>
      <c r="AT816" s="13"/>
      <c r="AU816" s="13"/>
      <c r="AV816" s="13"/>
      <c r="AW816" s="13"/>
      <c r="AX816" s="13"/>
      <c r="AY816" s="13"/>
      <c r="AZ816" s="13"/>
      <c r="BA816" s="13"/>
      <c r="BB816" s="13"/>
      <c r="BC816" s="13"/>
      <c r="BD816" s="13"/>
      <c r="BE816" s="13"/>
      <c r="BF816" s="13"/>
      <c r="BG816" s="13"/>
      <c r="BH816" s="13"/>
      <c r="BI816" s="13"/>
      <c r="BJ816" s="13"/>
      <c r="BK816" s="13"/>
      <c r="BL816" s="13"/>
      <c r="BM816" s="13"/>
      <c r="BN816" s="13"/>
      <c r="BO816" s="13"/>
      <c r="BP816" s="13"/>
      <c r="BQ816" s="13"/>
      <c r="BR816" s="13"/>
      <c r="BS816" s="13"/>
      <c r="BT816" s="13"/>
      <c r="BU816" s="13"/>
      <c r="BV816" s="13"/>
      <c r="BW816" s="13"/>
      <c r="BX816" s="13"/>
      <c r="BY816" s="13"/>
      <c r="BZ816" s="13"/>
      <c r="CA816" s="13"/>
      <c r="CB816" s="13"/>
      <c r="CC816" s="13"/>
      <c r="CD816" s="13"/>
      <c r="CE816" s="13"/>
      <c r="CF816" s="13"/>
      <c r="CG816" s="13"/>
      <c r="CH816" s="13"/>
      <c r="CI816" s="13"/>
      <c r="CJ816" s="13"/>
      <c r="CK816" s="13"/>
      <c r="CL816" s="13"/>
      <c r="CM816" s="13"/>
      <c r="CN816" s="13"/>
      <c r="CO816" s="13"/>
      <c r="CP816" s="13"/>
      <c r="CQ816" s="13"/>
      <c r="CR816" s="13"/>
      <c r="CS816" s="13"/>
      <c r="CT816" s="13"/>
      <c r="CU816" s="13"/>
    </row>
    <row r="817" spans="1:99" ht="12.75">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c r="AH817" s="13"/>
      <c r="AI817" s="13"/>
      <c r="AJ817" s="13"/>
      <c r="AK817" s="13"/>
      <c r="AL817" s="13"/>
      <c r="AM817" s="13"/>
      <c r="AN817" s="13"/>
      <c r="AO817" s="13"/>
      <c r="AP817" s="13"/>
      <c r="AQ817" s="13"/>
      <c r="AR817" s="13"/>
      <c r="AS817" s="13"/>
      <c r="AT817" s="13"/>
      <c r="AU817" s="13"/>
      <c r="AV817" s="13"/>
      <c r="AW817" s="13"/>
      <c r="AX817" s="13"/>
      <c r="AY817" s="13"/>
      <c r="AZ817" s="13"/>
      <c r="BA817" s="13"/>
      <c r="BB817" s="13"/>
      <c r="BC817" s="13"/>
      <c r="BD817" s="13"/>
      <c r="BE817" s="13"/>
      <c r="BF817" s="13"/>
      <c r="BG817" s="13"/>
      <c r="BH817" s="13"/>
      <c r="BI817" s="13"/>
      <c r="BJ817" s="13"/>
      <c r="BK817" s="13"/>
      <c r="BL817" s="13"/>
      <c r="BM817" s="13"/>
      <c r="BN817" s="13"/>
      <c r="BO817" s="13"/>
      <c r="BP817" s="13"/>
      <c r="BQ817" s="13"/>
      <c r="BR817" s="13"/>
      <c r="BS817" s="13"/>
      <c r="BT817" s="13"/>
      <c r="BU817" s="13"/>
      <c r="BV817" s="13"/>
      <c r="BW817" s="13"/>
      <c r="BX817" s="13"/>
      <c r="BY817" s="13"/>
      <c r="BZ817" s="13"/>
      <c r="CA817" s="13"/>
      <c r="CB817" s="13"/>
      <c r="CC817" s="13"/>
      <c r="CD817" s="13"/>
      <c r="CE817" s="13"/>
      <c r="CF817" s="13"/>
      <c r="CG817" s="13"/>
      <c r="CH817" s="13"/>
      <c r="CI817" s="13"/>
      <c r="CJ817" s="13"/>
      <c r="CK817" s="13"/>
      <c r="CL817" s="13"/>
      <c r="CM817" s="13"/>
      <c r="CN817" s="13"/>
      <c r="CO817" s="13"/>
      <c r="CP817" s="13"/>
      <c r="CQ817" s="13"/>
      <c r="CR817" s="13"/>
      <c r="CS817" s="13"/>
      <c r="CT817" s="13"/>
      <c r="CU817" s="13"/>
    </row>
    <row r="818" spans="1:99" ht="12.75">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c r="AH818" s="13"/>
      <c r="AI818" s="13"/>
      <c r="AJ818" s="13"/>
      <c r="AK818" s="13"/>
      <c r="AL818" s="13"/>
      <c r="AM818" s="13"/>
      <c r="AN818" s="13"/>
      <c r="AO818" s="13"/>
      <c r="AP818" s="13"/>
      <c r="AQ818" s="13"/>
      <c r="AR818" s="13"/>
      <c r="AS818" s="13"/>
      <c r="AT818" s="13"/>
      <c r="AU818" s="13"/>
      <c r="AV818" s="13"/>
      <c r="AW818" s="13"/>
      <c r="AX818" s="13"/>
      <c r="AY818" s="13"/>
      <c r="AZ818" s="13"/>
      <c r="BA818" s="13"/>
      <c r="BB818" s="13"/>
      <c r="BC818" s="13"/>
      <c r="BD818" s="13"/>
      <c r="BE818" s="13"/>
      <c r="BF818" s="13"/>
      <c r="BG818" s="13"/>
      <c r="BH818" s="13"/>
      <c r="BI818" s="13"/>
      <c r="BJ818" s="13"/>
      <c r="BK818" s="13"/>
      <c r="BL818" s="13"/>
      <c r="BM818" s="13"/>
      <c r="BN818" s="13"/>
      <c r="BO818" s="13"/>
      <c r="BP818" s="13"/>
      <c r="BQ818" s="13"/>
      <c r="BR818" s="13"/>
      <c r="BS818" s="13"/>
      <c r="BT818" s="13"/>
      <c r="BU818" s="13"/>
      <c r="BV818" s="13"/>
      <c r="BW818" s="13"/>
      <c r="BX818" s="13"/>
      <c r="BY818" s="13"/>
      <c r="BZ818" s="13"/>
      <c r="CA818" s="13"/>
      <c r="CB818" s="13"/>
      <c r="CC818" s="13"/>
      <c r="CD818" s="13"/>
      <c r="CE818" s="13"/>
      <c r="CF818" s="13"/>
      <c r="CG818" s="13"/>
      <c r="CH818" s="13"/>
      <c r="CI818" s="13"/>
      <c r="CJ818" s="13"/>
      <c r="CK818" s="13"/>
      <c r="CL818" s="13"/>
      <c r="CM818" s="13"/>
      <c r="CN818" s="13"/>
      <c r="CO818" s="13"/>
      <c r="CP818" s="13"/>
      <c r="CQ818" s="13"/>
      <c r="CR818" s="13"/>
      <c r="CS818" s="13"/>
      <c r="CT818" s="13"/>
      <c r="CU818" s="13"/>
    </row>
    <row r="819" spans="1:99" ht="12.75">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c r="AH819" s="13"/>
      <c r="AI819" s="13"/>
      <c r="AJ819" s="13"/>
      <c r="AK819" s="13"/>
      <c r="AL819" s="13"/>
      <c r="AM819" s="13"/>
      <c r="AN819" s="13"/>
      <c r="AO819" s="13"/>
      <c r="AP819" s="13"/>
      <c r="AQ819" s="13"/>
      <c r="AR819" s="13"/>
      <c r="AS819" s="13"/>
      <c r="AT819" s="13"/>
      <c r="AU819" s="13"/>
      <c r="AV819" s="13"/>
      <c r="AW819" s="13"/>
      <c r="AX819" s="13"/>
      <c r="AY819" s="13"/>
      <c r="AZ819" s="13"/>
      <c r="BA819" s="13"/>
      <c r="BB819" s="13"/>
      <c r="BC819" s="13"/>
      <c r="BD819" s="13"/>
      <c r="BE819" s="13"/>
      <c r="BF819" s="13"/>
      <c r="BG819" s="13"/>
      <c r="BH819" s="13"/>
      <c r="BI819" s="13"/>
      <c r="BJ819" s="13"/>
      <c r="BK819" s="13"/>
      <c r="BL819" s="13"/>
      <c r="BM819" s="13"/>
      <c r="BN819" s="13"/>
      <c r="BO819" s="13"/>
      <c r="BP819" s="13"/>
      <c r="BQ819" s="13"/>
      <c r="BR819" s="13"/>
      <c r="BS819" s="13"/>
      <c r="BT819" s="13"/>
      <c r="BU819" s="13"/>
      <c r="BV819" s="13"/>
      <c r="BW819" s="13"/>
      <c r="BX819" s="13"/>
      <c r="BY819" s="13"/>
      <c r="BZ819" s="13"/>
      <c r="CA819" s="13"/>
      <c r="CB819" s="13"/>
      <c r="CC819" s="13"/>
      <c r="CD819" s="13"/>
      <c r="CE819" s="13"/>
      <c r="CF819" s="13"/>
      <c r="CG819" s="13"/>
      <c r="CH819" s="13"/>
      <c r="CI819" s="13"/>
      <c r="CJ819" s="13"/>
      <c r="CK819" s="13"/>
      <c r="CL819" s="13"/>
      <c r="CM819" s="13"/>
      <c r="CN819" s="13"/>
      <c r="CO819" s="13"/>
      <c r="CP819" s="13"/>
      <c r="CQ819" s="13"/>
      <c r="CR819" s="13"/>
      <c r="CS819" s="13"/>
      <c r="CT819" s="13"/>
      <c r="CU819" s="13"/>
    </row>
    <row r="820" spans="1:99" ht="12.75">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c r="AH820" s="13"/>
      <c r="AI820" s="13"/>
      <c r="AJ820" s="13"/>
      <c r="AK820" s="13"/>
      <c r="AL820" s="13"/>
      <c r="AM820" s="13"/>
      <c r="AN820" s="13"/>
      <c r="AO820" s="13"/>
      <c r="AP820" s="13"/>
      <c r="AQ820" s="13"/>
      <c r="AR820" s="13"/>
      <c r="AS820" s="13"/>
      <c r="AT820" s="13"/>
      <c r="AU820" s="13"/>
      <c r="AV820" s="13"/>
      <c r="AW820" s="13"/>
      <c r="AX820" s="13"/>
      <c r="AY820" s="13"/>
      <c r="AZ820" s="13"/>
      <c r="BA820" s="13"/>
      <c r="BB820" s="13"/>
      <c r="BC820" s="13"/>
      <c r="BD820" s="13"/>
      <c r="BE820" s="13"/>
      <c r="BF820" s="13"/>
      <c r="BG820" s="13"/>
      <c r="BH820" s="13"/>
      <c r="BI820" s="13"/>
      <c r="BJ820" s="13"/>
      <c r="BK820" s="13"/>
      <c r="BL820" s="13"/>
      <c r="BM820" s="13"/>
      <c r="BN820" s="13"/>
      <c r="BO820" s="13"/>
      <c r="BP820" s="13"/>
      <c r="BQ820" s="13"/>
      <c r="BR820" s="13"/>
      <c r="BS820" s="13"/>
      <c r="BT820" s="13"/>
      <c r="BU820" s="13"/>
      <c r="BV820" s="13"/>
      <c r="BW820" s="13"/>
      <c r="BX820" s="13"/>
      <c r="BY820" s="13"/>
      <c r="BZ820" s="13"/>
      <c r="CA820" s="13"/>
      <c r="CB820" s="13"/>
      <c r="CC820" s="13"/>
      <c r="CD820" s="13"/>
      <c r="CE820" s="13"/>
      <c r="CF820" s="13"/>
      <c r="CG820" s="13"/>
      <c r="CH820" s="13"/>
      <c r="CI820" s="13"/>
      <c r="CJ820" s="13"/>
      <c r="CK820" s="13"/>
      <c r="CL820" s="13"/>
      <c r="CM820" s="13"/>
      <c r="CN820" s="13"/>
      <c r="CO820" s="13"/>
      <c r="CP820" s="13"/>
      <c r="CQ820" s="13"/>
      <c r="CR820" s="13"/>
      <c r="CS820" s="13"/>
      <c r="CT820" s="13"/>
      <c r="CU820" s="13"/>
    </row>
    <row r="821" spans="1:99" ht="12.75">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c r="AH821" s="13"/>
      <c r="AI821" s="13"/>
      <c r="AJ821" s="13"/>
      <c r="AK821" s="13"/>
      <c r="AL821" s="13"/>
      <c r="AM821" s="13"/>
      <c r="AN821" s="13"/>
      <c r="AO821" s="13"/>
      <c r="AP821" s="13"/>
      <c r="AQ821" s="13"/>
      <c r="AR821" s="13"/>
      <c r="AS821" s="13"/>
      <c r="AT821" s="13"/>
      <c r="AU821" s="13"/>
      <c r="AV821" s="13"/>
      <c r="AW821" s="13"/>
      <c r="AX821" s="13"/>
      <c r="AY821" s="13"/>
      <c r="AZ821" s="13"/>
      <c r="BA821" s="13"/>
      <c r="BB821" s="13"/>
      <c r="BC821" s="13"/>
      <c r="BD821" s="13"/>
      <c r="BE821" s="13"/>
      <c r="BF821" s="13"/>
      <c r="BG821" s="13"/>
      <c r="BH821" s="13"/>
      <c r="BI821" s="13"/>
      <c r="BJ821" s="13"/>
      <c r="BK821" s="13"/>
      <c r="BL821" s="13"/>
      <c r="BM821" s="13"/>
      <c r="BN821" s="13"/>
      <c r="BO821" s="13"/>
      <c r="BP821" s="13"/>
      <c r="BQ821" s="13"/>
      <c r="BR821" s="13"/>
      <c r="BS821" s="13"/>
      <c r="BT821" s="13"/>
      <c r="BU821" s="13"/>
      <c r="BV821" s="13"/>
      <c r="BW821" s="13"/>
      <c r="BX821" s="13"/>
      <c r="BY821" s="13"/>
      <c r="BZ821" s="13"/>
      <c r="CA821" s="13"/>
      <c r="CB821" s="13"/>
      <c r="CC821" s="13"/>
      <c r="CD821" s="13"/>
      <c r="CE821" s="13"/>
      <c r="CF821" s="13"/>
      <c r="CG821" s="13"/>
      <c r="CH821" s="13"/>
      <c r="CI821" s="13"/>
      <c r="CJ821" s="13"/>
      <c r="CK821" s="13"/>
      <c r="CL821" s="13"/>
      <c r="CM821" s="13"/>
      <c r="CN821" s="13"/>
      <c r="CO821" s="13"/>
      <c r="CP821" s="13"/>
      <c r="CQ821" s="13"/>
      <c r="CR821" s="13"/>
      <c r="CS821" s="13"/>
      <c r="CT821" s="13"/>
      <c r="CU821" s="13"/>
    </row>
    <row r="822" spans="1:99" ht="12.75">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c r="AN822" s="13"/>
      <c r="AO822" s="13"/>
      <c r="AP822" s="13"/>
      <c r="AQ822" s="13"/>
      <c r="AR822" s="13"/>
      <c r="AS822" s="13"/>
      <c r="AT822" s="13"/>
      <c r="AU822" s="13"/>
      <c r="AV822" s="13"/>
      <c r="AW822" s="13"/>
      <c r="AX822" s="13"/>
      <c r="AY822" s="13"/>
      <c r="AZ822" s="13"/>
      <c r="BA822" s="13"/>
      <c r="BB822" s="13"/>
      <c r="BC822" s="13"/>
      <c r="BD822" s="13"/>
      <c r="BE822" s="13"/>
      <c r="BF822" s="13"/>
      <c r="BG822" s="13"/>
      <c r="BH822" s="13"/>
      <c r="BI822" s="13"/>
      <c r="BJ822" s="13"/>
      <c r="BK822" s="13"/>
      <c r="BL822" s="13"/>
      <c r="BM822" s="13"/>
      <c r="BN822" s="13"/>
      <c r="BO822" s="13"/>
      <c r="BP822" s="13"/>
      <c r="BQ822" s="13"/>
      <c r="BR822" s="13"/>
      <c r="BS822" s="13"/>
      <c r="BT822" s="13"/>
      <c r="BU822" s="13"/>
      <c r="BV822" s="13"/>
      <c r="BW822" s="13"/>
      <c r="BX822" s="13"/>
      <c r="BY822" s="13"/>
      <c r="BZ822" s="13"/>
      <c r="CA822" s="13"/>
      <c r="CB822" s="13"/>
      <c r="CC822" s="13"/>
      <c r="CD822" s="13"/>
      <c r="CE822" s="13"/>
      <c r="CF822" s="13"/>
      <c r="CG822" s="13"/>
      <c r="CH822" s="13"/>
      <c r="CI822" s="13"/>
      <c r="CJ822" s="13"/>
      <c r="CK822" s="13"/>
      <c r="CL822" s="13"/>
      <c r="CM822" s="13"/>
      <c r="CN822" s="13"/>
      <c r="CO822" s="13"/>
      <c r="CP822" s="13"/>
      <c r="CQ822" s="13"/>
      <c r="CR822" s="13"/>
      <c r="CS822" s="13"/>
      <c r="CT822" s="13"/>
      <c r="CU822" s="13"/>
    </row>
    <row r="823" spans="1:99" ht="12.75">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c r="AH823" s="13"/>
      <c r="AI823" s="13"/>
      <c r="AJ823" s="13"/>
      <c r="AK823" s="13"/>
      <c r="AL823" s="13"/>
      <c r="AM823" s="13"/>
      <c r="AN823" s="13"/>
      <c r="AO823" s="13"/>
      <c r="AP823" s="13"/>
      <c r="AQ823" s="13"/>
      <c r="AR823" s="13"/>
      <c r="AS823" s="13"/>
      <c r="AT823" s="13"/>
      <c r="AU823" s="13"/>
      <c r="AV823" s="13"/>
      <c r="AW823" s="13"/>
      <c r="AX823" s="13"/>
      <c r="AY823" s="13"/>
      <c r="AZ823" s="13"/>
      <c r="BA823" s="13"/>
      <c r="BB823" s="13"/>
      <c r="BC823" s="13"/>
      <c r="BD823" s="13"/>
      <c r="BE823" s="13"/>
      <c r="BF823" s="13"/>
      <c r="BG823" s="13"/>
      <c r="BH823" s="13"/>
      <c r="BI823" s="13"/>
      <c r="BJ823" s="13"/>
      <c r="BK823" s="13"/>
      <c r="BL823" s="13"/>
      <c r="BM823" s="13"/>
      <c r="BN823" s="13"/>
      <c r="BO823" s="13"/>
      <c r="BP823" s="13"/>
      <c r="BQ823" s="13"/>
      <c r="BR823" s="13"/>
      <c r="BS823" s="13"/>
      <c r="BT823" s="13"/>
      <c r="BU823" s="13"/>
      <c r="BV823" s="13"/>
      <c r="BW823" s="13"/>
      <c r="BX823" s="13"/>
      <c r="BY823" s="13"/>
      <c r="BZ823" s="13"/>
      <c r="CA823" s="13"/>
      <c r="CB823" s="13"/>
      <c r="CC823" s="13"/>
      <c r="CD823" s="13"/>
      <c r="CE823" s="13"/>
      <c r="CF823" s="13"/>
      <c r="CG823" s="13"/>
      <c r="CH823" s="13"/>
      <c r="CI823" s="13"/>
      <c r="CJ823" s="13"/>
      <c r="CK823" s="13"/>
      <c r="CL823" s="13"/>
      <c r="CM823" s="13"/>
      <c r="CN823" s="13"/>
      <c r="CO823" s="13"/>
      <c r="CP823" s="13"/>
      <c r="CQ823" s="13"/>
      <c r="CR823" s="13"/>
      <c r="CS823" s="13"/>
      <c r="CT823" s="13"/>
      <c r="CU823" s="13"/>
    </row>
    <row r="824" spans="1:99" ht="12.75">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c r="AH824" s="13"/>
      <c r="AI824" s="13"/>
      <c r="AJ824" s="13"/>
      <c r="AK824" s="13"/>
      <c r="AL824" s="13"/>
      <c r="AM824" s="13"/>
      <c r="AN824" s="13"/>
      <c r="AO824" s="13"/>
      <c r="AP824" s="13"/>
      <c r="AQ824" s="13"/>
      <c r="AR824" s="13"/>
      <c r="AS824" s="13"/>
      <c r="AT824" s="13"/>
      <c r="AU824" s="13"/>
      <c r="AV824" s="13"/>
      <c r="AW824" s="13"/>
      <c r="AX824" s="13"/>
      <c r="AY824" s="13"/>
      <c r="AZ824" s="13"/>
      <c r="BA824" s="13"/>
      <c r="BB824" s="13"/>
      <c r="BC824" s="13"/>
      <c r="BD824" s="13"/>
      <c r="BE824" s="13"/>
      <c r="BF824" s="13"/>
      <c r="BG824" s="13"/>
      <c r="BH824" s="13"/>
      <c r="BI824" s="13"/>
      <c r="BJ824" s="13"/>
      <c r="BK824" s="13"/>
      <c r="BL824" s="13"/>
      <c r="BM824" s="13"/>
      <c r="BN824" s="13"/>
      <c r="BO824" s="13"/>
      <c r="BP824" s="13"/>
      <c r="BQ824" s="13"/>
      <c r="BR824" s="13"/>
      <c r="BS824" s="13"/>
      <c r="BT824" s="13"/>
      <c r="BU824" s="13"/>
      <c r="BV824" s="13"/>
      <c r="BW824" s="13"/>
      <c r="BX824" s="13"/>
      <c r="BY824" s="13"/>
      <c r="BZ824" s="13"/>
      <c r="CA824" s="13"/>
      <c r="CB824" s="13"/>
      <c r="CC824" s="13"/>
      <c r="CD824" s="13"/>
      <c r="CE824" s="13"/>
      <c r="CF824" s="13"/>
      <c r="CG824" s="13"/>
      <c r="CH824" s="13"/>
      <c r="CI824" s="13"/>
      <c r="CJ824" s="13"/>
      <c r="CK824" s="13"/>
      <c r="CL824" s="13"/>
      <c r="CM824" s="13"/>
      <c r="CN824" s="13"/>
      <c r="CO824" s="13"/>
      <c r="CP824" s="13"/>
      <c r="CQ824" s="13"/>
      <c r="CR824" s="13"/>
      <c r="CS824" s="13"/>
      <c r="CT824" s="13"/>
      <c r="CU824" s="13"/>
    </row>
    <row r="825" spans="1:99" ht="12.75">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c r="AH825" s="13"/>
      <c r="AI825" s="13"/>
      <c r="AJ825" s="13"/>
      <c r="AK825" s="13"/>
      <c r="AL825" s="13"/>
      <c r="AM825" s="13"/>
      <c r="AN825" s="13"/>
      <c r="AO825" s="13"/>
      <c r="AP825" s="13"/>
      <c r="AQ825" s="13"/>
      <c r="AR825" s="13"/>
      <c r="AS825" s="13"/>
      <c r="AT825" s="13"/>
      <c r="AU825" s="13"/>
      <c r="AV825" s="13"/>
      <c r="AW825" s="13"/>
      <c r="AX825" s="13"/>
      <c r="AY825" s="13"/>
      <c r="AZ825" s="13"/>
      <c r="BA825" s="13"/>
      <c r="BB825" s="13"/>
      <c r="BC825" s="13"/>
      <c r="BD825" s="13"/>
      <c r="BE825" s="13"/>
      <c r="BF825" s="13"/>
      <c r="BG825" s="13"/>
      <c r="BH825" s="13"/>
      <c r="BI825" s="13"/>
      <c r="BJ825" s="13"/>
      <c r="BK825" s="13"/>
      <c r="BL825" s="13"/>
      <c r="BM825" s="13"/>
      <c r="BN825" s="13"/>
      <c r="BO825" s="13"/>
      <c r="BP825" s="13"/>
      <c r="BQ825" s="13"/>
      <c r="BR825" s="13"/>
      <c r="BS825" s="13"/>
      <c r="BT825" s="13"/>
      <c r="BU825" s="13"/>
      <c r="BV825" s="13"/>
      <c r="BW825" s="13"/>
      <c r="BX825" s="13"/>
      <c r="BY825" s="13"/>
      <c r="BZ825" s="13"/>
      <c r="CA825" s="13"/>
      <c r="CB825" s="13"/>
      <c r="CC825" s="13"/>
      <c r="CD825" s="13"/>
      <c r="CE825" s="13"/>
      <c r="CF825" s="13"/>
      <c r="CG825" s="13"/>
      <c r="CH825" s="13"/>
      <c r="CI825" s="13"/>
      <c r="CJ825" s="13"/>
      <c r="CK825" s="13"/>
      <c r="CL825" s="13"/>
      <c r="CM825" s="13"/>
      <c r="CN825" s="13"/>
      <c r="CO825" s="13"/>
      <c r="CP825" s="13"/>
      <c r="CQ825" s="13"/>
      <c r="CR825" s="13"/>
      <c r="CS825" s="13"/>
      <c r="CT825" s="13"/>
      <c r="CU825" s="13"/>
    </row>
    <row r="826" spans="1:99" ht="12.75">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c r="AH826" s="13"/>
      <c r="AI826" s="13"/>
      <c r="AJ826" s="13"/>
      <c r="AK826" s="13"/>
      <c r="AL826" s="13"/>
      <c r="AM826" s="13"/>
      <c r="AN826" s="13"/>
      <c r="AO826" s="13"/>
      <c r="AP826" s="13"/>
      <c r="AQ826" s="13"/>
      <c r="AR826" s="13"/>
      <c r="AS826" s="13"/>
      <c r="AT826" s="13"/>
      <c r="AU826" s="13"/>
      <c r="AV826" s="13"/>
      <c r="AW826" s="13"/>
      <c r="AX826" s="13"/>
      <c r="AY826" s="13"/>
      <c r="AZ826" s="13"/>
      <c r="BA826" s="13"/>
      <c r="BB826" s="13"/>
      <c r="BC826" s="13"/>
      <c r="BD826" s="13"/>
      <c r="BE826" s="13"/>
      <c r="BF826" s="13"/>
      <c r="BG826" s="13"/>
      <c r="BH826" s="13"/>
      <c r="BI826" s="13"/>
      <c r="BJ826" s="13"/>
      <c r="BK826" s="13"/>
      <c r="BL826" s="13"/>
      <c r="BM826" s="13"/>
      <c r="BN826" s="13"/>
      <c r="BO826" s="13"/>
      <c r="BP826" s="13"/>
      <c r="BQ826" s="13"/>
      <c r="BR826" s="13"/>
      <c r="BS826" s="13"/>
      <c r="BT826" s="13"/>
      <c r="BU826" s="13"/>
      <c r="BV826" s="13"/>
      <c r="BW826" s="13"/>
      <c r="BX826" s="13"/>
      <c r="BY826" s="13"/>
      <c r="BZ826" s="13"/>
      <c r="CA826" s="13"/>
      <c r="CB826" s="13"/>
      <c r="CC826" s="13"/>
      <c r="CD826" s="13"/>
      <c r="CE826" s="13"/>
      <c r="CF826" s="13"/>
      <c r="CG826" s="13"/>
      <c r="CH826" s="13"/>
      <c r="CI826" s="13"/>
      <c r="CJ826" s="13"/>
      <c r="CK826" s="13"/>
      <c r="CL826" s="13"/>
      <c r="CM826" s="13"/>
      <c r="CN826" s="13"/>
      <c r="CO826" s="13"/>
      <c r="CP826" s="13"/>
      <c r="CQ826" s="13"/>
      <c r="CR826" s="13"/>
      <c r="CS826" s="13"/>
      <c r="CT826" s="13"/>
      <c r="CU826" s="13"/>
    </row>
    <row r="827" spans="1:99" ht="12.75">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c r="AH827" s="13"/>
      <c r="AI827" s="13"/>
      <c r="AJ827" s="13"/>
      <c r="AK827" s="13"/>
      <c r="AL827" s="13"/>
      <c r="AM827" s="13"/>
      <c r="AN827" s="13"/>
      <c r="AO827" s="13"/>
      <c r="AP827" s="13"/>
      <c r="AQ827" s="13"/>
      <c r="AR827" s="13"/>
      <c r="AS827" s="13"/>
      <c r="AT827" s="13"/>
      <c r="AU827" s="13"/>
      <c r="AV827" s="13"/>
      <c r="AW827" s="13"/>
      <c r="AX827" s="13"/>
      <c r="AY827" s="13"/>
      <c r="AZ827" s="13"/>
      <c r="BA827" s="13"/>
      <c r="BB827" s="13"/>
      <c r="BC827" s="13"/>
      <c r="BD827" s="13"/>
      <c r="BE827" s="13"/>
      <c r="BF827" s="13"/>
      <c r="BG827" s="13"/>
      <c r="BH827" s="13"/>
      <c r="BI827" s="13"/>
      <c r="BJ827" s="13"/>
      <c r="BK827" s="13"/>
      <c r="BL827" s="13"/>
      <c r="BM827" s="13"/>
      <c r="BN827" s="13"/>
      <c r="BO827" s="13"/>
      <c r="BP827" s="13"/>
      <c r="BQ827" s="13"/>
      <c r="BR827" s="13"/>
      <c r="BS827" s="13"/>
      <c r="BT827" s="13"/>
      <c r="BU827" s="13"/>
      <c r="BV827" s="13"/>
      <c r="BW827" s="13"/>
      <c r="BX827" s="13"/>
      <c r="BY827" s="13"/>
      <c r="BZ827" s="13"/>
      <c r="CA827" s="13"/>
      <c r="CB827" s="13"/>
      <c r="CC827" s="13"/>
      <c r="CD827" s="13"/>
      <c r="CE827" s="13"/>
      <c r="CF827" s="13"/>
      <c r="CG827" s="13"/>
      <c r="CH827" s="13"/>
      <c r="CI827" s="13"/>
      <c r="CJ827" s="13"/>
      <c r="CK827" s="13"/>
      <c r="CL827" s="13"/>
      <c r="CM827" s="13"/>
      <c r="CN827" s="13"/>
      <c r="CO827" s="13"/>
      <c r="CP827" s="13"/>
      <c r="CQ827" s="13"/>
      <c r="CR827" s="13"/>
      <c r="CS827" s="13"/>
      <c r="CT827" s="13"/>
      <c r="CU827" s="13"/>
    </row>
    <row r="828" spans="1:99" ht="12.75">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c r="AH828" s="13"/>
      <c r="AI828" s="13"/>
      <c r="AJ828" s="13"/>
      <c r="AK828" s="13"/>
      <c r="AL828" s="13"/>
      <c r="AM828" s="13"/>
      <c r="AN828" s="13"/>
      <c r="AO828" s="13"/>
      <c r="AP828" s="13"/>
      <c r="AQ828" s="13"/>
      <c r="AR828" s="13"/>
      <c r="AS828" s="13"/>
      <c r="AT828" s="13"/>
      <c r="AU828" s="13"/>
      <c r="AV828" s="13"/>
      <c r="AW828" s="13"/>
      <c r="AX828" s="13"/>
      <c r="AY828" s="13"/>
      <c r="AZ828" s="13"/>
      <c r="BA828" s="13"/>
      <c r="BB828" s="13"/>
      <c r="BC828" s="13"/>
      <c r="BD828" s="13"/>
      <c r="BE828" s="13"/>
      <c r="BF828" s="13"/>
      <c r="BG828" s="13"/>
      <c r="BH828" s="13"/>
      <c r="BI828" s="13"/>
      <c r="BJ828" s="13"/>
      <c r="BK828" s="13"/>
      <c r="BL828" s="13"/>
      <c r="BM828" s="13"/>
      <c r="BN828" s="13"/>
      <c r="BO828" s="13"/>
      <c r="BP828" s="13"/>
      <c r="BQ828" s="13"/>
      <c r="BR828" s="13"/>
      <c r="BS828" s="13"/>
      <c r="BT828" s="13"/>
      <c r="BU828" s="13"/>
      <c r="BV828" s="13"/>
      <c r="BW828" s="13"/>
      <c r="BX828" s="13"/>
      <c r="BY828" s="13"/>
      <c r="BZ828" s="13"/>
      <c r="CA828" s="13"/>
      <c r="CB828" s="13"/>
      <c r="CC828" s="13"/>
      <c r="CD828" s="13"/>
      <c r="CE828" s="13"/>
      <c r="CF828" s="13"/>
      <c r="CG828" s="13"/>
      <c r="CH828" s="13"/>
      <c r="CI828" s="13"/>
      <c r="CJ828" s="13"/>
      <c r="CK828" s="13"/>
      <c r="CL828" s="13"/>
      <c r="CM828" s="13"/>
      <c r="CN828" s="13"/>
      <c r="CO828" s="13"/>
      <c r="CP828" s="13"/>
      <c r="CQ828" s="13"/>
      <c r="CR828" s="13"/>
      <c r="CS828" s="13"/>
      <c r="CT828" s="13"/>
      <c r="CU828" s="13"/>
    </row>
    <row r="829" spans="1:99" ht="12.75">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c r="AH829" s="13"/>
      <c r="AI829" s="13"/>
      <c r="AJ829" s="13"/>
      <c r="AK829" s="13"/>
      <c r="AL829" s="13"/>
      <c r="AM829" s="13"/>
      <c r="AN829" s="13"/>
      <c r="AO829" s="13"/>
      <c r="AP829" s="13"/>
      <c r="AQ829" s="13"/>
      <c r="AR829" s="13"/>
      <c r="AS829" s="13"/>
      <c r="AT829" s="13"/>
      <c r="AU829" s="13"/>
      <c r="AV829" s="13"/>
      <c r="AW829" s="13"/>
      <c r="AX829" s="13"/>
      <c r="AY829" s="13"/>
      <c r="AZ829" s="13"/>
      <c r="BA829" s="13"/>
      <c r="BB829" s="13"/>
      <c r="BC829" s="13"/>
      <c r="BD829" s="13"/>
      <c r="BE829" s="13"/>
      <c r="BF829" s="13"/>
      <c r="BG829" s="13"/>
      <c r="BH829" s="13"/>
      <c r="BI829" s="13"/>
      <c r="BJ829" s="13"/>
      <c r="BK829" s="13"/>
      <c r="BL829" s="13"/>
      <c r="BM829" s="13"/>
      <c r="BN829" s="13"/>
      <c r="BO829" s="13"/>
      <c r="BP829" s="13"/>
      <c r="BQ829" s="13"/>
      <c r="BR829" s="13"/>
      <c r="BS829" s="13"/>
      <c r="BT829" s="13"/>
      <c r="BU829" s="13"/>
      <c r="BV829" s="13"/>
      <c r="BW829" s="13"/>
      <c r="BX829" s="13"/>
      <c r="BY829" s="13"/>
      <c r="BZ829" s="13"/>
      <c r="CA829" s="13"/>
      <c r="CB829" s="13"/>
      <c r="CC829" s="13"/>
      <c r="CD829" s="13"/>
      <c r="CE829" s="13"/>
      <c r="CF829" s="13"/>
      <c r="CG829" s="13"/>
      <c r="CH829" s="13"/>
      <c r="CI829" s="13"/>
      <c r="CJ829" s="13"/>
      <c r="CK829" s="13"/>
      <c r="CL829" s="13"/>
      <c r="CM829" s="13"/>
      <c r="CN829" s="13"/>
      <c r="CO829" s="13"/>
      <c r="CP829" s="13"/>
      <c r="CQ829" s="13"/>
      <c r="CR829" s="13"/>
      <c r="CS829" s="13"/>
      <c r="CT829" s="13"/>
      <c r="CU829" s="13"/>
    </row>
    <row r="830" spans="1:99" ht="12.75">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c r="AO830" s="13"/>
      <c r="AP830" s="13"/>
      <c r="AQ830" s="13"/>
      <c r="AR830" s="13"/>
      <c r="AS830" s="13"/>
      <c r="AT830" s="13"/>
      <c r="AU830" s="13"/>
      <c r="AV830" s="13"/>
      <c r="AW830" s="13"/>
      <c r="AX830" s="13"/>
      <c r="AY830" s="13"/>
      <c r="AZ830" s="13"/>
      <c r="BA830" s="13"/>
      <c r="BB830" s="13"/>
      <c r="BC830" s="13"/>
      <c r="BD830" s="13"/>
      <c r="BE830" s="13"/>
      <c r="BF830" s="13"/>
      <c r="BG830" s="13"/>
      <c r="BH830" s="13"/>
      <c r="BI830" s="13"/>
      <c r="BJ830" s="13"/>
      <c r="BK830" s="13"/>
      <c r="BL830" s="13"/>
      <c r="BM830" s="13"/>
      <c r="BN830" s="13"/>
      <c r="BO830" s="13"/>
      <c r="BP830" s="13"/>
      <c r="BQ830" s="13"/>
      <c r="BR830" s="13"/>
      <c r="BS830" s="13"/>
      <c r="BT830" s="13"/>
      <c r="BU830" s="13"/>
      <c r="BV830" s="13"/>
      <c r="BW830" s="13"/>
      <c r="BX830" s="13"/>
      <c r="BY830" s="13"/>
      <c r="BZ830" s="13"/>
      <c r="CA830" s="13"/>
      <c r="CB830" s="13"/>
      <c r="CC830" s="13"/>
      <c r="CD830" s="13"/>
      <c r="CE830" s="13"/>
      <c r="CF830" s="13"/>
      <c r="CG830" s="13"/>
      <c r="CH830" s="13"/>
      <c r="CI830" s="13"/>
      <c r="CJ830" s="13"/>
      <c r="CK830" s="13"/>
      <c r="CL830" s="13"/>
      <c r="CM830" s="13"/>
      <c r="CN830" s="13"/>
      <c r="CO830" s="13"/>
      <c r="CP830" s="13"/>
      <c r="CQ830" s="13"/>
      <c r="CR830" s="13"/>
      <c r="CS830" s="13"/>
      <c r="CT830" s="13"/>
      <c r="CU830" s="13"/>
    </row>
    <row r="831" spans="1:99" ht="12.75">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c r="AH831" s="13"/>
      <c r="AI831" s="13"/>
      <c r="AJ831" s="13"/>
      <c r="AK831" s="13"/>
      <c r="AL831" s="13"/>
      <c r="AM831" s="13"/>
      <c r="AN831" s="13"/>
      <c r="AO831" s="13"/>
      <c r="AP831" s="13"/>
      <c r="AQ831" s="13"/>
      <c r="AR831" s="13"/>
      <c r="AS831" s="13"/>
      <c r="AT831" s="13"/>
      <c r="AU831" s="13"/>
      <c r="AV831" s="13"/>
      <c r="AW831" s="13"/>
      <c r="AX831" s="13"/>
      <c r="AY831" s="13"/>
      <c r="AZ831" s="13"/>
      <c r="BA831" s="13"/>
      <c r="BB831" s="13"/>
      <c r="BC831" s="13"/>
      <c r="BD831" s="13"/>
      <c r="BE831" s="13"/>
      <c r="BF831" s="13"/>
      <c r="BG831" s="13"/>
      <c r="BH831" s="13"/>
      <c r="BI831" s="13"/>
      <c r="BJ831" s="13"/>
      <c r="BK831" s="13"/>
      <c r="BL831" s="13"/>
      <c r="BM831" s="13"/>
      <c r="BN831" s="13"/>
      <c r="BO831" s="13"/>
      <c r="BP831" s="13"/>
      <c r="BQ831" s="13"/>
      <c r="BR831" s="13"/>
      <c r="BS831" s="13"/>
      <c r="BT831" s="13"/>
      <c r="BU831" s="13"/>
      <c r="BV831" s="13"/>
      <c r="BW831" s="13"/>
      <c r="BX831" s="13"/>
      <c r="BY831" s="13"/>
      <c r="BZ831" s="13"/>
      <c r="CA831" s="13"/>
      <c r="CB831" s="13"/>
      <c r="CC831" s="13"/>
      <c r="CD831" s="13"/>
      <c r="CE831" s="13"/>
      <c r="CF831" s="13"/>
      <c r="CG831" s="13"/>
      <c r="CH831" s="13"/>
      <c r="CI831" s="13"/>
      <c r="CJ831" s="13"/>
      <c r="CK831" s="13"/>
      <c r="CL831" s="13"/>
      <c r="CM831" s="13"/>
      <c r="CN831" s="13"/>
      <c r="CO831" s="13"/>
      <c r="CP831" s="13"/>
      <c r="CQ831" s="13"/>
      <c r="CR831" s="13"/>
      <c r="CS831" s="13"/>
      <c r="CT831" s="13"/>
      <c r="CU831" s="13"/>
    </row>
    <row r="832" spans="1:99" ht="12.75">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c r="AH832" s="13"/>
      <c r="AI832" s="13"/>
      <c r="AJ832" s="13"/>
      <c r="AK832" s="13"/>
      <c r="AL832" s="13"/>
      <c r="AM832" s="13"/>
      <c r="AN832" s="13"/>
      <c r="AO832" s="13"/>
      <c r="AP832" s="13"/>
      <c r="AQ832" s="13"/>
      <c r="AR832" s="13"/>
      <c r="AS832" s="13"/>
      <c r="AT832" s="13"/>
      <c r="AU832" s="13"/>
      <c r="AV832" s="13"/>
      <c r="AW832" s="13"/>
      <c r="AX832" s="13"/>
      <c r="AY832" s="13"/>
      <c r="AZ832" s="13"/>
      <c r="BA832" s="13"/>
      <c r="BB832" s="13"/>
      <c r="BC832" s="13"/>
      <c r="BD832" s="13"/>
      <c r="BE832" s="13"/>
      <c r="BF832" s="13"/>
      <c r="BG832" s="13"/>
      <c r="BH832" s="13"/>
      <c r="BI832" s="13"/>
      <c r="BJ832" s="13"/>
      <c r="BK832" s="13"/>
      <c r="BL832" s="13"/>
      <c r="BM832" s="13"/>
      <c r="BN832" s="13"/>
      <c r="BO832" s="13"/>
      <c r="BP832" s="13"/>
      <c r="BQ832" s="13"/>
      <c r="BR832" s="13"/>
      <c r="BS832" s="13"/>
      <c r="BT832" s="13"/>
      <c r="BU832" s="13"/>
      <c r="BV832" s="13"/>
      <c r="BW832" s="13"/>
      <c r="BX832" s="13"/>
      <c r="BY832" s="13"/>
      <c r="BZ832" s="13"/>
      <c r="CA832" s="13"/>
      <c r="CB832" s="13"/>
      <c r="CC832" s="13"/>
      <c r="CD832" s="13"/>
      <c r="CE832" s="13"/>
      <c r="CF832" s="13"/>
      <c r="CG832" s="13"/>
      <c r="CH832" s="13"/>
      <c r="CI832" s="13"/>
      <c r="CJ832" s="13"/>
      <c r="CK832" s="13"/>
      <c r="CL832" s="13"/>
      <c r="CM832" s="13"/>
      <c r="CN832" s="13"/>
      <c r="CO832" s="13"/>
      <c r="CP832" s="13"/>
      <c r="CQ832" s="13"/>
      <c r="CR832" s="13"/>
      <c r="CS832" s="13"/>
      <c r="CT832" s="13"/>
      <c r="CU832" s="13"/>
    </row>
    <row r="833" spans="1:99" ht="12.75">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c r="AH833" s="13"/>
      <c r="AI833" s="13"/>
      <c r="AJ833" s="13"/>
      <c r="AK833" s="13"/>
      <c r="AL833" s="13"/>
      <c r="AM833" s="13"/>
      <c r="AN833" s="13"/>
      <c r="AO833" s="13"/>
      <c r="AP833" s="13"/>
      <c r="AQ833" s="13"/>
      <c r="AR833" s="13"/>
      <c r="AS833" s="13"/>
      <c r="AT833" s="13"/>
      <c r="AU833" s="13"/>
      <c r="AV833" s="13"/>
      <c r="AW833" s="13"/>
      <c r="AX833" s="13"/>
      <c r="AY833" s="13"/>
      <c r="AZ833" s="13"/>
      <c r="BA833" s="13"/>
      <c r="BB833" s="13"/>
      <c r="BC833" s="13"/>
      <c r="BD833" s="13"/>
      <c r="BE833" s="13"/>
      <c r="BF833" s="13"/>
      <c r="BG833" s="13"/>
      <c r="BH833" s="13"/>
      <c r="BI833" s="13"/>
      <c r="BJ833" s="13"/>
      <c r="BK833" s="13"/>
      <c r="BL833" s="13"/>
      <c r="BM833" s="13"/>
      <c r="BN833" s="13"/>
      <c r="BO833" s="13"/>
      <c r="BP833" s="13"/>
      <c r="BQ833" s="13"/>
      <c r="BR833" s="13"/>
      <c r="BS833" s="13"/>
      <c r="BT833" s="13"/>
      <c r="BU833" s="13"/>
      <c r="BV833" s="13"/>
      <c r="BW833" s="13"/>
      <c r="BX833" s="13"/>
      <c r="BY833" s="13"/>
      <c r="BZ833" s="13"/>
      <c r="CA833" s="13"/>
      <c r="CB833" s="13"/>
      <c r="CC833" s="13"/>
      <c r="CD833" s="13"/>
      <c r="CE833" s="13"/>
      <c r="CF833" s="13"/>
      <c r="CG833" s="13"/>
      <c r="CH833" s="13"/>
      <c r="CI833" s="13"/>
      <c r="CJ833" s="13"/>
      <c r="CK833" s="13"/>
      <c r="CL833" s="13"/>
      <c r="CM833" s="13"/>
      <c r="CN833" s="13"/>
      <c r="CO833" s="13"/>
      <c r="CP833" s="13"/>
      <c r="CQ833" s="13"/>
      <c r="CR833" s="13"/>
      <c r="CS833" s="13"/>
      <c r="CT833" s="13"/>
      <c r="CU833" s="13"/>
    </row>
    <row r="834" spans="1:99" ht="12.75">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c r="AH834" s="13"/>
      <c r="AI834" s="13"/>
      <c r="AJ834" s="13"/>
      <c r="AK834" s="13"/>
      <c r="AL834" s="13"/>
      <c r="AM834" s="13"/>
      <c r="AN834" s="13"/>
      <c r="AO834" s="13"/>
      <c r="AP834" s="13"/>
      <c r="AQ834" s="13"/>
      <c r="AR834" s="13"/>
      <c r="AS834" s="13"/>
      <c r="AT834" s="13"/>
      <c r="AU834" s="13"/>
      <c r="AV834" s="13"/>
      <c r="AW834" s="13"/>
      <c r="AX834" s="13"/>
      <c r="AY834" s="13"/>
      <c r="AZ834" s="13"/>
      <c r="BA834" s="13"/>
      <c r="BB834" s="13"/>
      <c r="BC834" s="13"/>
      <c r="BD834" s="13"/>
      <c r="BE834" s="13"/>
      <c r="BF834" s="13"/>
      <c r="BG834" s="13"/>
      <c r="BH834" s="13"/>
      <c r="BI834" s="13"/>
      <c r="BJ834" s="13"/>
      <c r="BK834" s="13"/>
      <c r="BL834" s="13"/>
      <c r="BM834" s="13"/>
      <c r="BN834" s="13"/>
      <c r="BO834" s="13"/>
      <c r="BP834" s="13"/>
      <c r="BQ834" s="13"/>
      <c r="BR834" s="13"/>
      <c r="BS834" s="13"/>
      <c r="BT834" s="13"/>
      <c r="BU834" s="13"/>
      <c r="BV834" s="13"/>
      <c r="BW834" s="13"/>
      <c r="BX834" s="13"/>
      <c r="BY834" s="13"/>
      <c r="BZ834" s="13"/>
      <c r="CA834" s="13"/>
      <c r="CB834" s="13"/>
      <c r="CC834" s="13"/>
      <c r="CD834" s="13"/>
      <c r="CE834" s="13"/>
      <c r="CF834" s="13"/>
      <c r="CG834" s="13"/>
      <c r="CH834" s="13"/>
      <c r="CI834" s="13"/>
      <c r="CJ834" s="13"/>
      <c r="CK834" s="13"/>
      <c r="CL834" s="13"/>
      <c r="CM834" s="13"/>
      <c r="CN834" s="13"/>
      <c r="CO834" s="13"/>
      <c r="CP834" s="13"/>
      <c r="CQ834" s="13"/>
      <c r="CR834" s="13"/>
      <c r="CS834" s="13"/>
      <c r="CT834" s="13"/>
      <c r="CU834" s="13"/>
    </row>
    <row r="835" spans="1:99" ht="12.75">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c r="AH835" s="13"/>
      <c r="AI835" s="13"/>
      <c r="AJ835" s="13"/>
      <c r="AK835" s="13"/>
      <c r="AL835" s="13"/>
      <c r="AM835" s="13"/>
      <c r="AN835" s="13"/>
      <c r="AO835" s="13"/>
      <c r="AP835" s="13"/>
      <c r="AQ835" s="13"/>
      <c r="AR835" s="13"/>
      <c r="AS835" s="13"/>
      <c r="AT835" s="13"/>
      <c r="AU835" s="13"/>
      <c r="AV835" s="13"/>
      <c r="AW835" s="13"/>
      <c r="AX835" s="13"/>
      <c r="AY835" s="13"/>
      <c r="AZ835" s="13"/>
      <c r="BA835" s="13"/>
      <c r="BB835" s="13"/>
      <c r="BC835" s="13"/>
      <c r="BD835" s="13"/>
      <c r="BE835" s="13"/>
      <c r="BF835" s="13"/>
      <c r="BG835" s="13"/>
      <c r="BH835" s="13"/>
      <c r="BI835" s="13"/>
      <c r="BJ835" s="13"/>
      <c r="BK835" s="13"/>
      <c r="BL835" s="13"/>
      <c r="BM835" s="13"/>
      <c r="BN835" s="13"/>
      <c r="BO835" s="13"/>
      <c r="BP835" s="13"/>
      <c r="BQ835" s="13"/>
      <c r="BR835" s="13"/>
      <c r="BS835" s="13"/>
      <c r="BT835" s="13"/>
      <c r="BU835" s="13"/>
      <c r="BV835" s="13"/>
      <c r="BW835" s="13"/>
      <c r="BX835" s="13"/>
      <c r="BY835" s="13"/>
      <c r="BZ835" s="13"/>
      <c r="CA835" s="13"/>
      <c r="CB835" s="13"/>
      <c r="CC835" s="13"/>
      <c r="CD835" s="13"/>
      <c r="CE835" s="13"/>
      <c r="CF835" s="13"/>
      <c r="CG835" s="13"/>
      <c r="CH835" s="13"/>
      <c r="CI835" s="13"/>
      <c r="CJ835" s="13"/>
      <c r="CK835" s="13"/>
      <c r="CL835" s="13"/>
      <c r="CM835" s="13"/>
      <c r="CN835" s="13"/>
      <c r="CO835" s="13"/>
      <c r="CP835" s="13"/>
      <c r="CQ835" s="13"/>
      <c r="CR835" s="13"/>
      <c r="CS835" s="13"/>
      <c r="CT835" s="13"/>
      <c r="CU835" s="13"/>
    </row>
    <row r="836" spans="1:99" ht="12.75">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c r="AH836" s="13"/>
      <c r="AI836" s="13"/>
      <c r="AJ836" s="13"/>
      <c r="AK836" s="13"/>
      <c r="AL836" s="13"/>
      <c r="AM836" s="13"/>
      <c r="AN836" s="13"/>
      <c r="AO836" s="13"/>
      <c r="AP836" s="13"/>
      <c r="AQ836" s="13"/>
      <c r="AR836" s="13"/>
      <c r="AS836" s="13"/>
      <c r="AT836" s="13"/>
      <c r="AU836" s="13"/>
      <c r="AV836" s="13"/>
      <c r="AW836" s="13"/>
      <c r="AX836" s="13"/>
      <c r="AY836" s="13"/>
      <c r="AZ836" s="13"/>
      <c r="BA836" s="13"/>
      <c r="BB836" s="13"/>
      <c r="BC836" s="13"/>
      <c r="BD836" s="13"/>
      <c r="BE836" s="13"/>
      <c r="BF836" s="13"/>
      <c r="BG836" s="13"/>
      <c r="BH836" s="13"/>
      <c r="BI836" s="13"/>
      <c r="BJ836" s="13"/>
      <c r="BK836" s="13"/>
      <c r="BL836" s="13"/>
      <c r="BM836" s="13"/>
      <c r="BN836" s="13"/>
      <c r="BO836" s="13"/>
      <c r="BP836" s="13"/>
      <c r="BQ836" s="13"/>
      <c r="BR836" s="13"/>
      <c r="BS836" s="13"/>
      <c r="BT836" s="13"/>
      <c r="BU836" s="13"/>
      <c r="BV836" s="13"/>
      <c r="BW836" s="13"/>
      <c r="BX836" s="13"/>
      <c r="BY836" s="13"/>
      <c r="BZ836" s="13"/>
      <c r="CA836" s="13"/>
      <c r="CB836" s="13"/>
      <c r="CC836" s="13"/>
      <c r="CD836" s="13"/>
      <c r="CE836" s="13"/>
      <c r="CF836" s="13"/>
      <c r="CG836" s="13"/>
      <c r="CH836" s="13"/>
      <c r="CI836" s="13"/>
      <c r="CJ836" s="13"/>
      <c r="CK836" s="13"/>
      <c r="CL836" s="13"/>
      <c r="CM836" s="13"/>
      <c r="CN836" s="13"/>
      <c r="CO836" s="13"/>
      <c r="CP836" s="13"/>
      <c r="CQ836" s="13"/>
      <c r="CR836" s="13"/>
      <c r="CS836" s="13"/>
      <c r="CT836" s="13"/>
      <c r="CU836" s="13"/>
    </row>
    <row r="837" spans="1:99" ht="12.75">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c r="AH837" s="13"/>
      <c r="AI837" s="13"/>
      <c r="AJ837" s="13"/>
      <c r="AK837" s="13"/>
      <c r="AL837" s="13"/>
      <c r="AM837" s="13"/>
      <c r="AN837" s="13"/>
      <c r="AO837" s="13"/>
      <c r="AP837" s="13"/>
      <c r="AQ837" s="13"/>
      <c r="AR837" s="13"/>
      <c r="AS837" s="13"/>
      <c r="AT837" s="13"/>
      <c r="AU837" s="13"/>
      <c r="AV837" s="13"/>
      <c r="AW837" s="13"/>
      <c r="AX837" s="13"/>
      <c r="AY837" s="13"/>
      <c r="AZ837" s="13"/>
      <c r="BA837" s="13"/>
      <c r="BB837" s="13"/>
      <c r="BC837" s="13"/>
      <c r="BD837" s="13"/>
      <c r="BE837" s="13"/>
      <c r="BF837" s="13"/>
      <c r="BG837" s="13"/>
      <c r="BH837" s="13"/>
      <c r="BI837" s="13"/>
      <c r="BJ837" s="13"/>
      <c r="BK837" s="13"/>
      <c r="BL837" s="13"/>
      <c r="BM837" s="13"/>
      <c r="BN837" s="13"/>
      <c r="BO837" s="13"/>
      <c r="BP837" s="13"/>
      <c r="BQ837" s="13"/>
      <c r="BR837" s="13"/>
      <c r="BS837" s="13"/>
      <c r="BT837" s="13"/>
      <c r="BU837" s="13"/>
      <c r="BV837" s="13"/>
      <c r="BW837" s="13"/>
      <c r="BX837" s="13"/>
      <c r="BY837" s="13"/>
      <c r="BZ837" s="13"/>
      <c r="CA837" s="13"/>
      <c r="CB837" s="13"/>
      <c r="CC837" s="13"/>
      <c r="CD837" s="13"/>
      <c r="CE837" s="13"/>
      <c r="CF837" s="13"/>
      <c r="CG837" s="13"/>
      <c r="CH837" s="13"/>
      <c r="CI837" s="13"/>
      <c r="CJ837" s="13"/>
      <c r="CK837" s="13"/>
      <c r="CL837" s="13"/>
      <c r="CM837" s="13"/>
      <c r="CN837" s="13"/>
      <c r="CO837" s="13"/>
      <c r="CP837" s="13"/>
      <c r="CQ837" s="13"/>
      <c r="CR837" s="13"/>
      <c r="CS837" s="13"/>
      <c r="CT837" s="13"/>
      <c r="CU837" s="13"/>
    </row>
    <row r="838" spans="1:99" ht="12.75">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13"/>
      <c r="AO838" s="13"/>
      <c r="AP838" s="13"/>
      <c r="AQ838" s="13"/>
      <c r="AR838" s="13"/>
      <c r="AS838" s="13"/>
      <c r="AT838" s="13"/>
      <c r="AU838" s="13"/>
      <c r="AV838" s="13"/>
      <c r="AW838" s="13"/>
      <c r="AX838" s="13"/>
      <c r="AY838" s="13"/>
      <c r="AZ838" s="13"/>
      <c r="BA838" s="13"/>
      <c r="BB838" s="13"/>
      <c r="BC838" s="13"/>
      <c r="BD838" s="13"/>
      <c r="BE838" s="13"/>
      <c r="BF838" s="13"/>
      <c r="BG838" s="13"/>
      <c r="BH838" s="13"/>
      <c r="BI838" s="13"/>
      <c r="BJ838" s="13"/>
      <c r="BK838" s="13"/>
      <c r="BL838" s="13"/>
      <c r="BM838" s="13"/>
      <c r="BN838" s="13"/>
      <c r="BO838" s="13"/>
      <c r="BP838" s="13"/>
      <c r="BQ838" s="13"/>
      <c r="BR838" s="13"/>
      <c r="BS838" s="13"/>
      <c r="BT838" s="13"/>
      <c r="BU838" s="13"/>
      <c r="BV838" s="13"/>
      <c r="BW838" s="13"/>
      <c r="BX838" s="13"/>
      <c r="BY838" s="13"/>
      <c r="BZ838" s="13"/>
      <c r="CA838" s="13"/>
      <c r="CB838" s="13"/>
      <c r="CC838" s="13"/>
      <c r="CD838" s="13"/>
      <c r="CE838" s="13"/>
      <c r="CF838" s="13"/>
      <c r="CG838" s="13"/>
      <c r="CH838" s="13"/>
      <c r="CI838" s="13"/>
      <c r="CJ838" s="13"/>
      <c r="CK838" s="13"/>
      <c r="CL838" s="13"/>
      <c r="CM838" s="13"/>
      <c r="CN838" s="13"/>
      <c r="CO838" s="13"/>
      <c r="CP838" s="13"/>
      <c r="CQ838" s="13"/>
      <c r="CR838" s="13"/>
      <c r="CS838" s="13"/>
      <c r="CT838" s="13"/>
      <c r="CU838" s="13"/>
    </row>
    <row r="839" spans="1:99" ht="12.75">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c r="AH839" s="13"/>
      <c r="AI839" s="13"/>
      <c r="AJ839" s="13"/>
      <c r="AK839" s="13"/>
      <c r="AL839" s="13"/>
      <c r="AM839" s="13"/>
      <c r="AN839" s="13"/>
      <c r="AO839" s="13"/>
      <c r="AP839" s="13"/>
      <c r="AQ839" s="13"/>
      <c r="AR839" s="13"/>
      <c r="AS839" s="13"/>
      <c r="AT839" s="13"/>
      <c r="AU839" s="13"/>
      <c r="AV839" s="13"/>
      <c r="AW839" s="13"/>
      <c r="AX839" s="13"/>
      <c r="AY839" s="13"/>
      <c r="AZ839" s="13"/>
      <c r="BA839" s="13"/>
      <c r="BB839" s="13"/>
      <c r="BC839" s="13"/>
      <c r="BD839" s="13"/>
      <c r="BE839" s="13"/>
      <c r="BF839" s="13"/>
      <c r="BG839" s="13"/>
      <c r="BH839" s="13"/>
      <c r="BI839" s="13"/>
      <c r="BJ839" s="13"/>
      <c r="BK839" s="13"/>
      <c r="BL839" s="13"/>
      <c r="BM839" s="13"/>
      <c r="BN839" s="13"/>
      <c r="BO839" s="13"/>
      <c r="BP839" s="13"/>
      <c r="BQ839" s="13"/>
      <c r="BR839" s="13"/>
      <c r="BS839" s="13"/>
      <c r="BT839" s="13"/>
      <c r="BU839" s="13"/>
      <c r="BV839" s="13"/>
      <c r="BW839" s="13"/>
      <c r="BX839" s="13"/>
      <c r="BY839" s="13"/>
      <c r="BZ839" s="13"/>
      <c r="CA839" s="13"/>
      <c r="CB839" s="13"/>
      <c r="CC839" s="13"/>
      <c r="CD839" s="13"/>
      <c r="CE839" s="13"/>
      <c r="CF839" s="13"/>
      <c r="CG839" s="13"/>
      <c r="CH839" s="13"/>
      <c r="CI839" s="13"/>
      <c r="CJ839" s="13"/>
      <c r="CK839" s="13"/>
      <c r="CL839" s="13"/>
      <c r="CM839" s="13"/>
      <c r="CN839" s="13"/>
      <c r="CO839" s="13"/>
      <c r="CP839" s="13"/>
      <c r="CQ839" s="13"/>
      <c r="CR839" s="13"/>
      <c r="CS839" s="13"/>
      <c r="CT839" s="13"/>
      <c r="CU839" s="13"/>
    </row>
    <row r="840" spans="1:99" ht="12.75">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c r="AH840" s="13"/>
      <c r="AI840" s="13"/>
      <c r="AJ840" s="13"/>
      <c r="AK840" s="13"/>
      <c r="AL840" s="13"/>
      <c r="AM840" s="13"/>
      <c r="AN840" s="13"/>
      <c r="AO840" s="13"/>
      <c r="AP840" s="13"/>
      <c r="AQ840" s="13"/>
      <c r="AR840" s="13"/>
      <c r="AS840" s="13"/>
      <c r="AT840" s="13"/>
      <c r="AU840" s="13"/>
      <c r="AV840" s="13"/>
      <c r="AW840" s="13"/>
      <c r="AX840" s="13"/>
      <c r="AY840" s="13"/>
      <c r="AZ840" s="13"/>
      <c r="BA840" s="13"/>
      <c r="BB840" s="13"/>
      <c r="BC840" s="13"/>
      <c r="BD840" s="13"/>
      <c r="BE840" s="13"/>
      <c r="BF840" s="13"/>
      <c r="BG840" s="13"/>
      <c r="BH840" s="13"/>
      <c r="BI840" s="13"/>
      <c r="BJ840" s="13"/>
      <c r="BK840" s="13"/>
      <c r="BL840" s="13"/>
      <c r="BM840" s="13"/>
      <c r="BN840" s="13"/>
      <c r="BO840" s="13"/>
      <c r="BP840" s="13"/>
      <c r="BQ840" s="13"/>
      <c r="BR840" s="13"/>
      <c r="BS840" s="13"/>
      <c r="BT840" s="13"/>
      <c r="BU840" s="13"/>
      <c r="BV840" s="13"/>
      <c r="BW840" s="13"/>
      <c r="BX840" s="13"/>
      <c r="BY840" s="13"/>
      <c r="BZ840" s="13"/>
      <c r="CA840" s="13"/>
      <c r="CB840" s="13"/>
      <c r="CC840" s="13"/>
      <c r="CD840" s="13"/>
      <c r="CE840" s="13"/>
      <c r="CF840" s="13"/>
      <c r="CG840" s="13"/>
      <c r="CH840" s="13"/>
      <c r="CI840" s="13"/>
      <c r="CJ840" s="13"/>
      <c r="CK840" s="13"/>
      <c r="CL840" s="13"/>
      <c r="CM840" s="13"/>
      <c r="CN840" s="13"/>
      <c r="CO840" s="13"/>
      <c r="CP840" s="13"/>
      <c r="CQ840" s="13"/>
      <c r="CR840" s="13"/>
      <c r="CS840" s="13"/>
      <c r="CT840" s="13"/>
      <c r="CU840" s="13"/>
    </row>
    <row r="841" spans="1:99" ht="12.75">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c r="AH841" s="13"/>
      <c r="AI841" s="13"/>
      <c r="AJ841" s="13"/>
      <c r="AK841" s="13"/>
      <c r="AL841" s="13"/>
      <c r="AM841" s="13"/>
      <c r="AN841" s="13"/>
      <c r="AO841" s="13"/>
      <c r="AP841" s="13"/>
      <c r="AQ841" s="13"/>
      <c r="AR841" s="13"/>
      <c r="AS841" s="13"/>
      <c r="AT841" s="13"/>
      <c r="AU841" s="13"/>
      <c r="AV841" s="13"/>
      <c r="AW841" s="13"/>
      <c r="AX841" s="13"/>
      <c r="AY841" s="13"/>
      <c r="AZ841" s="13"/>
      <c r="BA841" s="13"/>
      <c r="BB841" s="13"/>
      <c r="BC841" s="13"/>
      <c r="BD841" s="13"/>
      <c r="BE841" s="13"/>
      <c r="BF841" s="13"/>
      <c r="BG841" s="13"/>
      <c r="BH841" s="13"/>
      <c r="BI841" s="13"/>
      <c r="BJ841" s="13"/>
      <c r="BK841" s="13"/>
      <c r="BL841" s="13"/>
      <c r="BM841" s="13"/>
      <c r="BN841" s="13"/>
      <c r="BO841" s="13"/>
      <c r="BP841" s="13"/>
      <c r="BQ841" s="13"/>
      <c r="BR841" s="13"/>
      <c r="BS841" s="13"/>
      <c r="BT841" s="13"/>
      <c r="BU841" s="13"/>
      <c r="BV841" s="13"/>
      <c r="BW841" s="13"/>
      <c r="BX841" s="13"/>
      <c r="BY841" s="13"/>
      <c r="BZ841" s="13"/>
      <c r="CA841" s="13"/>
      <c r="CB841" s="13"/>
      <c r="CC841" s="13"/>
      <c r="CD841" s="13"/>
      <c r="CE841" s="13"/>
      <c r="CF841" s="13"/>
      <c r="CG841" s="13"/>
      <c r="CH841" s="13"/>
      <c r="CI841" s="13"/>
      <c r="CJ841" s="13"/>
      <c r="CK841" s="13"/>
      <c r="CL841" s="13"/>
      <c r="CM841" s="13"/>
      <c r="CN841" s="13"/>
      <c r="CO841" s="13"/>
      <c r="CP841" s="13"/>
      <c r="CQ841" s="13"/>
      <c r="CR841" s="13"/>
      <c r="CS841" s="13"/>
      <c r="CT841" s="13"/>
      <c r="CU841" s="13"/>
    </row>
    <row r="842" spans="1:99" ht="12.75">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c r="AH842" s="13"/>
      <c r="AI842" s="13"/>
      <c r="AJ842" s="13"/>
      <c r="AK842" s="13"/>
      <c r="AL842" s="13"/>
      <c r="AM842" s="13"/>
      <c r="AN842" s="13"/>
      <c r="AO842" s="13"/>
      <c r="AP842" s="13"/>
      <c r="AQ842" s="13"/>
      <c r="AR842" s="13"/>
      <c r="AS842" s="13"/>
      <c r="AT842" s="13"/>
      <c r="AU842" s="13"/>
      <c r="AV842" s="13"/>
      <c r="AW842" s="13"/>
      <c r="AX842" s="13"/>
      <c r="AY842" s="13"/>
      <c r="AZ842" s="13"/>
      <c r="BA842" s="13"/>
      <c r="BB842" s="13"/>
      <c r="BC842" s="13"/>
      <c r="BD842" s="13"/>
      <c r="BE842" s="13"/>
      <c r="BF842" s="13"/>
      <c r="BG842" s="13"/>
      <c r="BH842" s="13"/>
      <c r="BI842" s="13"/>
      <c r="BJ842" s="13"/>
      <c r="BK842" s="13"/>
      <c r="BL842" s="13"/>
      <c r="BM842" s="13"/>
      <c r="BN842" s="13"/>
      <c r="BO842" s="13"/>
      <c r="BP842" s="13"/>
      <c r="BQ842" s="13"/>
      <c r="BR842" s="13"/>
      <c r="BS842" s="13"/>
      <c r="BT842" s="13"/>
      <c r="BU842" s="13"/>
      <c r="BV842" s="13"/>
      <c r="BW842" s="13"/>
      <c r="BX842" s="13"/>
      <c r="BY842" s="13"/>
      <c r="BZ842" s="13"/>
      <c r="CA842" s="13"/>
      <c r="CB842" s="13"/>
      <c r="CC842" s="13"/>
      <c r="CD842" s="13"/>
      <c r="CE842" s="13"/>
      <c r="CF842" s="13"/>
      <c r="CG842" s="13"/>
      <c r="CH842" s="13"/>
      <c r="CI842" s="13"/>
      <c r="CJ842" s="13"/>
      <c r="CK842" s="13"/>
      <c r="CL842" s="13"/>
      <c r="CM842" s="13"/>
      <c r="CN842" s="13"/>
      <c r="CO842" s="13"/>
      <c r="CP842" s="13"/>
      <c r="CQ842" s="13"/>
      <c r="CR842" s="13"/>
      <c r="CS842" s="13"/>
      <c r="CT842" s="13"/>
      <c r="CU842" s="13"/>
    </row>
    <row r="843" spans="1:99" ht="12.75">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c r="AH843" s="13"/>
      <c r="AI843" s="13"/>
      <c r="AJ843" s="13"/>
      <c r="AK843" s="13"/>
      <c r="AL843" s="13"/>
      <c r="AM843" s="13"/>
      <c r="AN843" s="13"/>
      <c r="AO843" s="13"/>
      <c r="AP843" s="13"/>
      <c r="AQ843" s="13"/>
      <c r="AR843" s="13"/>
      <c r="AS843" s="13"/>
      <c r="AT843" s="13"/>
      <c r="AU843" s="13"/>
      <c r="AV843" s="13"/>
      <c r="AW843" s="13"/>
      <c r="AX843" s="13"/>
      <c r="AY843" s="13"/>
      <c r="AZ843" s="13"/>
      <c r="BA843" s="13"/>
      <c r="BB843" s="13"/>
      <c r="BC843" s="13"/>
      <c r="BD843" s="13"/>
      <c r="BE843" s="13"/>
      <c r="BF843" s="13"/>
      <c r="BG843" s="13"/>
      <c r="BH843" s="13"/>
      <c r="BI843" s="13"/>
      <c r="BJ843" s="13"/>
      <c r="BK843" s="13"/>
      <c r="BL843" s="13"/>
      <c r="BM843" s="13"/>
      <c r="BN843" s="13"/>
      <c r="BO843" s="13"/>
      <c r="BP843" s="13"/>
      <c r="BQ843" s="13"/>
      <c r="BR843" s="13"/>
      <c r="BS843" s="13"/>
      <c r="BT843" s="13"/>
      <c r="BU843" s="13"/>
      <c r="BV843" s="13"/>
      <c r="BW843" s="13"/>
      <c r="BX843" s="13"/>
      <c r="BY843" s="13"/>
      <c r="BZ843" s="13"/>
      <c r="CA843" s="13"/>
      <c r="CB843" s="13"/>
      <c r="CC843" s="13"/>
      <c r="CD843" s="13"/>
      <c r="CE843" s="13"/>
      <c r="CF843" s="13"/>
      <c r="CG843" s="13"/>
      <c r="CH843" s="13"/>
      <c r="CI843" s="13"/>
      <c r="CJ843" s="13"/>
      <c r="CK843" s="13"/>
      <c r="CL843" s="13"/>
      <c r="CM843" s="13"/>
      <c r="CN843" s="13"/>
      <c r="CO843" s="13"/>
      <c r="CP843" s="13"/>
      <c r="CQ843" s="13"/>
      <c r="CR843" s="13"/>
      <c r="CS843" s="13"/>
      <c r="CT843" s="13"/>
      <c r="CU843" s="13"/>
    </row>
    <row r="844" spans="1:99" ht="12.75">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c r="AH844" s="13"/>
      <c r="AI844" s="13"/>
      <c r="AJ844" s="13"/>
      <c r="AK844" s="13"/>
      <c r="AL844" s="13"/>
      <c r="AM844" s="13"/>
      <c r="AN844" s="13"/>
      <c r="AO844" s="13"/>
      <c r="AP844" s="13"/>
      <c r="AQ844" s="13"/>
      <c r="AR844" s="13"/>
      <c r="AS844" s="13"/>
      <c r="AT844" s="13"/>
      <c r="AU844" s="13"/>
      <c r="AV844" s="13"/>
      <c r="AW844" s="13"/>
      <c r="AX844" s="13"/>
      <c r="AY844" s="13"/>
      <c r="AZ844" s="13"/>
      <c r="BA844" s="13"/>
      <c r="BB844" s="13"/>
      <c r="BC844" s="13"/>
      <c r="BD844" s="13"/>
      <c r="BE844" s="13"/>
      <c r="BF844" s="13"/>
      <c r="BG844" s="13"/>
      <c r="BH844" s="13"/>
      <c r="BI844" s="13"/>
      <c r="BJ844" s="13"/>
      <c r="BK844" s="13"/>
      <c r="BL844" s="13"/>
      <c r="BM844" s="13"/>
      <c r="BN844" s="13"/>
      <c r="BO844" s="13"/>
      <c r="BP844" s="13"/>
      <c r="BQ844" s="13"/>
      <c r="BR844" s="13"/>
      <c r="BS844" s="13"/>
      <c r="BT844" s="13"/>
      <c r="BU844" s="13"/>
      <c r="BV844" s="13"/>
      <c r="BW844" s="13"/>
      <c r="BX844" s="13"/>
      <c r="BY844" s="13"/>
      <c r="BZ844" s="13"/>
      <c r="CA844" s="13"/>
      <c r="CB844" s="13"/>
      <c r="CC844" s="13"/>
      <c r="CD844" s="13"/>
      <c r="CE844" s="13"/>
      <c r="CF844" s="13"/>
      <c r="CG844" s="13"/>
      <c r="CH844" s="13"/>
      <c r="CI844" s="13"/>
      <c r="CJ844" s="13"/>
      <c r="CK844" s="13"/>
      <c r="CL844" s="13"/>
      <c r="CM844" s="13"/>
      <c r="CN844" s="13"/>
      <c r="CO844" s="13"/>
      <c r="CP844" s="13"/>
      <c r="CQ844" s="13"/>
      <c r="CR844" s="13"/>
      <c r="CS844" s="13"/>
      <c r="CT844" s="13"/>
      <c r="CU844" s="13"/>
    </row>
    <row r="845" spans="1:99" ht="12.75">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c r="AH845" s="13"/>
      <c r="AI845" s="13"/>
      <c r="AJ845" s="13"/>
      <c r="AK845" s="13"/>
      <c r="AL845" s="13"/>
      <c r="AM845" s="13"/>
      <c r="AN845" s="13"/>
      <c r="AO845" s="13"/>
      <c r="AP845" s="13"/>
      <c r="AQ845" s="13"/>
      <c r="AR845" s="13"/>
      <c r="AS845" s="13"/>
      <c r="AT845" s="13"/>
      <c r="AU845" s="13"/>
      <c r="AV845" s="13"/>
      <c r="AW845" s="13"/>
      <c r="AX845" s="13"/>
      <c r="AY845" s="13"/>
      <c r="AZ845" s="13"/>
      <c r="BA845" s="13"/>
      <c r="BB845" s="13"/>
      <c r="BC845" s="13"/>
      <c r="BD845" s="13"/>
      <c r="BE845" s="13"/>
      <c r="BF845" s="13"/>
      <c r="BG845" s="13"/>
      <c r="BH845" s="13"/>
      <c r="BI845" s="13"/>
      <c r="BJ845" s="13"/>
      <c r="BK845" s="13"/>
      <c r="BL845" s="13"/>
      <c r="BM845" s="13"/>
      <c r="BN845" s="13"/>
      <c r="BO845" s="13"/>
      <c r="BP845" s="13"/>
      <c r="BQ845" s="13"/>
      <c r="BR845" s="13"/>
      <c r="BS845" s="13"/>
      <c r="BT845" s="13"/>
      <c r="BU845" s="13"/>
      <c r="BV845" s="13"/>
      <c r="BW845" s="13"/>
      <c r="BX845" s="13"/>
      <c r="BY845" s="13"/>
      <c r="BZ845" s="13"/>
      <c r="CA845" s="13"/>
      <c r="CB845" s="13"/>
      <c r="CC845" s="13"/>
      <c r="CD845" s="13"/>
      <c r="CE845" s="13"/>
      <c r="CF845" s="13"/>
      <c r="CG845" s="13"/>
      <c r="CH845" s="13"/>
      <c r="CI845" s="13"/>
      <c r="CJ845" s="13"/>
      <c r="CK845" s="13"/>
      <c r="CL845" s="13"/>
      <c r="CM845" s="13"/>
      <c r="CN845" s="13"/>
      <c r="CO845" s="13"/>
      <c r="CP845" s="13"/>
      <c r="CQ845" s="13"/>
      <c r="CR845" s="13"/>
      <c r="CS845" s="13"/>
      <c r="CT845" s="13"/>
      <c r="CU845" s="13"/>
    </row>
    <row r="846" spans="1:99" ht="12.75">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c r="AO846" s="13"/>
      <c r="AP846" s="13"/>
      <c r="AQ846" s="13"/>
      <c r="AR846" s="13"/>
      <c r="AS846" s="13"/>
      <c r="AT846" s="13"/>
      <c r="AU846" s="13"/>
      <c r="AV846" s="13"/>
      <c r="AW846" s="13"/>
      <c r="AX846" s="13"/>
      <c r="AY846" s="13"/>
      <c r="AZ846" s="13"/>
      <c r="BA846" s="13"/>
      <c r="BB846" s="13"/>
      <c r="BC846" s="13"/>
      <c r="BD846" s="13"/>
      <c r="BE846" s="13"/>
      <c r="BF846" s="13"/>
      <c r="BG846" s="13"/>
      <c r="BH846" s="13"/>
      <c r="BI846" s="13"/>
      <c r="BJ846" s="13"/>
      <c r="BK846" s="13"/>
      <c r="BL846" s="13"/>
      <c r="BM846" s="13"/>
      <c r="BN846" s="13"/>
      <c r="BO846" s="13"/>
      <c r="BP846" s="13"/>
      <c r="BQ846" s="13"/>
      <c r="BR846" s="13"/>
      <c r="BS846" s="13"/>
      <c r="BT846" s="13"/>
      <c r="BU846" s="13"/>
      <c r="BV846" s="13"/>
      <c r="BW846" s="13"/>
      <c r="BX846" s="13"/>
      <c r="BY846" s="13"/>
      <c r="BZ846" s="13"/>
      <c r="CA846" s="13"/>
      <c r="CB846" s="13"/>
      <c r="CC846" s="13"/>
      <c r="CD846" s="13"/>
      <c r="CE846" s="13"/>
      <c r="CF846" s="13"/>
      <c r="CG846" s="13"/>
      <c r="CH846" s="13"/>
      <c r="CI846" s="13"/>
      <c r="CJ846" s="13"/>
      <c r="CK846" s="13"/>
      <c r="CL846" s="13"/>
      <c r="CM846" s="13"/>
      <c r="CN846" s="13"/>
      <c r="CO846" s="13"/>
      <c r="CP846" s="13"/>
      <c r="CQ846" s="13"/>
      <c r="CR846" s="13"/>
      <c r="CS846" s="13"/>
      <c r="CT846" s="13"/>
      <c r="CU846" s="13"/>
    </row>
    <row r="847" spans="1:99" ht="12.75">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c r="AH847" s="13"/>
      <c r="AI847" s="13"/>
      <c r="AJ847" s="13"/>
      <c r="AK847" s="13"/>
      <c r="AL847" s="13"/>
      <c r="AM847" s="13"/>
      <c r="AN847" s="13"/>
      <c r="AO847" s="13"/>
      <c r="AP847" s="13"/>
      <c r="AQ847" s="13"/>
      <c r="AR847" s="13"/>
      <c r="AS847" s="13"/>
      <c r="AT847" s="13"/>
      <c r="AU847" s="13"/>
      <c r="AV847" s="13"/>
      <c r="AW847" s="13"/>
      <c r="AX847" s="13"/>
      <c r="AY847" s="13"/>
      <c r="AZ847" s="13"/>
      <c r="BA847" s="13"/>
      <c r="BB847" s="13"/>
      <c r="BC847" s="13"/>
      <c r="BD847" s="13"/>
      <c r="BE847" s="13"/>
      <c r="BF847" s="13"/>
      <c r="BG847" s="13"/>
      <c r="BH847" s="13"/>
      <c r="BI847" s="13"/>
      <c r="BJ847" s="13"/>
      <c r="BK847" s="13"/>
      <c r="BL847" s="13"/>
      <c r="BM847" s="13"/>
      <c r="BN847" s="13"/>
      <c r="BO847" s="13"/>
      <c r="BP847" s="13"/>
      <c r="BQ847" s="13"/>
      <c r="BR847" s="13"/>
      <c r="BS847" s="13"/>
      <c r="BT847" s="13"/>
      <c r="BU847" s="13"/>
      <c r="BV847" s="13"/>
      <c r="BW847" s="13"/>
      <c r="BX847" s="13"/>
      <c r="BY847" s="13"/>
      <c r="BZ847" s="13"/>
      <c r="CA847" s="13"/>
      <c r="CB847" s="13"/>
      <c r="CC847" s="13"/>
      <c r="CD847" s="13"/>
      <c r="CE847" s="13"/>
      <c r="CF847" s="13"/>
      <c r="CG847" s="13"/>
      <c r="CH847" s="13"/>
      <c r="CI847" s="13"/>
      <c r="CJ847" s="13"/>
      <c r="CK847" s="13"/>
      <c r="CL847" s="13"/>
      <c r="CM847" s="13"/>
      <c r="CN847" s="13"/>
      <c r="CO847" s="13"/>
      <c r="CP847" s="13"/>
      <c r="CQ847" s="13"/>
      <c r="CR847" s="13"/>
      <c r="CS847" s="13"/>
      <c r="CT847" s="13"/>
      <c r="CU847" s="13"/>
    </row>
    <row r="848" spans="1:99" ht="12.75">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c r="AH848" s="13"/>
      <c r="AI848" s="13"/>
      <c r="AJ848" s="13"/>
      <c r="AK848" s="13"/>
      <c r="AL848" s="13"/>
      <c r="AM848" s="13"/>
      <c r="AN848" s="13"/>
      <c r="AO848" s="13"/>
      <c r="AP848" s="13"/>
      <c r="AQ848" s="13"/>
      <c r="AR848" s="13"/>
      <c r="AS848" s="13"/>
      <c r="AT848" s="13"/>
      <c r="AU848" s="13"/>
      <c r="AV848" s="13"/>
      <c r="AW848" s="13"/>
      <c r="AX848" s="13"/>
      <c r="AY848" s="13"/>
      <c r="AZ848" s="13"/>
      <c r="BA848" s="13"/>
      <c r="BB848" s="13"/>
      <c r="BC848" s="13"/>
      <c r="BD848" s="13"/>
      <c r="BE848" s="13"/>
      <c r="BF848" s="13"/>
      <c r="BG848" s="13"/>
      <c r="BH848" s="13"/>
      <c r="BI848" s="13"/>
      <c r="BJ848" s="13"/>
      <c r="BK848" s="13"/>
      <c r="BL848" s="13"/>
      <c r="BM848" s="13"/>
      <c r="BN848" s="13"/>
      <c r="BO848" s="13"/>
      <c r="BP848" s="13"/>
      <c r="BQ848" s="13"/>
      <c r="BR848" s="13"/>
      <c r="BS848" s="13"/>
      <c r="BT848" s="13"/>
      <c r="BU848" s="13"/>
      <c r="BV848" s="13"/>
      <c r="BW848" s="13"/>
      <c r="BX848" s="13"/>
      <c r="BY848" s="13"/>
      <c r="BZ848" s="13"/>
      <c r="CA848" s="13"/>
      <c r="CB848" s="13"/>
      <c r="CC848" s="13"/>
      <c r="CD848" s="13"/>
      <c r="CE848" s="13"/>
      <c r="CF848" s="13"/>
      <c r="CG848" s="13"/>
      <c r="CH848" s="13"/>
      <c r="CI848" s="13"/>
      <c r="CJ848" s="13"/>
      <c r="CK848" s="13"/>
      <c r="CL848" s="13"/>
      <c r="CM848" s="13"/>
      <c r="CN848" s="13"/>
      <c r="CO848" s="13"/>
      <c r="CP848" s="13"/>
      <c r="CQ848" s="13"/>
      <c r="CR848" s="13"/>
      <c r="CS848" s="13"/>
      <c r="CT848" s="13"/>
      <c r="CU848" s="13"/>
    </row>
    <row r="849" spans="1:99" ht="12.75">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c r="AH849" s="13"/>
      <c r="AI849" s="13"/>
      <c r="AJ849" s="13"/>
      <c r="AK849" s="13"/>
      <c r="AL849" s="13"/>
      <c r="AM849" s="13"/>
      <c r="AN849" s="13"/>
      <c r="AO849" s="13"/>
      <c r="AP849" s="13"/>
      <c r="AQ849" s="13"/>
      <c r="AR849" s="13"/>
      <c r="AS849" s="13"/>
      <c r="AT849" s="13"/>
      <c r="AU849" s="13"/>
      <c r="AV849" s="13"/>
      <c r="AW849" s="13"/>
      <c r="AX849" s="13"/>
      <c r="AY849" s="13"/>
      <c r="AZ849" s="13"/>
      <c r="BA849" s="13"/>
      <c r="BB849" s="13"/>
      <c r="BC849" s="13"/>
      <c r="BD849" s="13"/>
      <c r="BE849" s="13"/>
      <c r="BF849" s="13"/>
      <c r="BG849" s="13"/>
      <c r="BH849" s="13"/>
      <c r="BI849" s="13"/>
      <c r="BJ849" s="13"/>
      <c r="BK849" s="13"/>
      <c r="BL849" s="13"/>
      <c r="BM849" s="13"/>
      <c r="BN849" s="13"/>
      <c r="BO849" s="13"/>
      <c r="BP849" s="13"/>
      <c r="BQ849" s="13"/>
      <c r="BR849" s="13"/>
      <c r="BS849" s="13"/>
      <c r="BT849" s="13"/>
      <c r="BU849" s="13"/>
      <c r="BV849" s="13"/>
      <c r="BW849" s="13"/>
      <c r="BX849" s="13"/>
      <c r="BY849" s="13"/>
      <c r="BZ849" s="13"/>
      <c r="CA849" s="13"/>
      <c r="CB849" s="13"/>
      <c r="CC849" s="13"/>
      <c r="CD849" s="13"/>
      <c r="CE849" s="13"/>
      <c r="CF849" s="13"/>
      <c r="CG849" s="13"/>
      <c r="CH849" s="13"/>
      <c r="CI849" s="13"/>
      <c r="CJ849" s="13"/>
      <c r="CK849" s="13"/>
      <c r="CL849" s="13"/>
      <c r="CM849" s="13"/>
      <c r="CN849" s="13"/>
      <c r="CO849" s="13"/>
      <c r="CP849" s="13"/>
      <c r="CQ849" s="13"/>
      <c r="CR849" s="13"/>
      <c r="CS849" s="13"/>
      <c r="CT849" s="13"/>
      <c r="CU849" s="13"/>
    </row>
    <row r="850" spans="1:99" ht="12.75">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c r="AH850" s="13"/>
      <c r="AI850" s="13"/>
      <c r="AJ850" s="13"/>
      <c r="AK850" s="13"/>
      <c r="AL850" s="13"/>
      <c r="AM850" s="13"/>
      <c r="AN850" s="13"/>
      <c r="AO850" s="13"/>
      <c r="AP850" s="13"/>
      <c r="AQ850" s="13"/>
      <c r="AR850" s="13"/>
      <c r="AS850" s="13"/>
      <c r="AT850" s="13"/>
      <c r="AU850" s="13"/>
      <c r="AV850" s="13"/>
      <c r="AW850" s="13"/>
      <c r="AX850" s="13"/>
      <c r="AY850" s="13"/>
      <c r="AZ850" s="13"/>
      <c r="BA850" s="13"/>
      <c r="BB850" s="13"/>
      <c r="BC850" s="13"/>
      <c r="BD850" s="13"/>
      <c r="BE850" s="13"/>
      <c r="BF850" s="13"/>
      <c r="BG850" s="13"/>
      <c r="BH850" s="13"/>
      <c r="BI850" s="13"/>
      <c r="BJ850" s="13"/>
      <c r="BK850" s="13"/>
      <c r="BL850" s="13"/>
      <c r="BM850" s="13"/>
      <c r="BN850" s="13"/>
      <c r="BO850" s="13"/>
      <c r="BP850" s="13"/>
      <c r="BQ850" s="13"/>
      <c r="BR850" s="13"/>
      <c r="BS850" s="13"/>
      <c r="BT850" s="13"/>
      <c r="BU850" s="13"/>
      <c r="BV850" s="13"/>
      <c r="BW850" s="13"/>
      <c r="BX850" s="13"/>
      <c r="BY850" s="13"/>
      <c r="BZ850" s="13"/>
      <c r="CA850" s="13"/>
      <c r="CB850" s="13"/>
      <c r="CC850" s="13"/>
      <c r="CD850" s="13"/>
      <c r="CE850" s="13"/>
      <c r="CF850" s="13"/>
      <c r="CG850" s="13"/>
      <c r="CH850" s="13"/>
      <c r="CI850" s="13"/>
      <c r="CJ850" s="13"/>
      <c r="CK850" s="13"/>
      <c r="CL850" s="13"/>
      <c r="CM850" s="13"/>
      <c r="CN850" s="13"/>
      <c r="CO850" s="13"/>
      <c r="CP850" s="13"/>
      <c r="CQ850" s="13"/>
      <c r="CR850" s="13"/>
      <c r="CS850" s="13"/>
      <c r="CT850" s="13"/>
      <c r="CU850" s="13"/>
    </row>
    <row r="851" spans="1:99" ht="12.75">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c r="AH851" s="13"/>
      <c r="AI851" s="13"/>
      <c r="AJ851" s="13"/>
      <c r="AK851" s="13"/>
      <c r="AL851" s="13"/>
      <c r="AM851" s="13"/>
      <c r="AN851" s="13"/>
      <c r="AO851" s="13"/>
      <c r="AP851" s="13"/>
      <c r="AQ851" s="13"/>
      <c r="AR851" s="13"/>
      <c r="AS851" s="13"/>
      <c r="AT851" s="13"/>
      <c r="AU851" s="13"/>
      <c r="AV851" s="13"/>
      <c r="AW851" s="13"/>
      <c r="AX851" s="13"/>
      <c r="AY851" s="13"/>
      <c r="AZ851" s="13"/>
      <c r="BA851" s="13"/>
      <c r="BB851" s="13"/>
      <c r="BC851" s="13"/>
      <c r="BD851" s="13"/>
      <c r="BE851" s="13"/>
      <c r="BF851" s="13"/>
      <c r="BG851" s="13"/>
      <c r="BH851" s="13"/>
      <c r="BI851" s="13"/>
      <c r="BJ851" s="13"/>
      <c r="BK851" s="13"/>
      <c r="BL851" s="13"/>
      <c r="BM851" s="13"/>
      <c r="BN851" s="13"/>
      <c r="BO851" s="13"/>
      <c r="BP851" s="13"/>
      <c r="BQ851" s="13"/>
      <c r="BR851" s="13"/>
      <c r="BS851" s="13"/>
      <c r="BT851" s="13"/>
      <c r="BU851" s="13"/>
      <c r="BV851" s="13"/>
      <c r="BW851" s="13"/>
      <c r="BX851" s="13"/>
      <c r="BY851" s="13"/>
      <c r="BZ851" s="13"/>
      <c r="CA851" s="13"/>
      <c r="CB851" s="13"/>
      <c r="CC851" s="13"/>
      <c r="CD851" s="13"/>
      <c r="CE851" s="13"/>
      <c r="CF851" s="13"/>
      <c r="CG851" s="13"/>
      <c r="CH851" s="13"/>
      <c r="CI851" s="13"/>
      <c r="CJ851" s="13"/>
      <c r="CK851" s="13"/>
      <c r="CL851" s="13"/>
      <c r="CM851" s="13"/>
      <c r="CN851" s="13"/>
      <c r="CO851" s="13"/>
      <c r="CP851" s="13"/>
      <c r="CQ851" s="13"/>
      <c r="CR851" s="13"/>
      <c r="CS851" s="13"/>
      <c r="CT851" s="13"/>
      <c r="CU851" s="13"/>
    </row>
    <row r="852" spans="1:99" ht="12.75">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c r="AH852" s="13"/>
      <c r="AI852" s="13"/>
      <c r="AJ852" s="13"/>
      <c r="AK852" s="13"/>
      <c r="AL852" s="13"/>
      <c r="AM852" s="13"/>
      <c r="AN852" s="13"/>
      <c r="AO852" s="13"/>
      <c r="AP852" s="13"/>
      <c r="AQ852" s="13"/>
      <c r="AR852" s="13"/>
      <c r="AS852" s="13"/>
      <c r="AT852" s="13"/>
      <c r="AU852" s="13"/>
      <c r="AV852" s="13"/>
      <c r="AW852" s="13"/>
      <c r="AX852" s="13"/>
      <c r="AY852" s="13"/>
      <c r="AZ852" s="13"/>
      <c r="BA852" s="13"/>
      <c r="BB852" s="13"/>
      <c r="BC852" s="13"/>
      <c r="BD852" s="13"/>
      <c r="BE852" s="13"/>
      <c r="BF852" s="13"/>
      <c r="BG852" s="13"/>
      <c r="BH852" s="13"/>
      <c r="BI852" s="13"/>
      <c r="BJ852" s="13"/>
      <c r="BK852" s="13"/>
      <c r="BL852" s="13"/>
      <c r="BM852" s="13"/>
      <c r="BN852" s="13"/>
      <c r="BO852" s="13"/>
      <c r="BP852" s="13"/>
      <c r="BQ852" s="13"/>
      <c r="BR852" s="13"/>
      <c r="BS852" s="13"/>
      <c r="BT852" s="13"/>
      <c r="BU852" s="13"/>
      <c r="BV852" s="13"/>
      <c r="BW852" s="13"/>
      <c r="BX852" s="13"/>
      <c r="BY852" s="13"/>
      <c r="BZ852" s="13"/>
      <c r="CA852" s="13"/>
      <c r="CB852" s="13"/>
      <c r="CC852" s="13"/>
      <c r="CD852" s="13"/>
      <c r="CE852" s="13"/>
      <c r="CF852" s="13"/>
      <c r="CG852" s="13"/>
      <c r="CH852" s="13"/>
      <c r="CI852" s="13"/>
      <c r="CJ852" s="13"/>
      <c r="CK852" s="13"/>
      <c r="CL852" s="13"/>
      <c r="CM852" s="13"/>
      <c r="CN852" s="13"/>
      <c r="CO852" s="13"/>
      <c r="CP852" s="13"/>
      <c r="CQ852" s="13"/>
      <c r="CR852" s="13"/>
      <c r="CS852" s="13"/>
      <c r="CT852" s="13"/>
      <c r="CU852" s="13"/>
    </row>
    <row r="853" spans="1:99" ht="12.75">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c r="AH853" s="13"/>
      <c r="AI853" s="13"/>
      <c r="AJ853" s="13"/>
      <c r="AK853" s="13"/>
      <c r="AL853" s="13"/>
      <c r="AM853" s="13"/>
      <c r="AN853" s="13"/>
      <c r="AO853" s="13"/>
      <c r="AP853" s="13"/>
      <c r="AQ853" s="13"/>
      <c r="AR853" s="13"/>
      <c r="AS853" s="13"/>
      <c r="AT853" s="13"/>
      <c r="AU853" s="13"/>
      <c r="AV853" s="13"/>
      <c r="AW853" s="13"/>
      <c r="AX853" s="13"/>
      <c r="AY853" s="13"/>
      <c r="AZ853" s="13"/>
      <c r="BA853" s="13"/>
      <c r="BB853" s="13"/>
      <c r="BC853" s="13"/>
      <c r="BD853" s="13"/>
      <c r="BE853" s="13"/>
      <c r="BF853" s="13"/>
      <c r="BG853" s="13"/>
      <c r="BH853" s="13"/>
      <c r="BI853" s="13"/>
      <c r="BJ853" s="13"/>
      <c r="BK853" s="13"/>
      <c r="BL853" s="13"/>
      <c r="BM853" s="13"/>
      <c r="BN853" s="13"/>
      <c r="BO853" s="13"/>
      <c r="BP853" s="13"/>
      <c r="BQ853" s="13"/>
      <c r="BR853" s="13"/>
      <c r="BS853" s="13"/>
      <c r="BT853" s="13"/>
      <c r="BU853" s="13"/>
      <c r="BV853" s="13"/>
      <c r="BW853" s="13"/>
      <c r="BX853" s="13"/>
      <c r="BY853" s="13"/>
      <c r="BZ853" s="13"/>
      <c r="CA853" s="13"/>
      <c r="CB853" s="13"/>
      <c r="CC853" s="13"/>
      <c r="CD853" s="13"/>
      <c r="CE853" s="13"/>
      <c r="CF853" s="13"/>
      <c r="CG853" s="13"/>
      <c r="CH853" s="13"/>
      <c r="CI853" s="13"/>
      <c r="CJ853" s="13"/>
      <c r="CK853" s="13"/>
      <c r="CL853" s="13"/>
      <c r="CM853" s="13"/>
      <c r="CN853" s="13"/>
      <c r="CO853" s="13"/>
      <c r="CP853" s="13"/>
      <c r="CQ853" s="13"/>
      <c r="CR853" s="13"/>
      <c r="CS853" s="13"/>
      <c r="CT853" s="13"/>
      <c r="CU853" s="13"/>
    </row>
    <row r="854" spans="1:99" ht="12.75">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c r="AN854" s="13"/>
      <c r="AO854" s="13"/>
      <c r="AP854" s="13"/>
      <c r="AQ854" s="13"/>
      <c r="AR854" s="13"/>
      <c r="AS854" s="13"/>
      <c r="AT854" s="13"/>
      <c r="AU854" s="13"/>
      <c r="AV854" s="13"/>
      <c r="AW854" s="13"/>
      <c r="AX854" s="13"/>
      <c r="AY854" s="13"/>
      <c r="AZ854" s="13"/>
      <c r="BA854" s="13"/>
      <c r="BB854" s="13"/>
      <c r="BC854" s="13"/>
      <c r="BD854" s="13"/>
      <c r="BE854" s="13"/>
      <c r="BF854" s="13"/>
      <c r="BG854" s="13"/>
      <c r="BH854" s="13"/>
      <c r="BI854" s="13"/>
      <c r="BJ854" s="13"/>
      <c r="BK854" s="13"/>
      <c r="BL854" s="13"/>
      <c r="BM854" s="13"/>
      <c r="BN854" s="13"/>
      <c r="BO854" s="13"/>
      <c r="BP854" s="13"/>
      <c r="BQ854" s="13"/>
      <c r="BR854" s="13"/>
      <c r="BS854" s="13"/>
      <c r="BT854" s="13"/>
      <c r="BU854" s="13"/>
      <c r="BV854" s="13"/>
      <c r="BW854" s="13"/>
      <c r="BX854" s="13"/>
      <c r="BY854" s="13"/>
      <c r="BZ854" s="13"/>
      <c r="CA854" s="13"/>
      <c r="CB854" s="13"/>
      <c r="CC854" s="13"/>
      <c r="CD854" s="13"/>
      <c r="CE854" s="13"/>
      <c r="CF854" s="13"/>
      <c r="CG854" s="13"/>
      <c r="CH854" s="13"/>
      <c r="CI854" s="13"/>
      <c r="CJ854" s="13"/>
      <c r="CK854" s="13"/>
      <c r="CL854" s="13"/>
      <c r="CM854" s="13"/>
      <c r="CN854" s="13"/>
      <c r="CO854" s="13"/>
      <c r="CP854" s="13"/>
      <c r="CQ854" s="13"/>
      <c r="CR854" s="13"/>
      <c r="CS854" s="13"/>
      <c r="CT854" s="13"/>
      <c r="CU854" s="13"/>
    </row>
    <row r="855" spans="1:99" ht="12.75">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c r="AH855" s="13"/>
      <c r="AI855" s="13"/>
      <c r="AJ855" s="13"/>
      <c r="AK855" s="13"/>
      <c r="AL855" s="13"/>
      <c r="AM855" s="13"/>
      <c r="AN855" s="13"/>
      <c r="AO855" s="13"/>
      <c r="AP855" s="13"/>
      <c r="AQ855" s="13"/>
      <c r="AR855" s="13"/>
      <c r="AS855" s="13"/>
      <c r="AT855" s="13"/>
      <c r="AU855" s="13"/>
      <c r="AV855" s="13"/>
      <c r="AW855" s="13"/>
      <c r="AX855" s="13"/>
      <c r="AY855" s="13"/>
      <c r="AZ855" s="13"/>
      <c r="BA855" s="13"/>
      <c r="BB855" s="13"/>
      <c r="BC855" s="13"/>
      <c r="BD855" s="13"/>
      <c r="BE855" s="13"/>
      <c r="BF855" s="13"/>
      <c r="BG855" s="13"/>
      <c r="BH855" s="13"/>
      <c r="BI855" s="13"/>
      <c r="BJ855" s="13"/>
      <c r="BK855" s="13"/>
      <c r="BL855" s="13"/>
      <c r="BM855" s="13"/>
      <c r="BN855" s="13"/>
      <c r="BO855" s="13"/>
      <c r="BP855" s="13"/>
      <c r="BQ855" s="13"/>
      <c r="BR855" s="13"/>
      <c r="BS855" s="13"/>
      <c r="BT855" s="13"/>
      <c r="BU855" s="13"/>
      <c r="BV855" s="13"/>
      <c r="BW855" s="13"/>
      <c r="BX855" s="13"/>
      <c r="BY855" s="13"/>
      <c r="BZ855" s="13"/>
      <c r="CA855" s="13"/>
      <c r="CB855" s="13"/>
      <c r="CC855" s="13"/>
      <c r="CD855" s="13"/>
      <c r="CE855" s="13"/>
      <c r="CF855" s="13"/>
      <c r="CG855" s="13"/>
      <c r="CH855" s="13"/>
      <c r="CI855" s="13"/>
      <c r="CJ855" s="13"/>
      <c r="CK855" s="13"/>
      <c r="CL855" s="13"/>
      <c r="CM855" s="13"/>
      <c r="CN855" s="13"/>
      <c r="CO855" s="13"/>
      <c r="CP855" s="13"/>
      <c r="CQ855" s="13"/>
      <c r="CR855" s="13"/>
      <c r="CS855" s="13"/>
      <c r="CT855" s="13"/>
      <c r="CU855" s="13"/>
    </row>
    <row r="856" spans="1:99" ht="12.75">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c r="AH856" s="13"/>
      <c r="AI856" s="13"/>
      <c r="AJ856" s="13"/>
      <c r="AK856" s="13"/>
      <c r="AL856" s="13"/>
      <c r="AM856" s="13"/>
      <c r="AN856" s="13"/>
      <c r="AO856" s="13"/>
      <c r="AP856" s="13"/>
      <c r="AQ856" s="13"/>
      <c r="AR856" s="13"/>
      <c r="AS856" s="13"/>
      <c r="AT856" s="13"/>
      <c r="AU856" s="13"/>
      <c r="AV856" s="13"/>
      <c r="AW856" s="13"/>
      <c r="AX856" s="13"/>
      <c r="AY856" s="13"/>
      <c r="AZ856" s="13"/>
      <c r="BA856" s="13"/>
      <c r="BB856" s="13"/>
      <c r="BC856" s="13"/>
      <c r="BD856" s="13"/>
      <c r="BE856" s="13"/>
      <c r="BF856" s="13"/>
      <c r="BG856" s="13"/>
      <c r="BH856" s="13"/>
      <c r="BI856" s="13"/>
      <c r="BJ856" s="13"/>
      <c r="BK856" s="13"/>
      <c r="BL856" s="13"/>
      <c r="BM856" s="13"/>
      <c r="BN856" s="13"/>
      <c r="BO856" s="13"/>
      <c r="BP856" s="13"/>
      <c r="BQ856" s="13"/>
      <c r="BR856" s="13"/>
      <c r="BS856" s="13"/>
      <c r="BT856" s="13"/>
      <c r="BU856" s="13"/>
      <c r="BV856" s="13"/>
      <c r="BW856" s="13"/>
      <c r="BX856" s="13"/>
      <c r="BY856" s="13"/>
      <c r="BZ856" s="13"/>
      <c r="CA856" s="13"/>
      <c r="CB856" s="13"/>
      <c r="CC856" s="13"/>
      <c r="CD856" s="13"/>
      <c r="CE856" s="13"/>
      <c r="CF856" s="13"/>
      <c r="CG856" s="13"/>
      <c r="CH856" s="13"/>
      <c r="CI856" s="13"/>
      <c r="CJ856" s="13"/>
      <c r="CK856" s="13"/>
      <c r="CL856" s="13"/>
      <c r="CM856" s="13"/>
      <c r="CN856" s="13"/>
      <c r="CO856" s="13"/>
      <c r="CP856" s="13"/>
      <c r="CQ856" s="13"/>
      <c r="CR856" s="13"/>
      <c r="CS856" s="13"/>
      <c r="CT856" s="13"/>
      <c r="CU856" s="13"/>
    </row>
    <row r="857" spans="1:99" ht="12.75">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c r="AH857" s="13"/>
      <c r="AI857" s="13"/>
      <c r="AJ857" s="13"/>
      <c r="AK857" s="13"/>
      <c r="AL857" s="13"/>
      <c r="AM857" s="13"/>
      <c r="AN857" s="13"/>
      <c r="AO857" s="13"/>
      <c r="AP857" s="13"/>
      <c r="AQ857" s="13"/>
      <c r="AR857" s="13"/>
      <c r="AS857" s="13"/>
      <c r="AT857" s="13"/>
      <c r="AU857" s="13"/>
      <c r="AV857" s="13"/>
      <c r="AW857" s="13"/>
      <c r="AX857" s="13"/>
      <c r="AY857" s="13"/>
      <c r="AZ857" s="13"/>
      <c r="BA857" s="13"/>
      <c r="BB857" s="13"/>
      <c r="BC857" s="13"/>
      <c r="BD857" s="13"/>
      <c r="BE857" s="13"/>
      <c r="BF857" s="13"/>
      <c r="BG857" s="13"/>
      <c r="BH857" s="13"/>
      <c r="BI857" s="13"/>
      <c r="BJ857" s="13"/>
      <c r="BK857" s="13"/>
      <c r="BL857" s="13"/>
      <c r="BM857" s="13"/>
      <c r="BN857" s="13"/>
      <c r="BO857" s="13"/>
      <c r="BP857" s="13"/>
      <c r="BQ857" s="13"/>
      <c r="BR857" s="13"/>
      <c r="BS857" s="13"/>
      <c r="BT857" s="13"/>
      <c r="BU857" s="13"/>
      <c r="BV857" s="13"/>
      <c r="BW857" s="13"/>
      <c r="BX857" s="13"/>
      <c r="BY857" s="13"/>
      <c r="BZ857" s="13"/>
      <c r="CA857" s="13"/>
      <c r="CB857" s="13"/>
      <c r="CC857" s="13"/>
      <c r="CD857" s="13"/>
      <c r="CE857" s="13"/>
      <c r="CF857" s="13"/>
      <c r="CG857" s="13"/>
      <c r="CH857" s="13"/>
      <c r="CI857" s="13"/>
      <c r="CJ857" s="13"/>
      <c r="CK857" s="13"/>
      <c r="CL857" s="13"/>
      <c r="CM857" s="13"/>
      <c r="CN857" s="13"/>
      <c r="CO857" s="13"/>
      <c r="CP857" s="13"/>
      <c r="CQ857" s="13"/>
      <c r="CR857" s="13"/>
      <c r="CS857" s="13"/>
      <c r="CT857" s="13"/>
      <c r="CU857" s="13"/>
    </row>
    <row r="858" spans="1:99" ht="12.75">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c r="AH858" s="13"/>
      <c r="AI858" s="13"/>
      <c r="AJ858" s="13"/>
      <c r="AK858" s="13"/>
      <c r="AL858" s="13"/>
      <c r="AM858" s="13"/>
      <c r="AN858" s="13"/>
      <c r="AO858" s="13"/>
      <c r="AP858" s="13"/>
      <c r="AQ858" s="13"/>
      <c r="AR858" s="13"/>
      <c r="AS858" s="13"/>
      <c r="AT858" s="13"/>
      <c r="AU858" s="13"/>
      <c r="AV858" s="13"/>
      <c r="AW858" s="13"/>
      <c r="AX858" s="13"/>
      <c r="AY858" s="13"/>
      <c r="AZ858" s="13"/>
      <c r="BA858" s="13"/>
      <c r="BB858" s="13"/>
      <c r="BC858" s="13"/>
      <c r="BD858" s="13"/>
      <c r="BE858" s="13"/>
      <c r="BF858" s="13"/>
      <c r="BG858" s="13"/>
      <c r="BH858" s="13"/>
      <c r="BI858" s="13"/>
      <c r="BJ858" s="13"/>
      <c r="BK858" s="13"/>
      <c r="BL858" s="13"/>
      <c r="BM858" s="13"/>
      <c r="BN858" s="13"/>
      <c r="BO858" s="13"/>
      <c r="BP858" s="13"/>
      <c r="BQ858" s="13"/>
      <c r="BR858" s="13"/>
      <c r="BS858" s="13"/>
      <c r="BT858" s="13"/>
      <c r="BU858" s="13"/>
      <c r="BV858" s="13"/>
      <c r="BW858" s="13"/>
      <c r="BX858" s="13"/>
      <c r="BY858" s="13"/>
      <c r="BZ858" s="13"/>
      <c r="CA858" s="13"/>
      <c r="CB858" s="13"/>
      <c r="CC858" s="13"/>
      <c r="CD858" s="13"/>
      <c r="CE858" s="13"/>
      <c r="CF858" s="13"/>
      <c r="CG858" s="13"/>
      <c r="CH858" s="13"/>
      <c r="CI858" s="13"/>
      <c r="CJ858" s="13"/>
      <c r="CK858" s="13"/>
      <c r="CL858" s="13"/>
      <c r="CM858" s="13"/>
      <c r="CN858" s="13"/>
      <c r="CO858" s="13"/>
      <c r="CP858" s="13"/>
      <c r="CQ858" s="13"/>
      <c r="CR858" s="13"/>
      <c r="CS858" s="13"/>
      <c r="CT858" s="13"/>
      <c r="CU858" s="13"/>
    </row>
    <row r="859" spans="1:99" ht="12.75">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c r="AH859" s="13"/>
      <c r="AI859" s="13"/>
      <c r="AJ859" s="13"/>
      <c r="AK859" s="13"/>
      <c r="AL859" s="13"/>
      <c r="AM859" s="13"/>
      <c r="AN859" s="13"/>
      <c r="AO859" s="13"/>
      <c r="AP859" s="13"/>
      <c r="AQ859" s="13"/>
      <c r="AR859" s="13"/>
      <c r="AS859" s="13"/>
      <c r="AT859" s="13"/>
      <c r="AU859" s="13"/>
      <c r="AV859" s="13"/>
      <c r="AW859" s="13"/>
      <c r="AX859" s="13"/>
      <c r="AY859" s="13"/>
      <c r="AZ859" s="13"/>
      <c r="BA859" s="13"/>
      <c r="BB859" s="13"/>
      <c r="BC859" s="13"/>
      <c r="BD859" s="13"/>
      <c r="BE859" s="13"/>
      <c r="BF859" s="13"/>
      <c r="BG859" s="13"/>
      <c r="BH859" s="13"/>
      <c r="BI859" s="13"/>
      <c r="BJ859" s="13"/>
      <c r="BK859" s="13"/>
      <c r="BL859" s="13"/>
      <c r="BM859" s="13"/>
      <c r="BN859" s="13"/>
      <c r="BO859" s="13"/>
      <c r="BP859" s="13"/>
      <c r="BQ859" s="13"/>
      <c r="BR859" s="13"/>
      <c r="BS859" s="13"/>
      <c r="BT859" s="13"/>
      <c r="BU859" s="13"/>
      <c r="BV859" s="13"/>
      <c r="BW859" s="13"/>
      <c r="BX859" s="13"/>
      <c r="BY859" s="13"/>
      <c r="BZ859" s="13"/>
      <c r="CA859" s="13"/>
      <c r="CB859" s="13"/>
      <c r="CC859" s="13"/>
      <c r="CD859" s="13"/>
      <c r="CE859" s="13"/>
      <c r="CF859" s="13"/>
      <c r="CG859" s="13"/>
      <c r="CH859" s="13"/>
      <c r="CI859" s="13"/>
      <c r="CJ859" s="13"/>
      <c r="CK859" s="13"/>
      <c r="CL859" s="13"/>
      <c r="CM859" s="13"/>
      <c r="CN859" s="13"/>
      <c r="CO859" s="13"/>
      <c r="CP859" s="13"/>
      <c r="CQ859" s="13"/>
      <c r="CR859" s="13"/>
      <c r="CS859" s="13"/>
      <c r="CT859" s="13"/>
      <c r="CU859" s="13"/>
    </row>
    <row r="860" spans="1:99" ht="12.75">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c r="AH860" s="13"/>
      <c r="AI860" s="13"/>
      <c r="AJ860" s="13"/>
      <c r="AK860" s="13"/>
      <c r="AL860" s="13"/>
      <c r="AM860" s="13"/>
      <c r="AN860" s="13"/>
      <c r="AO860" s="13"/>
      <c r="AP860" s="13"/>
      <c r="AQ860" s="13"/>
      <c r="AR860" s="13"/>
      <c r="AS860" s="13"/>
      <c r="AT860" s="13"/>
      <c r="AU860" s="13"/>
      <c r="AV860" s="13"/>
      <c r="AW860" s="13"/>
      <c r="AX860" s="13"/>
      <c r="AY860" s="13"/>
      <c r="AZ860" s="13"/>
      <c r="BA860" s="13"/>
      <c r="BB860" s="13"/>
      <c r="BC860" s="13"/>
      <c r="BD860" s="13"/>
      <c r="BE860" s="13"/>
      <c r="BF860" s="13"/>
      <c r="BG860" s="13"/>
      <c r="BH860" s="13"/>
      <c r="BI860" s="13"/>
      <c r="BJ860" s="13"/>
      <c r="BK860" s="13"/>
      <c r="BL860" s="13"/>
      <c r="BM860" s="13"/>
      <c r="BN860" s="13"/>
      <c r="BO860" s="13"/>
      <c r="BP860" s="13"/>
      <c r="BQ860" s="13"/>
      <c r="BR860" s="13"/>
      <c r="BS860" s="13"/>
      <c r="BT860" s="13"/>
      <c r="BU860" s="13"/>
      <c r="BV860" s="13"/>
      <c r="BW860" s="13"/>
      <c r="BX860" s="13"/>
      <c r="BY860" s="13"/>
      <c r="BZ860" s="13"/>
      <c r="CA860" s="13"/>
      <c r="CB860" s="13"/>
      <c r="CC860" s="13"/>
      <c r="CD860" s="13"/>
      <c r="CE860" s="13"/>
      <c r="CF860" s="13"/>
      <c r="CG860" s="13"/>
      <c r="CH860" s="13"/>
      <c r="CI860" s="13"/>
      <c r="CJ860" s="13"/>
      <c r="CK860" s="13"/>
      <c r="CL860" s="13"/>
      <c r="CM860" s="13"/>
      <c r="CN860" s="13"/>
      <c r="CO860" s="13"/>
      <c r="CP860" s="13"/>
      <c r="CQ860" s="13"/>
      <c r="CR860" s="13"/>
      <c r="CS860" s="13"/>
      <c r="CT860" s="13"/>
      <c r="CU860" s="13"/>
    </row>
    <row r="861" spans="1:99" ht="12.75">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c r="AH861" s="13"/>
      <c r="AI861" s="13"/>
      <c r="AJ861" s="13"/>
      <c r="AK861" s="13"/>
      <c r="AL861" s="13"/>
      <c r="AM861" s="13"/>
      <c r="AN861" s="13"/>
      <c r="AO861" s="13"/>
      <c r="AP861" s="13"/>
      <c r="AQ861" s="13"/>
      <c r="AR861" s="13"/>
      <c r="AS861" s="13"/>
      <c r="AT861" s="13"/>
      <c r="AU861" s="13"/>
      <c r="AV861" s="13"/>
      <c r="AW861" s="13"/>
      <c r="AX861" s="13"/>
      <c r="AY861" s="13"/>
      <c r="AZ861" s="13"/>
      <c r="BA861" s="13"/>
      <c r="BB861" s="13"/>
      <c r="BC861" s="13"/>
      <c r="BD861" s="13"/>
      <c r="BE861" s="13"/>
      <c r="BF861" s="13"/>
      <c r="BG861" s="13"/>
      <c r="BH861" s="13"/>
      <c r="BI861" s="13"/>
      <c r="BJ861" s="13"/>
      <c r="BK861" s="13"/>
      <c r="BL861" s="13"/>
      <c r="BM861" s="13"/>
      <c r="BN861" s="13"/>
      <c r="BO861" s="13"/>
      <c r="BP861" s="13"/>
      <c r="BQ861" s="13"/>
      <c r="BR861" s="13"/>
      <c r="BS861" s="13"/>
      <c r="BT861" s="13"/>
      <c r="BU861" s="13"/>
      <c r="BV861" s="13"/>
      <c r="BW861" s="13"/>
      <c r="BX861" s="13"/>
      <c r="BY861" s="13"/>
      <c r="BZ861" s="13"/>
      <c r="CA861" s="13"/>
      <c r="CB861" s="13"/>
      <c r="CC861" s="13"/>
      <c r="CD861" s="13"/>
      <c r="CE861" s="13"/>
      <c r="CF861" s="13"/>
      <c r="CG861" s="13"/>
      <c r="CH861" s="13"/>
      <c r="CI861" s="13"/>
      <c r="CJ861" s="13"/>
      <c r="CK861" s="13"/>
      <c r="CL861" s="13"/>
      <c r="CM861" s="13"/>
      <c r="CN861" s="13"/>
      <c r="CO861" s="13"/>
      <c r="CP861" s="13"/>
      <c r="CQ861" s="13"/>
      <c r="CR861" s="13"/>
      <c r="CS861" s="13"/>
      <c r="CT861" s="13"/>
      <c r="CU861" s="13"/>
    </row>
    <row r="862" spans="1:99" ht="12.75">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c r="AH862" s="13"/>
      <c r="AI862" s="13"/>
      <c r="AJ862" s="13"/>
      <c r="AK862" s="13"/>
      <c r="AL862" s="13"/>
      <c r="AM862" s="13"/>
      <c r="AN862" s="13"/>
      <c r="AO862" s="13"/>
      <c r="AP862" s="13"/>
      <c r="AQ862" s="13"/>
      <c r="AR862" s="13"/>
      <c r="AS862" s="13"/>
      <c r="AT862" s="13"/>
      <c r="AU862" s="13"/>
      <c r="AV862" s="13"/>
      <c r="AW862" s="13"/>
      <c r="AX862" s="13"/>
      <c r="AY862" s="13"/>
      <c r="AZ862" s="13"/>
      <c r="BA862" s="13"/>
      <c r="BB862" s="13"/>
      <c r="BC862" s="13"/>
      <c r="BD862" s="13"/>
      <c r="BE862" s="13"/>
      <c r="BF862" s="13"/>
      <c r="BG862" s="13"/>
      <c r="BH862" s="13"/>
      <c r="BI862" s="13"/>
      <c r="BJ862" s="13"/>
      <c r="BK862" s="13"/>
      <c r="BL862" s="13"/>
      <c r="BM862" s="13"/>
      <c r="BN862" s="13"/>
      <c r="BO862" s="13"/>
      <c r="BP862" s="13"/>
      <c r="BQ862" s="13"/>
      <c r="BR862" s="13"/>
      <c r="BS862" s="13"/>
      <c r="BT862" s="13"/>
      <c r="BU862" s="13"/>
      <c r="BV862" s="13"/>
      <c r="BW862" s="13"/>
      <c r="BX862" s="13"/>
      <c r="BY862" s="13"/>
      <c r="BZ862" s="13"/>
      <c r="CA862" s="13"/>
      <c r="CB862" s="13"/>
      <c r="CC862" s="13"/>
      <c r="CD862" s="13"/>
      <c r="CE862" s="13"/>
      <c r="CF862" s="13"/>
      <c r="CG862" s="13"/>
      <c r="CH862" s="13"/>
      <c r="CI862" s="13"/>
      <c r="CJ862" s="13"/>
      <c r="CK862" s="13"/>
      <c r="CL862" s="13"/>
      <c r="CM862" s="13"/>
      <c r="CN862" s="13"/>
      <c r="CO862" s="13"/>
      <c r="CP862" s="13"/>
      <c r="CQ862" s="13"/>
      <c r="CR862" s="13"/>
      <c r="CS862" s="13"/>
      <c r="CT862" s="13"/>
      <c r="CU862" s="13"/>
    </row>
    <row r="863" spans="1:99" ht="12.75">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c r="AH863" s="13"/>
      <c r="AI863" s="13"/>
      <c r="AJ863" s="13"/>
      <c r="AK863" s="13"/>
      <c r="AL863" s="13"/>
      <c r="AM863" s="13"/>
      <c r="AN863" s="13"/>
      <c r="AO863" s="13"/>
      <c r="AP863" s="13"/>
      <c r="AQ863" s="13"/>
      <c r="AR863" s="13"/>
      <c r="AS863" s="13"/>
      <c r="AT863" s="13"/>
      <c r="AU863" s="13"/>
      <c r="AV863" s="13"/>
      <c r="AW863" s="13"/>
      <c r="AX863" s="13"/>
      <c r="AY863" s="13"/>
      <c r="AZ863" s="13"/>
      <c r="BA863" s="13"/>
      <c r="BB863" s="13"/>
      <c r="BC863" s="13"/>
      <c r="BD863" s="13"/>
      <c r="BE863" s="13"/>
      <c r="BF863" s="13"/>
      <c r="BG863" s="13"/>
      <c r="BH863" s="13"/>
      <c r="BI863" s="13"/>
      <c r="BJ863" s="13"/>
      <c r="BK863" s="13"/>
      <c r="BL863" s="13"/>
      <c r="BM863" s="13"/>
      <c r="BN863" s="13"/>
      <c r="BO863" s="13"/>
      <c r="BP863" s="13"/>
      <c r="BQ863" s="13"/>
      <c r="BR863" s="13"/>
      <c r="BS863" s="13"/>
      <c r="BT863" s="13"/>
      <c r="BU863" s="13"/>
      <c r="BV863" s="13"/>
      <c r="BW863" s="13"/>
      <c r="BX863" s="13"/>
      <c r="BY863" s="13"/>
      <c r="BZ863" s="13"/>
      <c r="CA863" s="13"/>
      <c r="CB863" s="13"/>
      <c r="CC863" s="13"/>
      <c r="CD863" s="13"/>
      <c r="CE863" s="13"/>
      <c r="CF863" s="13"/>
      <c r="CG863" s="13"/>
      <c r="CH863" s="13"/>
      <c r="CI863" s="13"/>
      <c r="CJ863" s="13"/>
      <c r="CK863" s="13"/>
      <c r="CL863" s="13"/>
      <c r="CM863" s="13"/>
      <c r="CN863" s="13"/>
      <c r="CO863" s="13"/>
      <c r="CP863" s="13"/>
      <c r="CQ863" s="13"/>
      <c r="CR863" s="13"/>
      <c r="CS863" s="13"/>
      <c r="CT863" s="13"/>
      <c r="CU863" s="13"/>
    </row>
    <row r="864" spans="1:99" ht="12.75">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c r="AH864" s="13"/>
      <c r="AI864" s="13"/>
      <c r="AJ864" s="13"/>
      <c r="AK864" s="13"/>
      <c r="AL864" s="13"/>
      <c r="AM864" s="13"/>
      <c r="AN864" s="13"/>
      <c r="AO864" s="13"/>
      <c r="AP864" s="13"/>
      <c r="AQ864" s="13"/>
      <c r="AR864" s="13"/>
      <c r="AS864" s="13"/>
      <c r="AT864" s="13"/>
      <c r="AU864" s="13"/>
      <c r="AV864" s="13"/>
      <c r="AW864" s="13"/>
      <c r="AX864" s="13"/>
      <c r="AY864" s="13"/>
      <c r="AZ864" s="13"/>
      <c r="BA864" s="13"/>
      <c r="BB864" s="13"/>
      <c r="BC864" s="13"/>
      <c r="BD864" s="13"/>
      <c r="BE864" s="13"/>
      <c r="BF864" s="13"/>
      <c r="BG864" s="13"/>
      <c r="BH864" s="13"/>
      <c r="BI864" s="13"/>
      <c r="BJ864" s="13"/>
      <c r="BK864" s="13"/>
      <c r="BL864" s="13"/>
      <c r="BM864" s="13"/>
      <c r="BN864" s="13"/>
      <c r="BO864" s="13"/>
      <c r="BP864" s="13"/>
      <c r="BQ864" s="13"/>
      <c r="BR864" s="13"/>
      <c r="BS864" s="13"/>
      <c r="BT864" s="13"/>
      <c r="BU864" s="13"/>
      <c r="BV864" s="13"/>
      <c r="BW864" s="13"/>
      <c r="BX864" s="13"/>
      <c r="BY864" s="13"/>
      <c r="BZ864" s="13"/>
      <c r="CA864" s="13"/>
      <c r="CB864" s="13"/>
      <c r="CC864" s="13"/>
      <c r="CD864" s="13"/>
      <c r="CE864" s="13"/>
      <c r="CF864" s="13"/>
      <c r="CG864" s="13"/>
      <c r="CH864" s="13"/>
      <c r="CI864" s="13"/>
      <c r="CJ864" s="13"/>
      <c r="CK864" s="13"/>
      <c r="CL864" s="13"/>
      <c r="CM864" s="13"/>
      <c r="CN864" s="13"/>
      <c r="CO864" s="13"/>
      <c r="CP864" s="13"/>
      <c r="CQ864" s="13"/>
      <c r="CR864" s="13"/>
      <c r="CS864" s="13"/>
      <c r="CT864" s="13"/>
      <c r="CU864" s="13"/>
    </row>
    <row r="865" spans="1:99" ht="12.75">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c r="AH865" s="13"/>
      <c r="AI865" s="13"/>
      <c r="AJ865" s="13"/>
      <c r="AK865" s="13"/>
      <c r="AL865" s="13"/>
      <c r="AM865" s="13"/>
      <c r="AN865" s="13"/>
      <c r="AO865" s="13"/>
      <c r="AP865" s="13"/>
      <c r="AQ865" s="13"/>
      <c r="AR865" s="13"/>
      <c r="AS865" s="13"/>
      <c r="AT865" s="13"/>
      <c r="AU865" s="13"/>
      <c r="AV865" s="13"/>
      <c r="AW865" s="13"/>
      <c r="AX865" s="13"/>
      <c r="AY865" s="13"/>
      <c r="AZ865" s="13"/>
      <c r="BA865" s="13"/>
      <c r="BB865" s="13"/>
      <c r="BC865" s="13"/>
      <c r="BD865" s="13"/>
      <c r="BE865" s="13"/>
      <c r="BF865" s="13"/>
      <c r="BG865" s="13"/>
      <c r="BH865" s="13"/>
      <c r="BI865" s="13"/>
      <c r="BJ865" s="13"/>
      <c r="BK865" s="13"/>
      <c r="BL865" s="13"/>
      <c r="BM865" s="13"/>
      <c r="BN865" s="13"/>
      <c r="BO865" s="13"/>
      <c r="BP865" s="13"/>
      <c r="BQ865" s="13"/>
      <c r="BR865" s="13"/>
      <c r="BS865" s="13"/>
      <c r="BT865" s="13"/>
      <c r="BU865" s="13"/>
      <c r="BV865" s="13"/>
      <c r="BW865" s="13"/>
      <c r="BX865" s="13"/>
      <c r="BY865" s="13"/>
      <c r="BZ865" s="13"/>
      <c r="CA865" s="13"/>
      <c r="CB865" s="13"/>
      <c r="CC865" s="13"/>
      <c r="CD865" s="13"/>
      <c r="CE865" s="13"/>
      <c r="CF865" s="13"/>
      <c r="CG865" s="13"/>
      <c r="CH865" s="13"/>
      <c r="CI865" s="13"/>
      <c r="CJ865" s="13"/>
      <c r="CK865" s="13"/>
      <c r="CL865" s="13"/>
      <c r="CM865" s="13"/>
      <c r="CN865" s="13"/>
      <c r="CO865" s="13"/>
      <c r="CP865" s="13"/>
      <c r="CQ865" s="13"/>
      <c r="CR865" s="13"/>
      <c r="CS865" s="13"/>
      <c r="CT865" s="13"/>
      <c r="CU865" s="13"/>
    </row>
    <row r="866" spans="1:99" ht="12.75">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c r="AH866" s="13"/>
      <c r="AI866" s="13"/>
      <c r="AJ866" s="13"/>
      <c r="AK866" s="13"/>
      <c r="AL866" s="13"/>
      <c r="AM866" s="13"/>
      <c r="AN866" s="13"/>
      <c r="AO866" s="13"/>
      <c r="AP866" s="13"/>
      <c r="AQ866" s="13"/>
      <c r="AR866" s="13"/>
      <c r="AS866" s="13"/>
      <c r="AT866" s="13"/>
      <c r="AU866" s="13"/>
      <c r="AV866" s="13"/>
      <c r="AW866" s="13"/>
      <c r="AX866" s="13"/>
      <c r="AY866" s="13"/>
      <c r="AZ866" s="13"/>
      <c r="BA866" s="13"/>
      <c r="BB866" s="13"/>
      <c r="BC866" s="13"/>
      <c r="BD866" s="13"/>
      <c r="BE866" s="13"/>
      <c r="BF866" s="13"/>
      <c r="BG866" s="13"/>
      <c r="BH866" s="13"/>
      <c r="BI866" s="13"/>
      <c r="BJ866" s="13"/>
      <c r="BK866" s="13"/>
      <c r="BL866" s="13"/>
      <c r="BM866" s="13"/>
      <c r="BN866" s="13"/>
      <c r="BO866" s="13"/>
      <c r="BP866" s="13"/>
      <c r="BQ866" s="13"/>
      <c r="BR866" s="13"/>
      <c r="BS866" s="13"/>
      <c r="BT866" s="13"/>
      <c r="BU866" s="13"/>
      <c r="BV866" s="13"/>
      <c r="BW866" s="13"/>
      <c r="BX866" s="13"/>
      <c r="BY866" s="13"/>
      <c r="BZ866" s="13"/>
      <c r="CA866" s="13"/>
      <c r="CB866" s="13"/>
      <c r="CC866" s="13"/>
      <c r="CD866" s="13"/>
      <c r="CE866" s="13"/>
      <c r="CF866" s="13"/>
      <c r="CG866" s="13"/>
      <c r="CH866" s="13"/>
      <c r="CI866" s="13"/>
      <c r="CJ866" s="13"/>
      <c r="CK866" s="13"/>
      <c r="CL866" s="13"/>
      <c r="CM866" s="13"/>
      <c r="CN866" s="13"/>
      <c r="CO866" s="13"/>
      <c r="CP866" s="13"/>
      <c r="CQ866" s="13"/>
      <c r="CR866" s="13"/>
      <c r="CS866" s="13"/>
      <c r="CT866" s="13"/>
      <c r="CU866" s="13"/>
    </row>
    <row r="867" spans="1:99" ht="12.75">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c r="AH867" s="13"/>
      <c r="AI867" s="13"/>
      <c r="AJ867" s="13"/>
      <c r="AK867" s="13"/>
      <c r="AL867" s="13"/>
      <c r="AM867" s="13"/>
      <c r="AN867" s="13"/>
      <c r="AO867" s="13"/>
      <c r="AP867" s="13"/>
      <c r="AQ867" s="13"/>
      <c r="AR867" s="13"/>
      <c r="AS867" s="13"/>
      <c r="AT867" s="13"/>
      <c r="AU867" s="13"/>
      <c r="AV867" s="13"/>
      <c r="AW867" s="13"/>
      <c r="AX867" s="13"/>
      <c r="AY867" s="13"/>
      <c r="AZ867" s="13"/>
      <c r="BA867" s="13"/>
      <c r="BB867" s="13"/>
      <c r="BC867" s="13"/>
      <c r="BD867" s="13"/>
      <c r="BE867" s="13"/>
      <c r="BF867" s="13"/>
      <c r="BG867" s="13"/>
      <c r="BH867" s="13"/>
      <c r="BI867" s="13"/>
      <c r="BJ867" s="13"/>
      <c r="BK867" s="13"/>
      <c r="BL867" s="13"/>
      <c r="BM867" s="13"/>
      <c r="BN867" s="13"/>
      <c r="BO867" s="13"/>
      <c r="BP867" s="13"/>
      <c r="BQ867" s="13"/>
      <c r="BR867" s="13"/>
      <c r="BS867" s="13"/>
      <c r="BT867" s="13"/>
      <c r="BU867" s="13"/>
      <c r="BV867" s="13"/>
      <c r="BW867" s="13"/>
      <c r="BX867" s="13"/>
      <c r="BY867" s="13"/>
      <c r="BZ867" s="13"/>
      <c r="CA867" s="13"/>
      <c r="CB867" s="13"/>
      <c r="CC867" s="13"/>
      <c r="CD867" s="13"/>
      <c r="CE867" s="13"/>
      <c r="CF867" s="13"/>
      <c r="CG867" s="13"/>
      <c r="CH867" s="13"/>
      <c r="CI867" s="13"/>
      <c r="CJ867" s="13"/>
      <c r="CK867" s="13"/>
      <c r="CL867" s="13"/>
      <c r="CM867" s="13"/>
      <c r="CN867" s="13"/>
      <c r="CO867" s="13"/>
      <c r="CP867" s="13"/>
      <c r="CQ867" s="13"/>
      <c r="CR867" s="13"/>
      <c r="CS867" s="13"/>
      <c r="CT867" s="13"/>
      <c r="CU867" s="13"/>
    </row>
    <row r="868" spans="1:99" ht="12.75">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c r="AH868" s="13"/>
      <c r="AI868" s="13"/>
      <c r="AJ868" s="13"/>
      <c r="AK868" s="13"/>
      <c r="AL868" s="13"/>
      <c r="AM868" s="13"/>
      <c r="AN868" s="13"/>
      <c r="AO868" s="13"/>
      <c r="AP868" s="13"/>
      <c r="AQ868" s="13"/>
      <c r="AR868" s="13"/>
      <c r="AS868" s="13"/>
      <c r="AT868" s="13"/>
      <c r="AU868" s="13"/>
      <c r="AV868" s="13"/>
      <c r="AW868" s="13"/>
      <c r="AX868" s="13"/>
      <c r="AY868" s="13"/>
      <c r="AZ868" s="13"/>
      <c r="BA868" s="13"/>
      <c r="BB868" s="13"/>
      <c r="BC868" s="13"/>
      <c r="BD868" s="13"/>
      <c r="BE868" s="13"/>
      <c r="BF868" s="13"/>
      <c r="BG868" s="13"/>
      <c r="BH868" s="13"/>
      <c r="BI868" s="13"/>
      <c r="BJ868" s="13"/>
      <c r="BK868" s="13"/>
      <c r="BL868" s="13"/>
      <c r="BM868" s="13"/>
      <c r="BN868" s="13"/>
      <c r="BO868" s="13"/>
      <c r="BP868" s="13"/>
      <c r="BQ868" s="13"/>
      <c r="BR868" s="13"/>
      <c r="BS868" s="13"/>
      <c r="BT868" s="13"/>
      <c r="BU868" s="13"/>
      <c r="BV868" s="13"/>
      <c r="BW868" s="13"/>
      <c r="BX868" s="13"/>
      <c r="BY868" s="13"/>
      <c r="BZ868" s="13"/>
      <c r="CA868" s="13"/>
      <c r="CB868" s="13"/>
      <c r="CC868" s="13"/>
      <c r="CD868" s="13"/>
      <c r="CE868" s="13"/>
      <c r="CF868" s="13"/>
      <c r="CG868" s="13"/>
      <c r="CH868" s="13"/>
      <c r="CI868" s="13"/>
      <c r="CJ868" s="13"/>
      <c r="CK868" s="13"/>
      <c r="CL868" s="13"/>
      <c r="CM868" s="13"/>
      <c r="CN868" s="13"/>
      <c r="CO868" s="13"/>
      <c r="CP868" s="13"/>
      <c r="CQ868" s="13"/>
      <c r="CR868" s="13"/>
      <c r="CS868" s="13"/>
      <c r="CT868" s="13"/>
      <c r="CU868" s="13"/>
    </row>
    <row r="869" spans="1:99" ht="12.75">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c r="AH869" s="13"/>
      <c r="AI869" s="13"/>
      <c r="AJ869" s="13"/>
      <c r="AK869" s="13"/>
      <c r="AL869" s="13"/>
      <c r="AM869" s="13"/>
      <c r="AN869" s="13"/>
      <c r="AO869" s="13"/>
      <c r="AP869" s="13"/>
      <c r="AQ869" s="13"/>
      <c r="AR869" s="13"/>
      <c r="AS869" s="13"/>
      <c r="AT869" s="13"/>
      <c r="AU869" s="13"/>
      <c r="AV869" s="13"/>
      <c r="AW869" s="13"/>
      <c r="AX869" s="13"/>
      <c r="AY869" s="13"/>
      <c r="AZ869" s="13"/>
      <c r="BA869" s="13"/>
      <c r="BB869" s="13"/>
      <c r="BC869" s="13"/>
      <c r="BD869" s="13"/>
      <c r="BE869" s="13"/>
      <c r="BF869" s="13"/>
      <c r="BG869" s="13"/>
      <c r="BH869" s="13"/>
      <c r="BI869" s="13"/>
      <c r="BJ869" s="13"/>
      <c r="BK869" s="13"/>
      <c r="BL869" s="13"/>
      <c r="BM869" s="13"/>
      <c r="BN869" s="13"/>
      <c r="BO869" s="13"/>
      <c r="BP869" s="13"/>
      <c r="BQ869" s="13"/>
      <c r="BR869" s="13"/>
      <c r="BS869" s="13"/>
      <c r="BT869" s="13"/>
      <c r="BU869" s="13"/>
      <c r="BV869" s="13"/>
      <c r="BW869" s="13"/>
      <c r="BX869" s="13"/>
      <c r="BY869" s="13"/>
      <c r="BZ869" s="13"/>
      <c r="CA869" s="13"/>
      <c r="CB869" s="13"/>
      <c r="CC869" s="13"/>
      <c r="CD869" s="13"/>
      <c r="CE869" s="13"/>
      <c r="CF869" s="13"/>
      <c r="CG869" s="13"/>
      <c r="CH869" s="13"/>
      <c r="CI869" s="13"/>
      <c r="CJ869" s="13"/>
      <c r="CK869" s="13"/>
      <c r="CL869" s="13"/>
      <c r="CM869" s="13"/>
      <c r="CN869" s="13"/>
      <c r="CO869" s="13"/>
      <c r="CP869" s="13"/>
      <c r="CQ869" s="13"/>
      <c r="CR869" s="13"/>
      <c r="CS869" s="13"/>
      <c r="CT869" s="13"/>
      <c r="CU869" s="13"/>
    </row>
  </sheetData>
  <sheetProtection/>
  <mergeCells count="1">
    <mergeCell ref="C29:H29"/>
  </mergeCells>
  <printOptions/>
  <pageMargins left="0.7" right="0.7" top="0.75" bottom="0.75" header="0.3" footer="0.3"/>
  <pageSetup horizontalDpi="600" verticalDpi="600" orientation="portrait" pageOrder="overThenDown" scale="80" r:id="rId1"/>
  <headerFooter>
    <oddFooter>&amp;CPage &amp;P of &amp;N</oddFooter>
  </headerFooter>
</worksheet>
</file>

<file path=xl/worksheets/sheet4.xml><?xml version="1.0" encoding="utf-8"?>
<worksheet xmlns="http://schemas.openxmlformats.org/spreadsheetml/2006/main" xmlns:r="http://schemas.openxmlformats.org/officeDocument/2006/relationships">
  <sheetPr>
    <tabColor rgb="FF00B0F0"/>
    <pageSetUpPr fitToPage="1"/>
  </sheetPr>
  <dimension ref="A1:M231"/>
  <sheetViews>
    <sheetView view="pageBreakPreview" zoomScaleSheetLayoutView="100" zoomScalePageLayoutView="0" workbookViewId="0" topLeftCell="A1">
      <selection activeCell="L19" sqref="L19:L20"/>
    </sheetView>
  </sheetViews>
  <sheetFormatPr defaultColWidth="10.28125" defaultRowHeight="12.75"/>
  <cols>
    <col min="1" max="1" width="22.140625" style="37" customWidth="1"/>
    <col min="2" max="2" width="12.28125" style="37" customWidth="1"/>
    <col min="3" max="3" width="0.85546875" style="37" customWidth="1"/>
    <col min="4" max="5" width="11.28125" style="37" customWidth="1"/>
    <col min="6" max="6" width="0.9921875" style="37" customWidth="1"/>
    <col min="7" max="7" width="11.28125" style="37" customWidth="1"/>
    <col min="8" max="8" width="3.00390625" style="37" customWidth="1"/>
    <col min="9" max="10" width="10.28125" style="37" customWidth="1"/>
    <col min="11" max="11" width="11.00390625" style="37" bestFit="1" customWidth="1"/>
    <col min="12" max="12" width="12.57421875" style="37" bestFit="1" customWidth="1"/>
    <col min="13" max="13" width="10.57421875" style="37" bestFit="1" customWidth="1"/>
    <col min="14" max="16384" width="10.28125" style="37" customWidth="1"/>
  </cols>
  <sheetData>
    <row r="1" ht="12">
      <c r="A1" s="48" t="s">
        <v>333</v>
      </c>
    </row>
    <row r="2" ht="12">
      <c r="A2" s="48" t="s">
        <v>80</v>
      </c>
    </row>
    <row r="4" spans="2:7" ht="12">
      <c r="B4" s="49" t="s">
        <v>180</v>
      </c>
      <c r="D4" s="49" t="s">
        <v>334</v>
      </c>
      <c r="E4" s="49" t="s">
        <v>334</v>
      </c>
      <c r="G4" s="49" t="s">
        <v>335</v>
      </c>
    </row>
    <row r="5" spans="1:7" ht="12">
      <c r="A5" s="48" t="s">
        <v>336</v>
      </c>
      <c r="B5" s="49" t="s">
        <v>337</v>
      </c>
      <c r="D5" s="49" t="s">
        <v>338</v>
      </c>
      <c r="E5" s="49" t="s">
        <v>339</v>
      </c>
      <c r="G5" s="49" t="s">
        <v>338</v>
      </c>
    </row>
    <row r="6" spans="1:2" ht="12">
      <c r="A6" s="48" t="s">
        <v>86</v>
      </c>
      <c r="B6" s="50" t="s">
        <v>340</v>
      </c>
    </row>
    <row r="7" spans="1:2" ht="12">
      <c r="A7" s="48" t="s">
        <v>341</v>
      </c>
      <c r="B7" s="50"/>
    </row>
    <row r="8" spans="1:7" ht="12">
      <c r="A8" s="37" t="s">
        <v>342</v>
      </c>
      <c r="B8" s="38">
        <v>10.1</v>
      </c>
      <c r="D8" s="51">
        <f>B8*0.04344</f>
        <v>0.43874399999999997</v>
      </c>
      <c r="E8" s="52">
        <f>B8+D8</f>
        <v>10.538744</v>
      </c>
      <c r="G8" s="53">
        <f>D8/B8</f>
        <v>0.04344</v>
      </c>
    </row>
    <row r="9" spans="1:7" ht="12">
      <c r="A9" s="37" t="s">
        <v>343</v>
      </c>
      <c r="B9" s="38">
        <v>13.13</v>
      </c>
      <c r="D9" s="51">
        <f>B9*0.04344</f>
        <v>0.5703672000000001</v>
      </c>
      <c r="E9" s="52">
        <f aca="true" t="shared" si="0" ref="E9:E16">B9+D9</f>
        <v>13.7003672</v>
      </c>
      <c r="G9" s="53">
        <f aca="true" t="shared" si="1" ref="G9:G16">D9/B9</f>
        <v>0.043440000000000006</v>
      </c>
    </row>
    <row r="10" spans="1:7" ht="12">
      <c r="A10" s="37" t="s">
        <v>344</v>
      </c>
      <c r="B10" s="38">
        <v>19.55</v>
      </c>
      <c r="D10" s="51">
        <f>B10*0.04344</f>
        <v>0.849252</v>
      </c>
      <c r="E10" s="52">
        <f t="shared" si="0"/>
        <v>20.399252</v>
      </c>
      <c r="G10" s="53">
        <f t="shared" si="1"/>
        <v>0.04344</v>
      </c>
    </row>
    <row r="11" spans="1:7" ht="12">
      <c r="A11" s="37" t="s">
        <v>345</v>
      </c>
      <c r="B11" s="38">
        <v>25.5</v>
      </c>
      <c r="D11" s="51">
        <f>B11*0.04344</f>
        <v>1.10772</v>
      </c>
      <c r="E11" s="52">
        <f t="shared" si="0"/>
        <v>26.60772</v>
      </c>
      <c r="G11" s="53">
        <f t="shared" si="1"/>
        <v>0.04344</v>
      </c>
    </row>
    <row r="12" spans="1:7" ht="12">
      <c r="A12" s="37" t="s">
        <v>346</v>
      </c>
      <c r="B12" s="38">
        <v>6.05</v>
      </c>
      <c r="D12" s="51">
        <f>B12*0.04344</f>
        <v>0.262812</v>
      </c>
      <c r="E12" s="52">
        <f t="shared" si="0"/>
        <v>6.312812</v>
      </c>
      <c r="G12" s="53">
        <f t="shared" si="1"/>
        <v>0.04344</v>
      </c>
    </row>
    <row r="13" spans="1:7" ht="12">
      <c r="A13" s="37" t="s">
        <v>347</v>
      </c>
      <c r="B13" s="38">
        <v>4.2</v>
      </c>
      <c r="D13" s="51">
        <f>'Price-out'!K20</f>
        <v>0.13</v>
      </c>
      <c r="E13" s="52">
        <f t="shared" si="0"/>
        <v>4.33</v>
      </c>
      <c r="G13" s="53">
        <f t="shared" si="1"/>
        <v>0.030952380952380953</v>
      </c>
    </row>
    <row r="14" spans="1:7" ht="12">
      <c r="A14" s="37" t="s">
        <v>348</v>
      </c>
      <c r="B14" s="38">
        <v>5.4</v>
      </c>
      <c r="D14" s="54">
        <f>'Price-out'!K24</f>
        <v>0.15</v>
      </c>
      <c r="E14" s="52">
        <f t="shared" si="0"/>
        <v>5.550000000000001</v>
      </c>
      <c r="G14" s="53">
        <f t="shared" si="1"/>
        <v>0.027777777777777776</v>
      </c>
    </row>
    <row r="15" spans="1:7" ht="12">
      <c r="A15" s="37" t="s">
        <v>349</v>
      </c>
      <c r="B15" s="38">
        <v>4.2</v>
      </c>
      <c r="D15" s="51">
        <f>'Price-out'!K23</f>
        <v>0.13</v>
      </c>
      <c r="E15" s="52">
        <f t="shared" si="0"/>
        <v>4.33</v>
      </c>
      <c r="G15" s="53">
        <f t="shared" si="1"/>
        <v>0.030952380952380953</v>
      </c>
    </row>
    <row r="16" spans="1:7" ht="12">
      <c r="A16" s="37" t="s">
        <v>350</v>
      </c>
      <c r="B16" s="38">
        <v>6.2</v>
      </c>
      <c r="D16" s="51">
        <f>B16*0.04344</f>
        <v>0.269328</v>
      </c>
      <c r="E16" s="52">
        <f t="shared" si="0"/>
        <v>6.469328</v>
      </c>
      <c r="G16" s="53">
        <f t="shared" si="1"/>
        <v>0.04344</v>
      </c>
    </row>
    <row r="17" ht="12">
      <c r="B17" s="38"/>
    </row>
    <row r="18" spans="1:2" ht="12">
      <c r="A18" s="39" t="s">
        <v>351</v>
      </c>
      <c r="B18" s="38"/>
    </row>
    <row r="19" spans="1:11" ht="12">
      <c r="A19" s="37" t="s">
        <v>352</v>
      </c>
      <c r="B19" s="52">
        <v>19.55</v>
      </c>
      <c r="C19" s="52"/>
      <c r="D19" s="52">
        <f>'Price-out'!K8</f>
        <v>0.6</v>
      </c>
      <c r="E19" s="52">
        <f aca="true" t="shared" si="2" ref="E19:E26">B19+D19</f>
        <v>20.150000000000002</v>
      </c>
      <c r="G19" s="53">
        <f aca="true" t="shared" si="3" ref="G19:G26">D19/B19</f>
        <v>0.030690537084398974</v>
      </c>
      <c r="H19" s="52"/>
      <c r="I19" s="52"/>
      <c r="J19" s="52"/>
      <c r="K19" s="52"/>
    </row>
    <row r="20" spans="1:11" ht="12">
      <c r="A20" s="37" t="s">
        <v>353</v>
      </c>
      <c r="B20" s="52">
        <v>25.5</v>
      </c>
      <c r="C20" s="52"/>
      <c r="D20" s="52">
        <f>'Price-out'!K14</f>
        <v>0.78</v>
      </c>
      <c r="E20" s="52">
        <f t="shared" si="2"/>
        <v>26.28</v>
      </c>
      <c r="G20" s="53">
        <f t="shared" si="3"/>
        <v>0.03058823529411765</v>
      </c>
      <c r="H20" s="52"/>
      <c r="I20" s="52"/>
      <c r="J20" s="52"/>
      <c r="K20" s="52"/>
    </row>
    <row r="21" spans="1:11" ht="12">
      <c r="A21" s="37" t="s">
        <v>427</v>
      </c>
      <c r="B21" s="52">
        <v>13.13</v>
      </c>
      <c r="C21" s="52"/>
      <c r="D21" s="52">
        <f>'Price-out'!K10</f>
        <v>0.4</v>
      </c>
      <c r="E21" s="52">
        <f t="shared" si="2"/>
        <v>13.530000000000001</v>
      </c>
      <c r="G21" s="53">
        <f t="shared" si="3"/>
        <v>0.030464584920030464</v>
      </c>
      <c r="H21" s="52"/>
      <c r="I21" s="52"/>
      <c r="J21" s="52"/>
      <c r="K21" s="52"/>
    </row>
    <row r="22" spans="1:11" ht="12">
      <c r="A22" s="37" t="s">
        <v>428</v>
      </c>
      <c r="B22" s="52">
        <v>20.2</v>
      </c>
      <c r="C22" s="52"/>
      <c r="D22" s="52">
        <f>'Price-out'!K16</f>
        <v>0.62</v>
      </c>
      <c r="E22" s="52">
        <f t="shared" si="2"/>
        <v>20.82</v>
      </c>
      <c r="G22" s="53">
        <f t="shared" si="3"/>
        <v>0.030693069306930693</v>
      </c>
      <c r="H22" s="52"/>
      <c r="I22" s="52"/>
      <c r="J22" s="52"/>
      <c r="K22" s="52"/>
    </row>
    <row r="23" spans="1:11" ht="12">
      <c r="A23" s="37" t="s">
        <v>423</v>
      </c>
      <c r="B23" s="52">
        <v>8.5</v>
      </c>
      <c r="C23" s="52"/>
      <c r="D23" s="51">
        <f>'Price-out'!K12</f>
        <v>0.26</v>
      </c>
      <c r="E23" s="52">
        <f t="shared" si="2"/>
        <v>8.76</v>
      </c>
      <c r="G23" s="53">
        <f t="shared" si="3"/>
        <v>0.03058823529411765</v>
      </c>
      <c r="H23" s="52"/>
      <c r="I23" s="52"/>
      <c r="J23" s="52"/>
      <c r="K23" s="52"/>
    </row>
    <row r="24" spans="1:11" ht="12">
      <c r="A24" s="40" t="s">
        <v>424</v>
      </c>
      <c r="B24" s="52">
        <v>10.5</v>
      </c>
      <c r="C24" s="52"/>
      <c r="D24" s="52">
        <f>'Price-out'!K18</f>
        <v>0.32</v>
      </c>
      <c r="E24" s="52">
        <f t="shared" si="2"/>
        <v>10.82</v>
      </c>
      <c r="G24" s="53">
        <f t="shared" si="3"/>
        <v>0.030476190476190476</v>
      </c>
      <c r="H24" s="52"/>
      <c r="I24" s="52"/>
      <c r="J24" s="52"/>
      <c r="K24" s="52"/>
    </row>
    <row r="25" spans="1:11" ht="12">
      <c r="A25" s="40" t="s">
        <v>425</v>
      </c>
      <c r="B25" s="52">
        <v>8.4</v>
      </c>
      <c r="C25" s="52"/>
      <c r="D25" s="51">
        <f>D23</f>
        <v>0.26</v>
      </c>
      <c r="E25" s="52">
        <f t="shared" si="2"/>
        <v>8.66</v>
      </c>
      <c r="G25" s="53">
        <f t="shared" si="3"/>
        <v>0.030952380952380953</v>
      </c>
      <c r="H25" s="52"/>
      <c r="I25" s="52"/>
      <c r="J25" s="52"/>
      <c r="K25" s="52"/>
    </row>
    <row r="26" spans="1:11" ht="12">
      <c r="A26" s="40" t="s">
        <v>426</v>
      </c>
      <c r="B26" s="52">
        <v>12.6</v>
      </c>
      <c r="C26" s="52"/>
      <c r="D26" s="51">
        <f>B26*0.04344</f>
        <v>0.5473439999999999</v>
      </c>
      <c r="E26" s="52">
        <f t="shared" si="2"/>
        <v>13.147344</v>
      </c>
      <c r="G26" s="53">
        <f t="shared" si="3"/>
        <v>0.04344</v>
      </c>
      <c r="H26" s="52"/>
      <c r="I26" s="52"/>
      <c r="J26" s="52"/>
      <c r="K26" s="52"/>
    </row>
    <row r="27" spans="2:11" ht="12">
      <c r="B27" s="52"/>
      <c r="C27" s="52"/>
      <c r="D27" s="52"/>
      <c r="E27" s="52"/>
      <c r="F27" s="52"/>
      <c r="G27" s="53"/>
      <c r="H27" s="52"/>
      <c r="I27" s="52"/>
      <c r="J27" s="52"/>
      <c r="K27" s="52"/>
    </row>
    <row r="28" spans="1:11" ht="12">
      <c r="A28" s="40" t="s">
        <v>354</v>
      </c>
      <c r="B28" s="52">
        <v>6.25</v>
      </c>
      <c r="C28" s="52"/>
      <c r="D28" s="52">
        <f>'Price-out'!K31</f>
        <v>0.6699999999999999</v>
      </c>
      <c r="E28" s="52">
        <f>B28+D28</f>
        <v>6.92</v>
      </c>
      <c r="G28" s="53">
        <f>D28/B28</f>
        <v>0.10719999999999999</v>
      </c>
      <c r="H28" s="52"/>
      <c r="I28" s="52"/>
      <c r="J28" s="52"/>
      <c r="K28" s="52"/>
    </row>
    <row r="29" spans="1:11" ht="12">
      <c r="A29" s="40" t="s">
        <v>355</v>
      </c>
      <c r="B29" s="52">
        <v>1.85</v>
      </c>
      <c r="C29" s="52"/>
      <c r="D29" s="52">
        <f>'Price-out'!K27</f>
        <v>0.19</v>
      </c>
      <c r="E29" s="52">
        <f>B29+D29</f>
        <v>2.04</v>
      </c>
      <c r="G29" s="53">
        <f>D29/B29</f>
        <v>0.1027027027027027</v>
      </c>
      <c r="H29" s="52"/>
      <c r="I29" s="52"/>
      <c r="J29" s="52"/>
      <c r="K29" s="52"/>
    </row>
    <row r="30" spans="1:11" ht="12">
      <c r="A30" s="37" t="s">
        <v>429</v>
      </c>
      <c r="B30" s="52">
        <v>20</v>
      </c>
      <c r="C30" s="52"/>
      <c r="D30" s="52">
        <f>D31</f>
        <v>2.3</v>
      </c>
      <c r="E30" s="52">
        <f>B30+D30</f>
        <v>22.3</v>
      </c>
      <c r="F30" s="52"/>
      <c r="G30" s="53">
        <f>D30/B30</f>
        <v>0.11499999999999999</v>
      </c>
      <c r="H30" s="52"/>
      <c r="I30" s="52"/>
      <c r="J30" s="52"/>
      <c r="K30" s="52"/>
    </row>
    <row r="31" spans="1:11" ht="12">
      <c r="A31" s="40" t="s">
        <v>214</v>
      </c>
      <c r="B31" s="52">
        <v>20</v>
      </c>
      <c r="C31" s="52"/>
      <c r="D31" s="51">
        <f>'Price-out'!K34</f>
        <v>2.3</v>
      </c>
      <c r="E31" s="52">
        <f>B31+D31</f>
        <v>22.3</v>
      </c>
      <c r="G31" s="53">
        <f>D31/B31</f>
        <v>0.11499999999999999</v>
      </c>
      <c r="H31" s="52"/>
      <c r="I31" s="52"/>
      <c r="J31" s="52"/>
      <c r="K31" s="52"/>
    </row>
    <row r="32" spans="1:11" ht="12">
      <c r="A32" s="40" t="s">
        <v>271</v>
      </c>
      <c r="B32" s="52">
        <v>20</v>
      </c>
      <c r="C32" s="52"/>
      <c r="D32" s="51">
        <f>'Price-out'!K35</f>
        <v>2.3</v>
      </c>
      <c r="E32" s="52">
        <f>B32+D32</f>
        <v>22.3</v>
      </c>
      <c r="G32" s="53">
        <f>D32/B32</f>
        <v>0.11499999999999999</v>
      </c>
      <c r="H32" s="52"/>
      <c r="I32" s="52"/>
      <c r="J32" s="52"/>
      <c r="K32" s="52"/>
    </row>
    <row r="33" spans="1:11" ht="12">
      <c r="A33" s="40"/>
      <c r="B33" s="52"/>
      <c r="C33" s="52"/>
      <c r="D33" s="52"/>
      <c r="E33" s="52"/>
      <c r="F33" s="52"/>
      <c r="G33" s="52"/>
      <c r="H33" s="52"/>
      <c r="I33" s="52"/>
      <c r="J33" s="52"/>
      <c r="K33" s="52"/>
    </row>
    <row r="34" spans="1:11" ht="12">
      <c r="A34" s="39" t="s">
        <v>356</v>
      </c>
      <c r="B34" s="52"/>
      <c r="C34" s="52"/>
      <c r="D34" s="52"/>
      <c r="E34" s="52"/>
      <c r="F34" s="52"/>
      <c r="G34" s="52"/>
      <c r="H34" s="52"/>
      <c r="I34" s="52"/>
      <c r="J34" s="52"/>
      <c r="K34" s="52"/>
    </row>
    <row r="35" spans="1:11" ht="12">
      <c r="A35" s="39" t="s">
        <v>357</v>
      </c>
      <c r="B35" s="52"/>
      <c r="C35" s="52"/>
      <c r="D35" s="52"/>
      <c r="E35" s="52"/>
      <c r="F35" s="52"/>
      <c r="G35" s="52"/>
      <c r="H35" s="52"/>
      <c r="I35" s="52"/>
      <c r="J35" s="52"/>
      <c r="K35" s="52"/>
    </row>
    <row r="36" spans="1:11" ht="12">
      <c r="A36" s="40" t="s">
        <v>358</v>
      </c>
      <c r="B36" s="52">
        <v>22.7</v>
      </c>
      <c r="C36" s="52"/>
      <c r="D36" s="41">
        <f>'Price-out'!K49</f>
        <v>0.69</v>
      </c>
      <c r="E36" s="52">
        <f aca="true" t="shared" si="4" ref="E36:E49">B36+D36</f>
        <v>23.39</v>
      </c>
      <c r="G36" s="53">
        <f aca="true" t="shared" si="5" ref="G36:G49">D36/B36</f>
        <v>0.030396475770925108</v>
      </c>
      <c r="H36" s="52"/>
      <c r="I36" s="52"/>
      <c r="J36" s="52"/>
      <c r="K36" s="52"/>
    </row>
    <row r="37" spans="1:11" ht="12">
      <c r="A37" s="40" t="s">
        <v>359</v>
      </c>
      <c r="B37" s="52">
        <v>16</v>
      </c>
      <c r="C37" s="52"/>
      <c r="D37" s="41">
        <f>'Price-out'!K50</f>
        <v>0.49</v>
      </c>
      <c r="E37" s="52">
        <f t="shared" si="4"/>
        <v>16.49</v>
      </c>
      <c r="G37" s="53">
        <f t="shared" si="5"/>
        <v>0.030625</v>
      </c>
      <c r="H37" s="52"/>
      <c r="I37" s="52"/>
      <c r="J37" s="52"/>
      <c r="K37" s="52"/>
    </row>
    <row r="38" spans="1:11" ht="12">
      <c r="A38" s="40" t="s">
        <v>360</v>
      </c>
      <c r="B38" s="52">
        <v>31.7</v>
      </c>
      <c r="C38" s="52"/>
      <c r="D38" s="41">
        <f>'Price-out'!K51</f>
        <v>0.97</v>
      </c>
      <c r="E38" s="52">
        <f t="shared" si="4"/>
        <v>32.67</v>
      </c>
      <c r="G38" s="53">
        <f t="shared" si="5"/>
        <v>0.0305993690851735</v>
      </c>
      <c r="H38" s="52"/>
      <c r="I38" s="52"/>
      <c r="J38" s="52"/>
      <c r="K38" s="52"/>
    </row>
    <row r="39" spans="1:11" ht="12">
      <c r="A39" s="40" t="s">
        <v>359</v>
      </c>
      <c r="B39" s="52">
        <v>22</v>
      </c>
      <c r="C39" s="52"/>
      <c r="D39" s="41">
        <f>'Price-out'!K52</f>
        <v>0.67</v>
      </c>
      <c r="E39" s="52">
        <f t="shared" si="4"/>
        <v>22.67</v>
      </c>
      <c r="G39" s="53">
        <f t="shared" si="5"/>
        <v>0.030454545454545456</v>
      </c>
      <c r="H39" s="52"/>
      <c r="I39" s="52"/>
      <c r="J39" s="52"/>
      <c r="K39" s="52"/>
    </row>
    <row r="40" spans="1:11" ht="12">
      <c r="A40" s="40" t="s">
        <v>361</v>
      </c>
      <c r="B40" s="52">
        <v>40</v>
      </c>
      <c r="C40" s="52"/>
      <c r="D40" s="41">
        <f>'Price-out'!K53</f>
        <v>1.22</v>
      </c>
      <c r="E40" s="52">
        <f t="shared" si="4"/>
        <v>41.22</v>
      </c>
      <c r="G40" s="53">
        <f t="shared" si="5"/>
        <v>0.0305</v>
      </c>
      <c r="H40" s="52"/>
      <c r="I40" s="52"/>
      <c r="J40" s="52"/>
      <c r="K40" s="52"/>
    </row>
    <row r="41" spans="1:11" ht="12">
      <c r="A41" s="40" t="s">
        <v>359</v>
      </c>
      <c r="B41" s="52">
        <v>27.4</v>
      </c>
      <c r="C41" s="52"/>
      <c r="D41" s="41">
        <f>'Price-out'!K54</f>
        <v>0.84</v>
      </c>
      <c r="E41" s="52">
        <f t="shared" si="4"/>
        <v>28.24</v>
      </c>
      <c r="G41" s="53">
        <f t="shared" si="5"/>
        <v>0.030656934306569343</v>
      </c>
      <c r="H41" s="52"/>
      <c r="I41" s="52"/>
      <c r="J41" s="52"/>
      <c r="K41" s="52"/>
    </row>
    <row r="42" spans="1:11" ht="12">
      <c r="A42" s="40" t="s">
        <v>362</v>
      </c>
      <c r="B42" s="52">
        <v>55</v>
      </c>
      <c r="C42" s="52"/>
      <c r="D42" s="41">
        <f>'Price-out'!K55</f>
        <v>1.68</v>
      </c>
      <c r="E42" s="52">
        <f t="shared" si="4"/>
        <v>56.68</v>
      </c>
      <c r="G42" s="53">
        <f t="shared" si="5"/>
        <v>0.030545454545454546</v>
      </c>
      <c r="H42" s="52"/>
      <c r="I42" s="52"/>
      <c r="J42" s="52"/>
      <c r="K42" s="52"/>
    </row>
    <row r="43" spans="1:11" ht="12">
      <c r="A43" s="40" t="s">
        <v>359</v>
      </c>
      <c r="B43" s="52">
        <v>40</v>
      </c>
      <c r="C43" s="52"/>
      <c r="D43" s="41">
        <f>'Price-out'!K56</f>
        <v>1.22</v>
      </c>
      <c r="E43" s="52">
        <f t="shared" si="4"/>
        <v>41.22</v>
      </c>
      <c r="G43" s="53">
        <f t="shared" si="5"/>
        <v>0.0305</v>
      </c>
      <c r="H43" s="52"/>
      <c r="I43" s="52"/>
      <c r="J43" s="52"/>
      <c r="K43" s="52"/>
    </row>
    <row r="44" spans="1:11" ht="12">
      <c r="A44" s="40" t="s">
        <v>363</v>
      </c>
      <c r="B44" s="52">
        <v>64.1</v>
      </c>
      <c r="C44" s="52"/>
      <c r="D44" s="41">
        <f>'Price-out'!K57</f>
        <v>1.96</v>
      </c>
      <c r="E44" s="52">
        <f t="shared" si="4"/>
        <v>66.05999999999999</v>
      </c>
      <c r="G44" s="53">
        <f t="shared" si="5"/>
        <v>0.03057722308892356</v>
      </c>
      <c r="H44" s="52"/>
      <c r="I44" s="52"/>
      <c r="J44" s="52"/>
      <c r="K44" s="52"/>
    </row>
    <row r="45" spans="1:11" ht="12">
      <c r="A45" s="40" t="s">
        <v>359</v>
      </c>
      <c r="B45" s="52">
        <v>47.9</v>
      </c>
      <c r="C45" s="52"/>
      <c r="D45" s="41">
        <f>'Price-out'!K58</f>
        <v>1.46</v>
      </c>
      <c r="E45" s="52">
        <f t="shared" si="4"/>
        <v>49.36</v>
      </c>
      <c r="G45" s="53">
        <f t="shared" si="5"/>
        <v>0.030480167014613778</v>
      </c>
      <c r="H45" s="52"/>
      <c r="I45" s="52"/>
      <c r="J45" s="52"/>
      <c r="K45" s="52"/>
    </row>
    <row r="46" spans="1:11" ht="12">
      <c r="A46" s="40" t="s">
        <v>364</v>
      </c>
      <c r="B46" s="52">
        <v>75.2</v>
      </c>
      <c r="C46" s="52"/>
      <c r="D46" s="41">
        <f>'Price-out'!K59</f>
        <v>2.29</v>
      </c>
      <c r="E46" s="52">
        <f t="shared" si="4"/>
        <v>77.49000000000001</v>
      </c>
      <c r="G46" s="53">
        <f t="shared" si="5"/>
        <v>0.030452127659574467</v>
      </c>
      <c r="H46" s="52"/>
      <c r="I46" s="52"/>
      <c r="J46" s="52"/>
      <c r="K46" s="52"/>
    </row>
    <row r="47" spans="1:11" ht="12">
      <c r="A47" s="40" t="s">
        <v>359</v>
      </c>
      <c r="B47" s="52">
        <v>56.5</v>
      </c>
      <c r="C47" s="52"/>
      <c r="D47" s="41">
        <f>'Price-out'!K60</f>
        <v>1.72</v>
      </c>
      <c r="E47" s="52">
        <f t="shared" si="4"/>
        <v>58.22</v>
      </c>
      <c r="G47" s="53">
        <f t="shared" si="5"/>
        <v>0.030442477876106194</v>
      </c>
      <c r="H47" s="52"/>
      <c r="I47" s="52"/>
      <c r="J47" s="52"/>
      <c r="K47" s="52"/>
    </row>
    <row r="48" spans="1:11" ht="12">
      <c r="A48" s="40" t="s">
        <v>365</v>
      </c>
      <c r="B48" s="52">
        <v>89.8</v>
      </c>
      <c r="C48" s="52"/>
      <c r="D48" s="41">
        <f>'Price-out'!K61</f>
        <v>2.74</v>
      </c>
      <c r="E48" s="52">
        <f t="shared" si="4"/>
        <v>92.53999999999999</v>
      </c>
      <c r="G48" s="53">
        <f t="shared" si="5"/>
        <v>0.03051224944320713</v>
      </c>
      <c r="H48" s="52"/>
      <c r="I48" s="52"/>
      <c r="J48" s="52"/>
      <c r="K48" s="52"/>
    </row>
    <row r="49" spans="1:11" ht="12">
      <c r="A49" s="40" t="s">
        <v>359</v>
      </c>
      <c r="B49" s="52">
        <v>68.7</v>
      </c>
      <c r="C49" s="52"/>
      <c r="D49" s="41">
        <f>'Price-out'!K62</f>
        <v>2.1</v>
      </c>
      <c r="E49" s="52">
        <f t="shared" si="4"/>
        <v>70.8</v>
      </c>
      <c r="G49" s="53">
        <f t="shared" si="5"/>
        <v>0.03056768558951965</v>
      </c>
      <c r="H49" s="52"/>
      <c r="I49" s="52"/>
      <c r="J49" s="52"/>
      <c r="K49" s="52"/>
    </row>
    <row r="50" spans="2:11" ht="12">
      <c r="B50" s="52"/>
      <c r="C50" s="52"/>
      <c r="D50" s="52"/>
      <c r="E50" s="52"/>
      <c r="F50" s="52"/>
      <c r="G50" s="52"/>
      <c r="H50" s="52"/>
      <c r="I50" s="52"/>
      <c r="J50" s="52"/>
      <c r="K50" s="52"/>
    </row>
    <row r="51" spans="1:11" ht="12">
      <c r="A51" s="39" t="s">
        <v>366</v>
      </c>
      <c r="B51" s="52"/>
      <c r="C51" s="52"/>
      <c r="D51" s="52"/>
      <c r="E51" s="52"/>
      <c r="F51" s="52"/>
      <c r="G51" s="52"/>
      <c r="H51" s="52"/>
      <c r="I51" s="52"/>
      <c r="J51" s="52"/>
      <c r="K51" s="52"/>
    </row>
    <row r="52" spans="1:11" ht="12">
      <c r="A52" s="40" t="s">
        <v>367</v>
      </c>
      <c r="B52" s="52">
        <v>23</v>
      </c>
      <c r="C52" s="52"/>
      <c r="D52" s="42">
        <f>'Price-out'!K82</f>
        <v>0.7</v>
      </c>
      <c r="E52" s="52">
        <f aca="true" t="shared" si="6" ref="E52:E58">B52+D52</f>
        <v>23.7</v>
      </c>
      <c r="G52" s="53">
        <f aca="true" t="shared" si="7" ref="G52:G58">D52/B52</f>
        <v>0.03043478260869565</v>
      </c>
      <c r="H52" s="52"/>
      <c r="I52" s="52"/>
      <c r="J52" s="52"/>
      <c r="K52" s="52"/>
    </row>
    <row r="53" spans="1:11" ht="12">
      <c r="A53" s="40" t="s">
        <v>368</v>
      </c>
      <c r="B53" s="52">
        <v>30.72</v>
      </c>
      <c r="C53" s="52"/>
      <c r="D53" s="42">
        <f>'Price-out'!K83</f>
        <v>0.94</v>
      </c>
      <c r="E53" s="52">
        <f t="shared" si="6"/>
        <v>31.66</v>
      </c>
      <c r="G53" s="53">
        <f t="shared" si="7"/>
        <v>0.030598958333333332</v>
      </c>
      <c r="H53" s="52"/>
      <c r="I53" s="52"/>
      <c r="J53" s="52"/>
      <c r="K53" s="52"/>
    </row>
    <row r="54" spans="1:11" ht="12">
      <c r="A54" s="40" t="s">
        <v>369</v>
      </c>
      <c r="B54" s="52">
        <v>40.97</v>
      </c>
      <c r="C54" s="52"/>
      <c r="D54" s="42">
        <f>'Price-out'!K84</f>
        <v>1.25</v>
      </c>
      <c r="E54" s="52">
        <f t="shared" si="6"/>
        <v>42.22</v>
      </c>
      <c r="G54" s="53">
        <f t="shared" si="7"/>
        <v>0.030510129362948498</v>
      </c>
      <c r="H54" s="52"/>
      <c r="I54" s="52"/>
      <c r="J54" s="52"/>
      <c r="K54" s="52"/>
    </row>
    <row r="55" spans="1:11" ht="12">
      <c r="A55" s="40" t="s">
        <v>370</v>
      </c>
      <c r="B55" s="52">
        <v>50.68</v>
      </c>
      <c r="C55" s="52"/>
      <c r="D55" s="42">
        <f>'Price-out'!K85</f>
        <v>1.57</v>
      </c>
      <c r="E55" s="52">
        <f t="shared" si="6"/>
        <v>52.25</v>
      </c>
      <c r="G55" s="53">
        <f t="shared" si="7"/>
        <v>0.030978689818468824</v>
      </c>
      <c r="H55" s="52"/>
      <c r="I55" s="52"/>
      <c r="J55" s="52"/>
      <c r="K55" s="52"/>
    </row>
    <row r="56" spans="1:11" ht="12">
      <c r="A56" s="40" t="s">
        <v>371</v>
      </c>
      <c r="B56" s="52">
        <v>61.42</v>
      </c>
      <c r="C56" s="52"/>
      <c r="D56" s="42">
        <f>'Price-out'!K86</f>
        <v>1.83</v>
      </c>
      <c r="E56" s="52">
        <f t="shared" si="6"/>
        <v>63.25</v>
      </c>
      <c r="G56" s="53">
        <f t="shared" si="7"/>
        <v>0.029794855096059916</v>
      </c>
      <c r="H56" s="52"/>
      <c r="I56" s="52"/>
      <c r="J56" s="52"/>
      <c r="K56" s="52"/>
    </row>
    <row r="57" spans="1:11" ht="12">
      <c r="A57" s="40" t="s">
        <v>372</v>
      </c>
      <c r="B57" s="52">
        <v>70.02</v>
      </c>
      <c r="C57" s="52"/>
      <c r="D57" s="42">
        <f>'Price-out'!K87</f>
        <v>2.1300000000000003</v>
      </c>
      <c r="E57" s="52">
        <f t="shared" si="6"/>
        <v>72.14999999999999</v>
      </c>
      <c r="G57" s="53">
        <f t="shared" si="7"/>
        <v>0.03041988003427593</v>
      </c>
      <c r="H57" s="52"/>
      <c r="I57" s="52"/>
      <c r="J57" s="52"/>
      <c r="K57" s="52"/>
    </row>
    <row r="58" spans="1:11" ht="12">
      <c r="A58" s="40" t="s">
        <v>373</v>
      </c>
      <c r="B58" s="52">
        <v>81.04</v>
      </c>
      <c r="C58" s="52"/>
      <c r="D58" s="42">
        <f>'Price-out'!K88</f>
        <v>2.4600000000000004</v>
      </c>
      <c r="E58" s="52">
        <f t="shared" si="6"/>
        <v>83.5</v>
      </c>
      <c r="G58" s="53">
        <f t="shared" si="7"/>
        <v>0.03035538005923001</v>
      </c>
      <c r="H58" s="52"/>
      <c r="I58" s="52"/>
      <c r="J58" s="52"/>
      <c r="K58" s="52"/>
    </row>
    <row r="59" spans="2:11" ht="12">
      <c r="B59" s="52"/>
      <c r="C59" s="52"/>
      <c r="D59" s="52"/>
      <c r="E59" s="52"/>
      <c r="F59" s="52"/>
      <c r="G59" s="52"/>
      <c r="H59" s="52"/>
      <c r="I59" s="52"/>
      <c r="J59" s="52"/>
      <c r="K59" s="52"/>
    </row>
    <row r="60" spans="1:11" ht="12">
      <c r="A60" s="48" t="s">
        <v>374</v>
      </c>
      <c r="B60" s="52"/>
      <c r="C60" s="52"/>
      <c r="D60" s="52"/>
      <c r="E60" s="52"/>
      <c r="F60" s="52"/>
      <c r="G60" s="52"/>
      <c r="H60" s="52"/>
      <c r="I60" s="52"/>
      <c r="J60" s="52"/>
      <c r="K60" s="52"/>
    </row>
    <row r="61" spans="1:11" ht="12">
      <c r="A61" s="40" t="s">
        <v>367</v>
      </c>
      <c r="B61" s="52">
        <v>0.45</v>
      </c>
      <c r="C61" s="52"/>
      <c r="D61" s="52">
        <f>'Price-out'!K105</f>
        <v>0.01</v>
      </c>
      <c r="E61" s="52">
        <f aca="true" t="shared" si="8" ref="E61:E67">B61+D61</f>
        <v>0.46</v>
      </c>
      <c r="G61" s="53">
        <f aca="true" t="shared" si="9" ref="G61:G67">D61/B61</f>
        <v>0.022222222222222223</v>
      </c>
      <c r="H61" s="52"/>
      <c r="I61" s="52"/>
      <c r="J61" s="52"/>
      <c r="K61" s="52"/>
    </row>
    <row r="62" spans="1:11" ht="12">
      <c r="A62" s="40" t="s">
        <v>368</v>
      </c>
      <c r="B62" s="52">
        <v>0.45</v>
      </c>
      <c r="C62" s="52"/>
      <c r="D62" s="52">
        <f>'Price-out'!K106</f>
        <v>0.01</v>
      </c>
      <c r="E62" s="52">
        <f t="shared" si="8"/>
        <v>0.46</v>
      </c>
      <c r="G62" s="53">
        <f t="shared" si="9"/>
        <v>0.022222222222222223</v>
      </c>
      <c r="H62" s="52"/>
      <c r="I62" s="52"/>
      <c r="J62" s="52"/>
      <c r="K62" s="52"/>
    </row>
    <row r="63" spans="1:11" ht="12">
      <c r="A63" s="40" t="s">
        <v>369</v>
      </c>
      <c r="B63" s="52">
        <v>0.5</v>
      </c>
      <c r="C63" s="52"/>
      <c r="D63" s="52">
        <f>'Price-out'!K107</f>
        <v>0.02</v>
      </c>
      <c r="E63" s="52">
        <f t="shared" si="8"/>
        <v>0.52</v>
      </c>
      <c r="G63" s="53">
        <f t="shared" si="9"/>
        <v>0.04</v>
      </c>
      <c r="H63" s="52"/>
      <c r="I63" s="52"/>
      <c r="J63" s="52"/>
      <c r="K63" s="52"/>
    </row>
    <row r="64" spans="1:11" ht="12">
      <c r="A64" s="40" t="s">
        <v>370</v>
      </c>
      <c r="B64" s="52">
        <v>0.5</v>
      </c>
      <c r="C64" s="52"/>
      <c r="D64" s="52">
        <f>'Price-out'!K108</f>
        <v>0.02</v>
      </c>
      <c r="E64" s="52">
        <f t="shared" si="8"/>
        <v>0.52</v>
      </c>
      <c r="G64" s="53">
        <f t="shared" si="9"/>
        <v>0.04</v>
      </c>
      <c r="H64" s="52"/>
      <c r="I64" s="52"/>
      <c r="J64" s="52"/>
      <c r="K64" s="52"/>
    </row>
    <row r="65" spans="1:11" ht="12">
      <c r="A65" s="40" t="s">
        <v>371</v>
      </c>
      <c r="B65" s="52">
        <v>0.55</v>
      </c>
      <c r="C65" s="52"/>
      <c r="D65" s="52">
        <f>'Price-out'!K109</f>
        <v>0.02</v>
      </c>
      <c r="E65" s="52">
        <f t="shared" si="8"/>
        <v>0.5700000000000001</v>
      </c>
      <c r="G65" s="53">
        <f t="shared" si="9"/>
        <v>0.03636363636363636</v>
      </c>
      <c r="H65" s="52"/>
      <c r="I65" s="52"/>
      <c r="J65" s="52"/>
      <c r="K65" s="52"/>
    </row>
    <row r="66" spans="1:11" ht="12">
      <c r="A66" s="40" t="s">
        <v>372</v>
      </c>
      <c r="B66" s="52">
        <v>0.55</v>
      </c>
      <c r="C66" s="52"/>
      <c r="D66" s="52">
        <f>'Price-out'!K110</f>
        <v>0.02</v>
      </c>
      <c r="E66" s="52">
        <f t="shared" si="8"/>
        <v>0.5700000000000001</v>
      </c>
      <c r="G66" s="53">
        <f t="shared" si="9"/>
        <v>0.03636363636363636</v>
      </c>
      <c r="H66" s="52"/>
      <c r="I66" s="52"/>
      <c r="J66" s="52"/>
      <c r="K66" s="52"/>
    </row>
    <row r="67" spans="1:11" ht="12">
      <c r="A67" s="40" t="s">
        <v>373</v>
      </c>
      <c r="B67" s="52">
        <v>0.6</v>
      </c>
      <c r="C67" s="52"/>
      <c r="D67" s="52">
        <f>'Price-out'!K111</f>
        <v>0.02</v>
      </c>
      <c r="E67" s="52">
        <f t="shared" si="8"/>
        <v>0.62</v>
      </c>
      <c r="G67" s="53">
        <f t="shared" si="9"/>
        <v>0.03333333333333333</v>
      </c>
      <c r="H67" s="52"/>
      <c r="I67" s="52"/>
      <c r="J67" s="52"/>
      <c r="K67" s="52"/>
    </row>
    <row r="68" spans="2:11" ht="12">
      <c r="B68" s="52"/>
      <c r="C68" s="52"/>
      <c r="D68" s="52"/>
      <c r="E68" s="52"/>
      <c r="F68" s="52"/>
      <c r="G68" s="52"/>
      <c r="H68" s="52"/>
      <c r="I68" s="52"/>
      <c r="J68" s="52"/>
      <c r="K68" s="52"/>
    </row>
    <row r="69" spans="1:11" ht="12">
      <c r="A69" s="48" t="s">
        <v>375</v>
      </c>
      <c r="B69" s="52"/>
      <c r="C69" s="52"/>
      <c r="D69" s="52"/>
      <c r="E69" s="52"/>
      <c r="F69" s="52"/>
      <c r="G69" s="52"/>
      <c r="H69" s="52"/>
      <c r="I69" s="52"/>
      <c r="J69" s="52"/>
      <c r="K69" s="52"/>
    </row>
    <row r="70" spans="1:11" ht="12">
      <c r="A70" s="40" t="s">
        <v>367</v>
      </c>
      <c r="B70" s="42">
        <v>32</v>
      </c>
      <c r="C70" s="52"/>
      <c r="D70" s="52">
        <f>'Price-out'!K90</f>
        <v>0.99</v>
      </c>
      <c r="E70" s="52">
        <f aca="true" t="shared" si="10" ref="E70:E76">B70+D70</f>
        <v>32.99</v>
      </c>
      <c r="G70" s="53">
        <f aca="true" t="shared" si="11" ref="G70:G76">D70/B70</f>
        <v>0.0309375</v>
      </c>
      <c r="H70" s="52"/>
      <c r="I70" s="52"/>
      <c r="J70" s="52"/>
      <c r="K70" s="52"/>
    </row>
    <row r="71" spans="1:11" ht="12">
      <c r="A71" s="40" t="s">
        <v>368</v>
      </c>
      <c r="B71" s="42">
        <v>40</v>
      </c>
      <c r="C71" s="52"/>
      <c r="D71" s="52">
        <f>'Price-out'!K91</f>
        <v>1.23</v>
      </c>
      <c r="E71" s="52">
        <f t="shared" si="10"/>
        <v>41.23</v>
      </c>
      <c r="G71" s="53">
        <f t="shared" si="11"/>
        <v>0.03075</v>
      </c>
      <c r="H71" s="52"/>
      <c r="I71" s="52"/>
      <c r="J71" s="52"/>
      <c r="K71" s="52"/>
    </row>
    <row r="72" spans="1:11" ht="12">
      <c r="A72" s="40" t="s">
        <v>369</v>
      </c>
      <c r="B72" s="42">
        <v>45</v>
      </c>
      <c r="C72" s="52"/>
      <c r="D72" s="52">
        <f>'Price-out'!K92</f>
        <v>1.37</v>
      </c>
      <c r="E72" s="52">
        <f t="shared" si="10"/>
        <v>46.37</v>
      </c>
      <c r="G72" s="53">
        <f t="shared" si="11"/>
        <v>0.030444444444444448</v>
      </c>
      <c r="H72" s="52"/>
      <c r="I72" s="52"/>
      <c r="J72" s="52"/>
      <c r="K72" s="52"/>
    </row>
    <row r="73" spans="1:11" ht="12">
      <c r="A73" s="40" t="s">
        <v>370</v>
      </c>
      <c r="B73" s="42">
        <v>51</v>
      </c>
      <c r="C73" s="52"/>
      <c r="D73" s="52">
        <f>'Price-out'!K93</f>
        <v>1.54</v>
      </c>
      <c r="E73" s="52">
        <f t="shared" si="10"/>
        <v>52.54</v>
      </c>
      <c r="G73" s="53">
        <f t="shared" si="11"/>
        <v>0.03019607843137255</v>
      </c>
      <c r="H73" s="52"/>
      <c r="I73" s="52"/>
      <c r="J73" s="52"/>
      <c r="K73" s="52"/>
    </row>
    <row r="74" spans="1:11" ht="12">
      <c r="A74" s="40" t="s">
        <v>371</v>
      </c>
      <c r="B74" s="42">
        <v>60</v>
      </c>
      <c r="C74" s="52"/>
      <c r="D74" s="52">
        <f>'Price-out'!K94</f>
        <v>1.82</v>
      </c>
      <c r="E74" s="52">
        <f t="shared" si="10"/>
        <v>61.82</v>
      </c>
      <c r="G74" s="53">
        <f t="shared" si="11"/>
        <v>0.030333333333333334</v>
      </c>
      <c r="H74" s="52"/>
      <c r="I74" s="52"/>
      <c r="J74" s="52"/>
      <c r="K74" s="52"/>
    </row>
    <row r="75" spans="1:11" ht="12">
      <c r="A75" s="40" t="s">
        <v>372</v>
      </c>
      <c r="B75" s="42">
        <v>72</v>
      </c>
      <c r="C75" s="52"/>
      <c r="D75" s="52">
        <f>'Price-out'!K95</f>
        <v>2.22</v>
      </c>
      <c r="E75" s="52">
        <f t="shared" si="10"/>
        <v>74.22</v>
      </c>
      <c r="G75" s="53">
        <f t="shared" si="11"/>
        <v>0.030833333333333338</v>
      </c>
      <c r="H75" s="52"/>
      <c r="I75" s="52"/>
      <c r="J75" s="52"/>
      <c r="K75" s="52"/>
    </row>
    <row r="76" spans="1:11" ht="12">
      <c r="A76" s="40" t="s">
        <v>373</v>
      </c>
      <c r="B76" s="42">
        <v>85</v>
      </c>
      <c r="C76" s="52"/>
      <c r="D76" s="52">
        <f>'Price-out'!K96</f>
        <v>2.5999999999999996</v>
      </c>
      <c r="E76" s="52">
        <f t="shared" si="10"/>
        <v>87.6</v>
      </c>
      <c r="G76" s="53">
        <f t="shared" si="11"/>
        <v>0.030588235294117642</v>
      </c>
      <c r="H76" s="52"/>
      <c r="I76" s="52"/>
      <c r="J76" s="52"/>
      <c r="K76" s="52"/>
    </row>
    <row r="77" spans="2:11" ht="12">
      <c r="B77" s="52"/>
      <c r="C77" s="52"/>
      <c r="D77" s="52"/>
      <c r="E77" s="52"/>
      <c r="F77" s="52"/>
      <c r="G77" s="52"/>
      <c r="H77" s="52"/>
      <c r="I77" s="52"/>
      <c r="J77" s="52"/>
      <c r="K77" s="52"/>
    </row>
    <row r="78" spans="1:11" ht="12">
      <c r="A78" s="37" t="s">
        <v>440</v>
      </c>
      <c r="B78" s="52">
        <v>29.25</v>
      </c>
      <c r="C78" s="52"/>
      <c r="D78" s="55">
        <f>'Price-out'!K79</f>
        <v>0.89</v>
      </c>
      <c r="E78" s="52">
        <f aca="true" t="shared" si="12" ref="E78:E85">B78+D78</f>
        <v>30.14</v>
      </c>
      <c r="G78" s="53">
        <f aca="true" t="shared" si="13" ref="G78:G85">D78/B78</f>
        <v>0.030427350427350428</v>
      </c>
      <c r="H78" s="52"/>
      <c r="I78" s="52"/>
      <c r="J78" s="52"/>
      <c r="K78" s="52"/>
    </row>
    <row r="79" spans="1:11" ht="12">
      <c r="A79" s="37" t="s">
        <v>269</v>
      </c>
      <c r="B79" s="52">
        <v>20</v>
      </c>
      <c r="C79" s="52"/>
      <c r="D79" s="52">
        <f>'Price-out'!K97</f>
        <v>0.74</v>
      </c>
      <c r="E79" s="52">
        <f t="shared" si="12"/>
        <v>20.74</v>
      </c>
      <c r="G79" s="53">
        <f t="shared" si="13"/>
        <v>0.037</v>
      </c>
      <c r="H79" s="52"/>
      <c r="I79" s="52"/>
      <c r="J79" s="52"/>
      <c r="K79" s="52"/>
    </row>
    <row r="80" spans="1:11" ht="12">
      <c r="A80" s="37" t="s">
        <v>376</v>
      </c>
      <c r="B80" s="52">
        <v>3.9</v>
      </c>
      <c r="C80" s="52"/>
      <c r="D80" s="52">
        <f>'Price-out'!K72</f>
        <v>0.45</v>
      </c>
      <c r="E80" s="52">
        <f t="shared" si="12"/>
        <v>4.35</v>
      </c>
      <c r="G80" s="53">
        <f t="shared" si="13"/>
        <v>0.11538461538461539</v>
      </c>
      <c r="H80" s="52"/>
      <c r="I80" s="52"/>
      <c r="J80" s="52"/>
      <c r="K80" s="52"/>
    </row>
    <row r="81" spans="1:11" ht="12">
      <c r="A81" s="37" t="s">
        <v>377</v>
      </c>
      <c r="B81" s="52">
        <v>0.9</v>
      </c>
      <c r="C81" s="52"/>
      <c r="D81" s="52">
        <v>0.15</v>
      </c>
      <c r="E81" s="52">
        <f t="shared" si="12"/>
        <v>1.05</v>
      </c>
      <c r="G81" s="53">
        <f t="shared" si="13"/>
        <v>0.16666666666666666</v>
      </c>
      <c r="H81" s="52"/>
      <c r="I81" s="52"/>
      <c r="J81" s="52"/>
      <c r="K81" s="52"/>
    </row>
    <row r="82" spans="1:11" ht="12">
      <c r="A82" s="37" t="s">
        <v>378</v>
      </c>
      <c r="B82" s="52">
        <v>25</v>
      </c>
      <c r="C82" s="52"/>
      <c r="D82" s="52">
        <f>'Price-out'!K117</f>
        <v>2.75</v>
      </c>
      <c r="E82" s="52">
        <f t="shared" si="12"/>
        <v>27.75</v>
      </c>
      <c r="G82" s="53">
        <f t="shared" si="13"/>
        <v>0.11</v>
      </c>
      <c r="H82" s="52"/>
      <c r="I82" s="52"/>
      <c r="J82" s="52"/>
      <c r="K82" s="52"/>
    </row>
    <row r="83" spans="1:11" ht="12">
      <c r="A83" s="37" t="s">
        <v>379</v>
      </c>
      <c r="B83" s="52">
        <v>0.5</v>
      </c>
      <c r="C83" s="52"/>
      <c r="D83" s="52">
        <v>3</v>
      </c>
      <c r="E83" s="52">
        <f t="shared" si="12"/>
        <v>3.5</v>
      </c>
      <c r="G83" s="53">
        <f t="shared" si="13"/>
        <v>6</v>
      </c>
      <c r="H83" s="52"/>
      <c r="I83" s="52"/>
      <c r="J83" s="52"/>
      <c r="K83" s="52"/>
    </row>
    <row r="84" spans="1:11" ht="12">
      <c r="A84" s="37" t="s">
        <v>380</v>
      </c>
      <c r="B84" s="52">
        <v>1.85</v>
      </c>
      <c r="C84" s="52"/>
      <c r="D84" s="52">
        <v>0.3</v>
      </c>
      <c r="E84" s="52">
        <f t="shared" si="12"/>
        <v>2.15</v>
      </c>
      <c r="G84" s="53">
        <f t="shared" si="13"/>
        <v>0.16216216216216214</v>
      </c>
      <c r="H84" s="52"/>
      <c r="I84" s="52"/>
      <c r="J84" s="52"/>
      <c r="K84" s="52"/>
    </row>
    <row r="85" spans="1:11" ht="12">
      <c r="A85" s="37" t="s">
        <v>449</v>
      </c>
      <c r="B85" s="52">
        <v>18.5</v>
      </c>
      <c r="C85" s="52"/>
      <c r="D85" s="52">
        <v>2.1</v>
      </c>
      <c r="E85" s="52">
        <f t="shared" si="12"/>
        <v>20.6</v>
      </c>
      <c r="G85" s="53">
        <f t="shared" si="13"/>
        <v>0.11351351351351352</v>
      </c>
      <c r="H85" s="52"/>
      <c r="I85" s="52"/>
      <c r="J85" s="52"/>
      <c r="K85" s="52"/>
    </row>
    <row r="86" spans="2:11" ht="12">
      <c r="B86" s="52"/>
      <c r="C86" s="52"/>
      <c r="D86" s="52"/>
      <c r="E86" s="52"/>
      <c r="F86" s="52"/>
      <c r="G86" s="52"/>
      <c r="H86" s="52"/>
      <c r="I86" s="52"/>
      <c r="J86" s="52"/>
      <c r="K86" s="52"/>
    </row>
    <row r="87" spans="1:11" ht="12">
      <c r="A87" s="48" t="s">
        <v>381</v>
      </c>
      <c r="B87" s="52"/>
      <c r="C87" s="52"/>
      <c r="D87" s="52"/>
      <c r="E87" s="52"/>
      <c r="F87" s="52"/>
      <c r="G87" s="52"/>
      <c r="H87" s="52"/>
      <c r="I87" s="52"/>
      <c r="J87" s="52"/>
      <c r="K87" s="52"/>
    </row>
    <row r="88" spans="1:11" ht="12">
      <c r="A88" s="37" t="s">
        <v>382</v>
      </c>
      <c r="B88" s="52">
        <v>2.55</v>
      </c>
      <c r="C88" s="52"/>
      <c r="D88" s="52">
        <f>'Price-out'!K101</f>
        <v>0.08</v>
      </c>
      <c r="E88" s="52">
        <f aca="true" t="shared" si="14" ref="E88:E94">B88+D88</f>
        <v>2.63</v>
      </c>
      <c r="G88" s="53">
        <f aca="true" t="shared" si="15" ref="G88:G94">D88/B88</f>
        <v>0.03137254901960784</v>
      </c>
      <c r="H88" s="52"/>
      <c r="I88" s="52"/>
      <c r="J88" s="52"/>
      <c r="K88" s="52"/>
    </row>
    <row r="89" spans="1:11" ht="12">
      <c r="A89" s="37" t="s">
        <v>383</v>
      </c>
      <c r="B89" s="52">
        <v>2.41</v>
      </c>
      <c r="C89" s="52"/>
      <c r="D89" s="52">
        <f>'Price-out'!K101</f>
        <v>0.08</v>
      </c>
      <c r="E89" s="52">
        <f t="shared" si="14"/>
        <v>2.49</v>
      </c>
      <c r="G89" s="53">
        <f t="shared" si="15"/>
        <v>0.03319502074688797</v>
      </c>
      <c r="H89" s="52"/>
      <c r="I89" s="52"/>
      <c r="J89" s="52"/>
      <c r="K89" s="52"/>
    </row>
    <row r="90" spans="1:11" ht="12">
      <c r="A90" s="37" t="s">
        <v>384</v>
      </c>
      <c r="B90" s="52">
        <v>5.2</v>
      </c>
      <c r="C90" s="52"/>
      <c r="D90" s="52">
        <f>'Price-out'!K102</f>
        <v>0.16</v>
      </c>
      <c r="E90" s="52">
        <f t="shared" si="14"/>
        <v>5.36</v>
      </c>
      <c r="G90" s="53">
        <f t="shared" si="15"/>
        <v>0.030769230769230767</v>
      </c>
      <c r="H90" s="52"/>
      <c r="I90" s="52"/>
      <c r="J90" s="52"/>
      <c r="K90" s="52"/>
    </row>
    <row r="91" spans="1:11" ht="12">
      <c r="A91" s="37" t="s">
        <v>385</v>
      </c>
      <c r="B91" s="52">
        <v>7.15</v>
      </c>
      <c r="C91" s="52"/>
      <c r="D91" s="52">
        <f>'Price-out'!K103</f>
        <v>0.22</v>
      </c>
      <c r="E91" s="52">
        <f t="shared" si="14"/>
        <v>7.37</v>
      </c>
      <c r="G91" s="53">
        <f t="shared" si="15"/>
        <v>0.030769230769230767</v>
      </c>
      <c r="H91" s="52"/>
      <c r="I91" s="52"/>
      <c r="J91" s="52"/>
      <c r="K91" s="52"/>
    </row>
    <row r="92" spans="1:11" ht="12">
      <c r="A92" s="37" t="s">
        <v>386</v>
      </c>
      <c r="B92" s="52">
        <v>10.8</v>
      </c>
      <c r="C92" s="52"/>
      <c r="D92" s="51">
        <f>B92*0.04344+0.03</f>
        <v>0.49915200000000004</v>
      </c>
      <c r="E92" s="52">
        <f t="shared" si="14"/>
        <v>11.299152000000001</v>
      </c>
      <c r="G92" s="53">
        <f t="shared" si="15"/>
        <v>0.04621777777777778</v>
      </c>
      <c r="H92" s="52"/>
      <c r="I92" s="52"/>
      <c r="J92" s="52"/>
      <c r="K92" s="52"/>
    </row>
    <row r="93" spans="1:11" ht="12">
      <c r="A93" s="37" t="s">
        <v>387</v>
      </c>
      <c r="B93" s="52">
        <v>4.2</v>
      </c>
      <c r="C93" s="52"/>
      <c r="D93" s="51">
        <f>D13</f>
        <v>0.13</v>
      </c>
      <c r="E93" s="52">
        <f t="shared" si="14"/>
        <v>4.33</v>
      </c>
      <c r="G93" s="53">
        <f t="shared" si="15"/>
        <v>0.030952380952380953</v>
      </c>
      <c r="H93" s="52"/>
      <c r="I93" s="52"/>
      <c r="J93" s="52"/>
      <c r="K93" s="52"/>
    </row>
    <row r="94" spans="1:11" ht="12">
      <c r="A94" s="37" t="s">
        <v>388</v>
      </c>
      <c r="B94" s="52">
        <v>4.2</v>
      </c>
      <c r="C94" s="52"/>
      <c r="D94" s="51">
        <f>D13</f>
        <v>0.13</v>
      </c>
      <c r="E94" s="52">
        <f t="shared" si="14"/>
        <v>4.33</v>
      </c>
      <c r="G94" s="53">
        <f t="shared" si="15"/>
        <v>0.030952380952380953</v>
      </c>
      <c r="H94" s="52"/>
      <c r="I94" s="52"/>
      <c r="J94" s="52"/>
      <c r="K94" s="52"/>
    </row>
    <row r="95" spans="2:11" ht="12">
      <c r="B95" s="52"/>
      <c r="C95" s="52"/>
      <c r="D95" s="52"/>
      <c r="E95" s="52"/>
      <c r="F95" s="52"/>
      <c r="G95" s="52"/>
      <c r="H95" s="52"/>
      <c r="I95" s="52"/>
      <c r="J95" s="52"/>
      <c r="K95" s="52"/>
    </row>
    <row r="96" spans="1:11" ht="12">
      <c r="A96" s="48" t="s">
        <v>389</v>
      </c>
      <c r="B96" s="52"/>
      <c r="C96" s="52"/>
      <c r="D96" s="52"/>
      <c r="E96" s="52"/>
      <c r="F96" s="52"/>
      <c r="G96" s="52"/>
      <c r="H96" s="52"/>
      <c r="I96" s="52"/>
      <c r="J96" s="52"/>
      <c r="K96" s="52"/>
    </row>
    <row r="97" spans="1:11" ht="12">
      <c r="A97" s="48" t="s">
        <v>390</v>
      </c>
      <c r="B97" s="52"/>
      <c r="C97" s="52"/>
      <c r="D97" s="52"/>
      <c r="E97" s="52"/>
      <c r="F97" s="52"/>
      <c r="G97" s="52"/>
      <c r="H97" s="52"/>
      <c r="I97" s="52"/>
      <c r="J97" s="52"/>
      <c r="K97" s="52"/>
    </row>
    <row r="98" spans="1:11" ht="12">
      <c r="A98" s="37" t="s">
        <v>391</v>
      </c>
      <c r="B98" s="52">
        <v>55</v>
      </c>
      <c r="C98" s="52"/>
      <c r="D98" s="52">
        <f>D104-D105</f>
        <v>36.010000000000005</v>
      </c>
      <c r="E98" s="52">
        <f>B98+D98</f>
        <v>91.01</v>
      </c>
      <c r="G98" s="53">
        <f>D98/B98</f>
        <v>0.6547272727272728</v>
      </c>
      <c r="H98" s="52"/>
      <c r="I98" s="52"/>
      <c r="J98" s="52"/>
      <c r="K98" s="52"/>
    </row>
    <row r="99" spans="1:11" ht="12">
      <c r="A99" s="37" t="s">
        <v>393</v>
      </c>
      <c r="B99" s="52">
        <v>77</v>
      </c>
      <c r="C99" s="52"/>
      <c r="D99" s="52">
        <f>D106-D107</f>
        <v>50.400000000000006</v>
      </c>
      <c r="E99" s="52">
        <f>B99+D99</f>
        <v>127.4</v>
      </c>
      <c r="G99" s="53">
        <f>D99/B99</f>
        <v>0.6545454545454547</v>
      </c>
      <c r="H99" s="52"/>
      <c r="I99" s="52"/>
      <c r="J99" s="52"/>
      <c r="K99" s="52"/>
    </row>
    <row r="100" spans="1:11" ht="12">
      <c r="A100" s="37" t="s">
        <v>394</v>
      </c>
      <c r="B100" s="52">
        <v>90</v>
      </c>
      <c r="C100" s="52"/>
      <c r="D100" s="52">
        <f>D108-D109</f>
        <v>58.92</v>
      </c>
      <c r="E100" s="52">
        <f>B100+D100</f>
        <v>148.92000000000002</v>
      </c>
      <c r="G100" s="53">
        <f>D100/B100</f>
        <v>0.6546666666666667</v>
      </c>
      <c r="H100" s="52"/>
      <c r="I100" s="52"/>
      <c r="J100" s="52"/>
      <c r="K100" s="52"/>
    </row>
    <row r="101" spans="1:11" ht="12">
      <c r="A101" s="43" t="s">
        <v>395</v>
      </c>
      <c r="B101" s="52"/>
      <c r="C101" s="52"/>
      <c r="D101" s="52"/>
      <c r="E101" s="52"/>
      <c r="F101" s="52"/>
      <c r="G101" s="53"/>
      <c r="H101" s="52"/>
      <c r="I101" s="52"/>
      <c r="J101" s="52"/>
      <c r="K101" s="52"/>
    </row>
    <row r="102" spans="2:11" ht="12">
      <c r="B102" s="52"/>
      <c r="C102" s="52"/>
      <c r="D102" s="52"/>
      <c r="E102" s="52"/>
      <c r="F102" s="52"/>
      <c r="G102" s="52"/>
      <c r="H102" s="52"/>
      <c r="I102" s="52"/>
      <c r="J102" s="52"/>
      <c r="K102" s="52"/>
    </row>
    <row r="103" spans="1:11" ht="12">
      <c r="A103" s="48" t="s">
        <v>396</v>
      </c>
      <c r="B103" s="52"/>
      <c r="C103" s="52"/>
      <c r="D103" s="52"/>
      <c r="E103" s="52"/>
      <c r="F103" s="52"/>
      <c r="G103" s="52"/>
      <c r="H103" s="52"/>
      <c r="I103" s="52"/>
      <c r="J103" s="52"/>
      <c r="K103" s="52"/>
    </row>
    <row r="104" spans="1:11" ht="12">
      <c r="A104" s="37" t="s">
        <v>391</v>
      </c>
      <c r="B104" s="52">
        <v>150</v>
      </c>
      <c r="C104" s="52"/>
      <c r="D104" s="52">
        <f>'Price-out'!K132</f>
        <v>98.25</v>
      </c>
      <c r="E104" s="52">
        <f aca="true" t="shared" si="16" ref="E104:E109">B104+D104</f>
        <v>248.25</v>
      </c>
      <c r="G104" s="53">
        <f aca="true" t="shared" si="17" ref="G104:G109">D104/B104</f>
        <v>0.655</v>
      </c>
      <c r="H104" s="52"/>
      <c r="I104" s="52"/>
      <c r="J104" s="52"/>
      <c r="K104" s="52"/>
    </row>
    <row r="105" spans="1:11" ht="12">
      <c r="A105" s="37" t="s">
        <v>397</v>
      </c>
      <c r="B105" s="52">
        <v>95</v>
      </c>
      <c r="C105" s="52"/>
      <c r="D105" s="52">
        <f>'Price-out'!K133</f>
        <v>62.239999999999995</v>
      </c>
      <c r="E105" s="52">
        <f t="shared" si="16"/>
        <v>157.24</v>
      </c>
      <c r="G105" s="53">
        <f t="shared" si="17"/>
        <v>0.655157894736842</v>
      </c>
      <c r="H105" s="52"/>
      <c r="I105" s="52"/>
      <c r="J105" s="52"/>
      <c r="K105" s="52"/>
    </row>
    <row r="106" spans="1:11" ht="12">
      <c r="A106" s="37" t="s">
        <v>393</v>
      </c>
      <c r="B106" s="52">
        <v>180</v>
      </c>
      <c r="C106" s="52"/>
      <c r="D106" s="52">
        <f>'Price-out'!K136</f>
        <v>117.89</v>
      </c>
      <c r="E106" s="52">
        <f t="shared" si="16"/>
        <v>297.89</v>
      </c>
      <c r="G106" s="53">
        <f t="shared" si="17"/>
        <v>0.6549444444444444</v>
      </c>
      <c r="H106" s="52"/>
      <c r="I106" s="52"/>
      <c r="J106" s="52"/>
      <c r="K106" s="52"/>
    </row>
    <row r="107" spans="1:11" ht="12">
      <c r="A107" s="37" t="s">
        <v>397</v>
      </c>
      <c r="B107" s="52">
        <v>103</v>
      </c>
      <c r="C107" s="52"/>
      <c r="D107" s="52">
        <f>'Price-out'!K137</f>
        <v>67.49</v>
      </c>
      <c r="E107" s="52">
        <f t="shared" si="16"/>
        <v>170.49</v>
      </c>
      <c r="G107" s="53">
        <f t="shared" si="17"/>
        <v>0.6552427184466019</v>
      </c>
      <c r="H107" s="52"/>
      <c r="I107" s="52"/>
      <c r="J107" s="52"/>
      <c r="K107" s="52"/>
    </row>
    <row r="108" spans="1:11" ht="12">
      <c r="A108" s="37" t="s">
        <v>394</v>
      </c>
      <c r="B108" s="52">
        <v>210</v>
      </c>
      <c r="C108" s="52"/>
      <c r="D108" s="52">
        <f>'Price-out'!K140</f>
        <v>137.53</v>
      </c>
      <c r="E108" s="52">
        <f t="shared" si="16"/>
        <v>347.53</v>
      </c>
      <c r="G108" s="53">
        <f t="shared" si="17"/>
        <v>0.6549047619047619</v>
      </c>
      <c r="H108" s="52"/>
      <c r="I108" s="52"/>
      <c r="J108" s="52"/>
      <c r="K108" s="52"/>
    </row>
    <row r="109" spans="1:11" ht="12">
      <c r="A109" s="37" t="s">
        <v>397</v>
      </c>
      <c r="B109" s="52">
        <v>120</v>
      </c>
      <c r="C109" s="52"/>
      <c r="D109" s="52">
        <f>'Price-out'!K141</f>
        <v>78.61</v>
      </c>
      <c r="E109" s="52">
        <f t="shared" si="16"/>
        <v>198.61</v>
      </c>
      <c r="G109" s="53">
        <f t="shared" si="17"/>
        <v>0.6550833333333334</v>
      </c>
      <c r="H109" s="52"/>
      <c r="I109" s="52"/>
      <c r="J109" s="52"/>
      <c r="K109" s="52"/>
    </row>
    <row r="110" spans="2:11" ht="12">
      <c r="B110" s="52"/>
      <c r="C110" s="52"/>
      <c r="D110" s="52"/>
      <c r="E110" s="52"/>
      <c r="F110" s="52"/>
      <c r="G110" s="52"/>
      <c r="H110" s="52"/>
      <c r="I110" s="52"/>
      <c r="J110" s="52"/>
      <c r="K110" s="52"/>
    </row>
    <row r="111" spans="1:11" ht="12">
      <c r="A111" s="48" t="s">
        <v>398</v>
      </c>
      <c r="B111" s="52"/>
      <c r="C111" s="52"/>
      <c r="D111" s="52"/>
      <c r="E111" s="52"/>
      <c r="F111" s="52"/>
      <c r="G111" s="52"/>
      <c r="H111" s="52"/>
      <c r="I111" s="52"/>
      <c r="J111" s="52"/>
      <c r="K111" s="52"/>
    </row>
    <row r="112" spans="1:11" ht="12">
      <c r="A112" s="37" t="s">
        <v>391</v>
      </c>
      <c r="B112" s="52">
        <v>103</v>
      </c>
      <c r="C112" s="52"/>
      <c r="D112" s="52">
        <f>'Price-out'!K125</f>
        <v>67.49</v>
      </c>
      <c r="E112" s="52">
        <f>B112+D112</f>
        <v>170.49</v>
      </c>
      <c r="G112" s="53">
        <f>D112/B112</f>
        <v>0.6552427184466019</v>
      </c>
      <c r="H112" s="52"/>
      <c r="I112" s="52"/>
      <c r="J112" s="52"/>
      <c r="K112" s="52"/>
    </row>
    <row r="113" spans="1:11" ht="12">
      <c r="A113" s="37" t="s">
        <v>393</v>
      </c>
      <c r="B113" s="52">
        <v>113</v>
      </c>
      <c r="C113" s="52"/>
      <c r="D113" s="52">
        <f>'Price-out'!K127</f>
        <v>74.02</v>
      </c>
      <c r="E113" s="52">
        <f>B113+D113</f>
        <v>187.01999999999998</v>
      </c>
      <c r="G113" s="53">
        <f>D113/B113</f>
        <v>0.6550442477876106</v>
      </c>
      <c r="H113" s="52"/>
      <c r="I113" s="52"/>
      <c r="J113" s="52"/>
      <c r="K113" s="52"/>
    </row>
    <row r="114" spans="1:11" ht="12">
      <c r="A114" s="37" t="s">
        <v>394</v>
      </c>
      <c r="B114" s="52">
        <v>132</v>
      </c>
      <c r="C114" s="52"/>
      <c r="D114" s="52">
        <f>'Price-out'!K129</f>
        <v>86.47</v>
      </c>
      <c r="E114" s="52">
        <f>B114+D114</f>
        <v>218.47</v>
      </c>
      <c r="G114" s="53">
        <f>D114/B114</f>
        <v>0.6550757575757575</v>
      </c>
      <c r="H114" s="52"/>
      <c r="I114" s="52"/>
      <c r="J114" s="52"/>
      <c r="K114" s="52"/>
    </row>
    <row r="115" spans="2:11" ht="12">
      <c r="B115" s="52"/>
      <c r="C115" s="52"/>
      <c r="D115" s="52"/>
      <c r="E115" s="52"/>
      <c r="F115" s="52"/>
      <c r="G115" s="52"/>
      <c r="H115" s="52"/>
      <c r="I115" s="52"/>
      <c r="J115" s="52"/>
      <c r="K115" s="52"/>
    </row>
    <row r="116" spans="1:11" ht="12">
      <c r="A116" s="48" t="s">
        <v>399</v>
      </c>
      <c r="B116" s="52"/>
      <c r="C116" s="52"/>
      <c r="D116" s="52"/>
      <c r="E116" s="52"/>
      <c r="F116" s="52"/>
      <c r="G116" s="52"/>
      <c r="H116" s="52"/>
      <c r="I116" s="52"/>
      <c r="J116" s="52"/>
      <c r="K116" s="52"/>
    </row>
    <row r="117" spans="1:11" ht="12">
      <c r="A117" s="37" t="s">
        <v>391</v>
      </c>
      <c r="B117" s="52">
        <v>4.5</v>
      </c>
      <c r="C117" s="52"/>
      <c r="D117" s="52">
        <f>'Price-out'!K150</f>
        <v>2.96</v>
      </c>
      <c r="E117" s="52">
        <f>B117+D117</f>
        <v>7.46</v>
      </c>
      <c r="G117" s="53">
        <f>D117/B117</f>
        <v>0.6577777777777778</v>
      </c>
      <c r="H117" s="52"/>
      <c r="I117" s="52"/>
      <c r="J117" s="52"/>
      <c r="K117" s="52"/>
    </row>
    <row r="118" spans="1:11" ht="12">
      <c r="A118" s="37" t="s">
        <v>393</v>
      </c>
      <c r="B118" s="52">
        <v>5.5</v>
      </c>
      <c r="C118" s="52"/>
      <c r="D118" s="52">
        <f>'Price-out'!K151</f>
        <v>3.62</v>
      </c>
      <c r="E118" s="52">
        <f>B118+D118</f>
        <v>9.120000000000001</v>
      </c>
      <c r="G118" s="53">
        <f>D118/B118</f>
        <v>0.6581818181818182</v>
      </c>
      <c r="H118" s="52"/>
      <c r="I118" s="52"/>
      <c r="J118" s="52"/>
      <c r="K118" s="52"/>
    </row>
    <row r="119" spans="1:11" ht="12">
      <c r="A119" s="37" t="s">
        <v>394</v>
      </c>
      <c r="B119" s="52">
        <v>6.35</v>
      </c>
      <c r="C119" s="52"/>
      <c r="D119" s="52">
        <f>'Price-out'!K152</f>
        <v>4.17</v>
      </c>
      <c r="E119" s="52">
        <f>B119+D119</f>
        <v>10.52</v>
      </c>
      <c r="G119" s="53">
        <f>D119/B119</f>
        <v>0.6566929133858268</v>
      </c>
      <c r="H119" s="52"/>
      <c r="I119" s="52"/>
      <c r="J119" s="52"/>
      <c r="K119" s="52"/>
    </row>
    <row r="120" spans="2:11" ht="12">
      <c r="B120" s="52"/>
      <c r="C120" s="52"/>
      <c r="D120" s="52"/>
      <c r="E120" s="52"/>
      <c r="F120" s="52"/>
      <c r="G120" s="52"/>
      <c r="H120" s="52"/>
      <c r="I120" s="52"/>
      <c r="J120" s="52"/>
      <c r="K120" s="52"/>
    </row>
    <row r="121" spans="1:11" ht="12">
      <c r="A121" s="48" t="s">
        <v>400</v>
      </c>
      <c r="B121" s="52"/>
      <c r="C121" s="52"/>
      <c r="D121" s="52"/>
      <c r="E121" s="52"/>
      <c r="F121" s="52"/>
      <c r="G121" s="52"/>
      <c r="H121" s="52"/>
      <c r="I121" s="52"/>
      <c r="J121" s="52"/>
      <c r="K121" s="52"/>
    </row>
    <row r="122" spans="1:11" ht="12">
      <c r="A122" s="37" t="s">
        <v>391</v>
      </c>
      <c r="B122" s="52">
        <v>80</v>
      </c>
      <c r="C122" s="52"/>
      <c r="D122" s="52">
        <f>'Price-out'!K146</f>
        <v>52.39</v>
      </c>
      <c r="E122" s="52">
        <f>B122+D122</f>
        <v>132.39</v>
      </c>
      <c r="G122" s="53">
        <f>D122/B122</f>
        <v>0.654875</v>
      </c>
      <c r="H122" s="52"/>
      <c r="I122" s="52"/>
      <c r="J122" s="52"/>
      <c r="K122" s="52"/>
    </row>
    <row r="123" spans="1:11" ht="12">
      <c r="A123" s="37" t="s">
        <v>393</v>
      </c>
      <c r="B123" s="52">
        <v>80</v>
      </c>
      <c r="C123" s="52"/>
      <c r="D123" s="52">
        <f>'Price-out'!K147</f>
        <v>52.39</v>
      </c>
      <c r="E123" s="52">
        <f>B123+D123</f>
        <v>132.39</v>
      </c>
      <c r="G123" s="53">
        <f>D123/B123</f>
        <v>0.654875</v>
      </c>
      <c r="H123" s="52"/>
      <c r="I123" s="52"/>
      <c r="J123" s="52"/>
      <c r="K123" s="52"/>
    </row>
    <row r="124" spans="1:11" ht="12">
      <c r="A124" s="37" t="s">
        <v>394</v>
      </c>
      <c r="B124" s="52">
        <v>80</v>
      </c>
      <c r="C124" s="52"/>
      <c r="D124" s="52">
        <f>'Price-out'!K148</f>
        <v>52.39</v>
      </c>
      <c r="E124" s="52">
        <f>B124+D124</f>
        <v>132.39</v>
      </c>
      <c r="G124" s="53">
        <f>D124/B124</f>
        <v>0.654875</v>
      </c>
      <c r="H124" s="52"/>
      <c r="I124" s="52"/>
      <c r="J124" s="52"/>
      <c r="K124" s="52"/>
    </row>
    <row r="125" spans="2:11" ht="12">
      <c r="B125" s="52"/>
      <c r="C125" s="52"/>
      <c r="D125" s="52"/>
      <c r="E125" s="52"/>
      <c r="F125" s="52"/>
      <c r="G125" s="52"/>
      <c r="H125" s="52"/>
      <c r="I125" s="52"/>
      <c r="J125" s="52"/>
      <c r="K125" s="52"/>
    </row>
    <row r="126" spans="1:11" ht="12">
      <c r="A126" s="48" t="s">
        <v>401</v>
      </c>
      <c r="B126" s="52"/>
      <c r="C126" s="52"/>
      <c r="D126" s="52"/>
      <c r="E126" s="52"/>
      <c r="F126" s="52"/>
      <c r="G126" s="52"/>
      <c r="H126" s="52"/>
      <c r="I126" s="52"/>
      <c r="J126" s="52"/>
      <c r="K126" s="52"/>
    </row>
    <row r="127" spans="1:11" ht="12">
      <c r="A127" s="37" t="s">
        <v>402</v>
      </c>
      <c r="B127" s="52">
        <v>110</v>
      </c>
      <c r="C127" s="52"/>
      <c r="D127" s="52">
        <f>B127*G124-0.01</f>
        <v>72.02624999999999</v>
      </c>
      <c r="E127" s="52">
        <f aca="true" t="shared" si="18" ref="E127:E132">B127+D127</f>
        <v>182.02625</v>
      </c>
      <c r="F127" s="52"/>
      <c r="G127" s="53">
        <f aca="true" t="shared" si="19" ref="G127:G132">D127/B127</f>
        <v>0.6547840909090908</v>
      </c>
      <c r="H127" s="52"/>
      <c r="I127" s="52"/>
      <c r="J127" s="52"/>
      <c r="K127" s="52"/>
    </row>
    <row r="128" spans="1:11" ht="12">
      <c r="A128" s="37" t="s">
        <v>403</v>
      </c>
      <c r="B128" s="52">
        <v>130</v>
      </c>
      <c r="C128" s="52"/>
      <c r="D128" s="52">
        <f>'Price-out'!K131</f>
        <v>85.14</v>
      </c>
      <c r="E128" s="52">
        <f t="shared" si="18"/>
        <v>215.14</v>
      </c>
      <c r="F128" s="52"/>
      <c r="G128" s="53">
        <f t="shared" si="19"/>
        <v>0.6549230769230769</v>
      </c>
      <c r="H128" s="52"/>
      <c r="I128" s="52"/>
      <c r="J128" s="52"/>
      <c r="K128" s="52"/>
    </row>
    <row r="129" spans="1:11" ht="12">
      <c r="A129" s="37" t="s">
        <v>391</v>
      </c>
      <c r="B129" s="52">
        <v>135</v>
      </c>
      <c r="C129" s="52"/>
      <c r="D129" s="52">
        <f>B129*G124</f>
        <v>88.408125</v>
      </c>
      <c r="E129" s="52">
        <f t="shared" si="18"/>
        <v>223.40812499999998</v>
      </c>
      <c r="F129" s="52"/>
      <c r="G129" s="53">
        <f t="shared" si="19"/>
        <v>0.654875</v>
      </c>
      <c r="H129" s="52"/>
      <c r="I129" s="52"/>
      <c r="J129" s="52"/>
      <c r="K129" s="52"/>
    </row>
    <row r="130" spans="1:11" ht="12">
      <c r="A130" s="37" t="s">
        <v>392</v>
      </c>
      <c r="B130" s="52">
        <v>140</v>
      </c>
      <c r="C130" s="52"/>
      <c r="D130" s="52">
        <f>'Price-out'!K135</f>
        <v>91.67</v>
      </c>
      <c r="E130" s="52">
        <f t="shared" si="18"/>
        <v>231.67000000000002</v>
      </c>
      <c r="F130" s="52"/>
      <c r="G130" s="53">
        <f t="shared" si="19"/>
        <v>0.6547857142857143</v>
      </c>
      <c r="H130" s="52"/>
      <c r="I130" s="52"/>
      <c r="J130" s="52"/>
      <c r="K130" s="52"/>
    </row>
    <row r="131" spans="1:11" ht="12">
      <c r="A131" s="37" t="s">
        <v>393</v>
      </c>
      <c r="B131" s="52">
        <v>145</v>
      </c>
      <c r="C131" s="52"/>
      <c r="D131" s="52">
        <f>'Price-out'!K138</f>
        <v>94.99000000000001</v>
      </c>
      <c r="E131" s="52">
        <f t="shared" si="18"/>
        <v>239.99</v>
      </c>
      <c r="F131" s="52"/>
      <c r="G131" s="53">
        <f t="shared" si="19"/>
        <v>0.6551034482758621</v>
      </c>
      <c r="H131" s="52"/>
      <c r="I131" s="52"/>
      <c r="J131" s="52"/>
      <c r="K131" s="52"/>
    </row>
    <row r="132" spans="1:11" ht="12">
      <c r="A132" s="37" t="s">
        <v>394</v>
      </c>
      <c r="B132" s="52">
        <v>150</v>
      </c>
      <c r="C132" s="52"/>
      <c r="D132" s="52">
        <f>'Price-out'!K143</f>
        <v>98.25</v>
      </c>
      <c r="E132" s="52">
        <f t="shared" si="18"/>
        <v>248.25</v>
      </c>
      <c r="F132" s="52"/>
      <c r="G132" s="53">
        <f t="shared" si="19"/>
        <v>0.655</v>
      </c>
      <c r="H132" s="52"/>
      <c r="I132" s="52"/>
      <c r="J132" s="52"/>
      <c r="K132" s="52"/>
    </row>
    <row r="133" spans="2:11" ht="12">
      <c r="B133" s="52"/>
      <c r="C133" s="52"/>
      <c r="D133" s="52"/>
      <c r="E133" s="52"/>
      <c r="F133" s="52"/>
      <c r="G133" s="52"/>
      <c r="H133" s="52"/>
      <c r="I133" s="52"/>
      <c r="J133" s="52"/>
      <c r="K133" s="52"/>
    </row>
    <row r="134" spans="1:11" ht="12">
      <c r="A134" s="37" t="s">
        <v>404</v>
      </c>
      <c r="B134" s="52">
        <v>2.3</v>
      </c>
      <c r="C134" s="52"/>
      <c r="D134" s="52">
        <f>'Price-out'!K144</f>
        <v>1.54</v>
      </c>
      <c r="E134" s="52">
        <f>B134+D134</f>
        <v>3.84</v>
      </c>
      <c r="F134" s="52"/>
      <c r="G134" s="53">
        <f>D134/B134</f>
        <v>0.6695652173913044</v>
      </c>
      <c r="H134" s="52"/>
      <c r="I134" s="52"/>
      <c r="J134" s="52"/>
      <c r="K134" s="52"/>
    </row>
    <row r="135" spans="1:11" ht="12">
      <c r="A135" s="43" t="s">
        <v>378</v>
      </c>
      <c r="B135" s="52">
        <v>60</v>
      </c>
      <c r="C135" s="52"/>
      <c r="D135" s="52">
        <f>'Price-out'!K157</f>
        <v>51.78</v>
      </c>
      <c r="E135" s="52">
        <f>B135+D135</f>
        <v>111.78</v>
      </c>
      <c r="F135" s="52"/>
      <c r="G135" s="53">
        <f>D135/B135</f>
        <v>0.863</v>
      </c>
      <c r="H135" s="52"/>
      <c r="I135" s="52"/>
      <c r="J135" s="52"/>
      <c r="K135" s="52"/>
    </row>
    <row r="136" spans="1:11" ht="12">
      <c r="A136" s="43" t="s">
        <v>450</v>
      </c>
      <c r="B136" s="52">
        <v>36.85</v>
      </c>
      <c r="C136" s="52"/>
      <c r="D136" s="52">
        <v>23.15</v>
      </c>
      <c r="E136" s="52">
        <f>B136+D136</f>
        <v>60</v>
      </c>
      <c r="F136" s="52"/>
      <c r="G136" s="53">
        <f>D136/B136</f>
        <v>0.6282225237449117</v>
      </c>
      <c r="H136" s="52"/>
      <c r="I136" s="52"/>
      <c r="J136" s="52"/>
      <c r="K136" s="52"/>
    </row>
    <row r="137" spans="2:11" ht="12">
      <c r="B137" s="52"/>
      <c r="C137" s="52"/>
      <c r="D137" s="52"/>
      <c r="E137" s="52"/>
      <c r="F137" s="52"/>
      <c r="G137" s="52"/>
      <c r="H137" s="52"/>
      <c r="I137" s="52"/>
      <c r="J137" s="52"/>
      <c r="K137" s="52"/>
    </row>
    <row r="138" spans="1:11" ht="12">
      <c r="A138" s="44" t="s">
        <v>405</v>
      </c>
      <c r="B138" s="52"/>
      <c r="C138" s="52"/>
      <c r="D138" s="52"/>
      <c r="E138" s="52"/>
      <c r="F138" s="52"/>
      <c r="G138" s="52"/>
      <c r="H138" s="52"/>
      <c r="I138" s="52"/>
      <c r="J138" s="52"/>
      <c r="K138" s="52"/>
    </row>
    <row r="139" spans="1:11" ht="12">
      <c r="A139" s="44" t="s">
        <v>406</v>
      </c>
      <c r="B139" s="52"/>
      <c r="C139" s="52"/>
      <c r="D139" s="52"/>
      <c r="E139" s="52"/>
      <c r="F139" s="52"/>
      <c r="G139" s="52"/>
      <c r="H139" s="52"/>
      <c r="I139" s="52"/>
      <c r="J139" s="52"/>
      <c r="K139" s="52"/>
    </row>
    <row r="140" spans="1:11" ht="12">
      <c r="A140" s="43" t="s">
        <v>407</v>
      </c>
      <c r="B140" s="52">
        <v>70</v>
      </c>
      <c r="C140" s="52"/>
      <c r="D140" s="52">
        <v>35</v>
      </c>
      <c r="E140" s="52">
        <f>B140+D140</f>
        <v>105</v>
      </c>
      <c r="F140" s="52"/>
      <c r="G140" s="53">
        <f>D140/B140</f>
        <v>0.5</v>
      </c>
      <c r="H140" s="52"/>
      <c r="I140" s="52"/>
      <c r="J140" s="52"/>
      <c r="K140" s="52"/>
    </row>
    <row r="141" spans="1:11" ht="12">
      <c r="A141" s="43" t="s">
        <v>408</v>
      </c>
      <c r="B141" s="52">
        <v>80</v>
      </c>
      <c r="C141" s="52"/>
      <c r="D141" s="52">
        <v>40</v>
      </c>
      <c r="E141" s="52">
        <f>B141+D141</f>
        <v>120</v>
      </c>
      <c r="F141" s="52"/>
      <c r="G141" s="53">
        <f>D141/B141</f>
        <v>0.5</v>
      </c>
      <c r="H141" s="52"/>
      <c r="I141" s="52"/>
      <c r="J141" s="52"/>
      <c r="K141" s="52"/>
    </row>
    <row r="142" spans="1:11" ht="12">
      <c r="A142" s="43" t="s">
        <v>409</v>
      </c>
      <c r="B142" s="52">
        <v>80</v>
      </c>
      <c r="C142" s="52"/>
      <c r="D142" s="52">
        <v>40</v>
      </c>
      <c r="E142" s="52">
        <f>B142+D142</f>
        <v>120</v>
      </c>
      <c r="F142" s="52"/>
      <c r="G142" s="53">
        <f>D142/B142</f>
        <v>0.5</v>
      </c>
      <c r="H142" s="52"/>
      <c r="I142" s="52"/>
      <c r="J142" s="52"/>
      <c r="K142" s="52"/>
    </row>
    <row r="143" spans="1:11" ht="12">
      <c r="A143" s="44" t="s">
        <v>410</v>
      </c>
      <c r="B143" s="52"/>
      <c r="C143" s="52"/>
      <c r="D143" s="52"/>
      <c r="E143" s="52"/>
      <c r="F143" s="52"/>
      <c r="G143" s="52"/>
      <c r="H143" s="52"/>
      <c r="I143" s="52"/>
      <c r="J143" s="52"/>
      <c r="K143" s="52"/>
    </row>
    <row r="144" spans="1:11" ht="12">
      <c r="A144" s="43" t="s">
        <v>407</v>
      </c>
      <c r="B144" s="52">
        <v>30</v>
      </c>
      <c r="C144" s="52"/>
      <c r="D144" s="52">
        <v>15</v>
      </c>
      <c r="E144" s="52">
        <f>B144+D144</f>
        <v>45</v>
      </c>
      <c r="F144" s="52"/>
      <c r="G144" s="53">
        <f>D144/B144</f>
        <v>0.5</v>
      </c>
      <c r="H144" s="52"/>
      <c r="I144" s="52"/>
      <c r="J144" s="52"/>
      <c r="K144" s="52"/>
    </row>
    <row r="145" spans="1:11" ht="12">
      <c r="A145" s="43" t="s">
        <v>408</v>
      </c>
      <c r="B145" s="52">
        <v>30</v>
      </c>
      <c r="C145" s="52"/>
      <c r="D145" s="52">
        <v>15</v>
      </c>
      <c r="E145" s="52">
        <f>B145+D145</f>
        <v>45</v>
      </c>
      <c r="F145" s="52"/>
      <c r="G145" s="53">
        <f>D145/B145</f>
        <v>0.5</v>
      </c>
      <c r="H145" s="52"/>
      <c r="I145" s="52"/>
      <c r="J145" s="52"/>
      <c r="K145" s="52"/>
    </row>
    <row r="146" spans="1:11" ht="12">
      <c r="A146" s="43" t="s">
        <v>409</v>
      </c>
      <c r="B146" s="52">
        <v>30</v>
      </c>
      <c r="C146" s="52"/>
      <c r="D146" s="52">
        <v>15</v>
      </c>
      <c r="E146" s="52">
        <f>B146+D146</f>
        <v>45</v>
      </c>
      <c r="F146" s="52"/>
      <c r="G146" s="53">
        <f>D146/B146</f>
        <v>0.5</v>
      </c>
      <c r="H146" s="52"/>
      <c r="I146" s="52"/>
      <c r="J146" s="52"/>
      <c r="K146" s="52"/>
    </row>
    <row r="147" spans="1:11" ht="12">
      <c r="A147" s="44" t="s">
        <v>411</v>
      </c>
      <c r="B147" s="52"/>
      <c r="C147" s="52"/>
      <c r="D147" s="52"/>
      <c r="E147" s="52"/>
      <c r="F147" s="52"/>
      <c r="G147" s="52"/>
      <c r="H147" s="52"/>
      <c r="I147" s="52"/>
      <c r="J147" s="52"/>
      <c r="K147" s="52"/>
    </row>
    <row r="148" spans="1:11" ht="12">
      <c r="A148" s="43" t="s">
        <v>407</v>
      </c>
      <c r="B148" s="52">
        <v>70</v>
      </c>
      <c r="C148" s="52"/>
      <c r="D148" s="52">
        <f>D140</f>
        <v>35</v>
      </c>
      <c r="E148" s="52">
        <f>B148+D148</f>
        <v>105</v>
      </c>
      <c r="F148" s="52"/>
      <c r="G148" s="53">
        <f>D148/B148</f>
        <v>0.5</v>
      </c>
      <c r="H148" s="52"/>
      <c r="I148" s="52"/>
      <c r="J148" s="52"/>
      <c r="K148" s="52"/>
    </row>
    <row r="149" spans="1:11" ht="12">
      <c r="A149" s="43" t="s">
        <v>408</v>
      </c>
      <c r="B149" s="52">
        <v>80</v>
      </c>
      <c r="C149" s="52"/>
      <c r="D149" s="52">
        <f>D141</f>
        <v>40</v>
      </c>
      <c r="E149" s="52">
        <f>B149+D149</f>
        <v>120</v>
      </c>
      <c r="F149" s="52"/>
      <c r="G149" s="53">
        <f>D149/B149</f>
        <v>0.5</v>
      </c>
      <c r="H149" s="52"/>
      <c r="I149" s="52"/>
      <c r="J149" s="52"/>
      <c r="K149" s="52"/>
    </row>
    <row r="150" spans="1:11" ht="12">
      <c r="A150" s="43" t="s">
        <v>409</v>
      </c>
      <c r="B150" s="52">
        <v>80</v>
      </c>
      <c r="C150" s="52"/>
      <c r="D150" s="52">
        <f>D142</f>
        <v>40</v>
      </c>
      <c r="E150" s="52">
        <f>B150+D150</f>
        <v>120</v>
      </c>
      <c r="F150" s="52"/>
      <c r="G150" s="53">
        <f>D150/B150</f>
        <v>0.5</v>
      </c>
      <c r="H150" s="52"/>
      <c r="I150" s="52"/>
      <c r="J150" s="52"/>
      <c r="K150" s="52"/>
    </row>
    <row r="151" spans="1:11" ht="12">
      <c r="A151" s="43"/>
      <c r="B151" s="52"/>
      <c r="C151" s="52"/>
      <c r="D151" s="52"/>
      <c r="E151" s="52"/>
      <c r="F151" s="52"/>
      <c r="G151" s="52"/>
      <c r="H151" s="52"/>
      <c r="I151" s="52"/>
      <c r="J151" s="52"/>
      <c r="K151" s="52"/>
    </row>
    <row r="152" spans="1:11" ht="12">
      <c r="A152" s="44" t="s">
        <v>412</v>
      </c>
      <c r="B152" s="52"/>
      <c r="C152" s="52"/>
      <c r="D152" s="52"/>
      <c r="E152" s="52"/>
      <c r="F152" s="52"/>
      <c r="G152" s="52"/>
      <c r="H152" s="52"/>
      <c r="I152" s="52"/>
      <c r="J152" s="52"/>
      <c r="K152" s="52"/>
    </row>
    <row r="153" spans="1:11" ht="12">
      <c r="A153" s="43" t="s">
        <v>413</v>
      </c>
      <c r="B153" s="52">
        <v>80</v>
      </c>
      <c r="C153" s="52"/>
      <c r="D153" s="52">
        <v>40</v>
      </c>
      <c r="E153" s="52">
        <f>B153+D153</f>
        <v>120</v>
      </c>
      <c r="F153" s="52"/>
      <c r="G153" s="53">
        <f>D153/B153</f>
        <v>0.5</v>
      </c>
      <c r="H153" s="52"/>
      <c r="I153" s="52"/>
      <c r="J153" s="52"/>
      <c r="K153" s="52"/>
    </row>
    <row r="154" spans="1:11" ht="12">
      <c r="A154" s="43" t="s">
        <v>414</v>
      </c>
      <c r="B154" s="52">
        <v>320</v>
      </c>
      <c r="C154" s="52"/>
      <c r="D154" s="52">
        <v>160</v>
      </c>
      <c r="E154" s="52">
        <f>B154+D154</f>
        <v>480</v>
      </c>
      <c r="F154" s="52"/>
      <c r="G154" s="53">
        <f>D154/B154</f>
        <v>0.5</v>
      </c>
      <c r="H154" s="52"/>
      <c r="I154" s="52"/>
      <c r="J154" s="52"/>
      <c r="K154" s="52"/>
    </row>
    <row r="155" spans="1:11" ht="35.25" customHeight="1">
      <c r="A155" s="43"/>
      <c r="B155" s="52"/>
      <c r="C155" s="52"/>
      <c r="D155" s="52"/>
      <c r="E155" s="52"/>
      <c r="F155" s="52"/>
      <c r="G155" s="53"/>
      <c r="H155" s="52"/>
      <c r="I155" s="202" t="s">
        <v>488</v>
      </c>
      <c r="J155" s="202"/>
      <c r="K155" s="52"/>
    </row>
    <row r="156" spans="1:11" ht="28.5" customHeight="1">
      <c r="A156" s="45" t="s">
        <v>415</v>
      </c>
      <c r="B156" s="52"/>
      <c r="C156" s="52"/>
      <c r="D156" s="52"/>
      <c r="E156" s="52"/>
      <c r="F156" s="52"/>
      <c r="G156" s="52"/>
      <c r="H156" s="52"/>
      <c r="I156" s="135" t="s">
        <v>489</v>
      </c>
      <c r="J156" s="135" t="s">
        <v>490</v>
      </c>
      <c r="K156" s="136"/>
    </row>
    <row r="157" spans="1:12" ht="12">
      <c r="A157" s="37" t="s">
        <v>416</v>
      </c>
      <c r="B157" s="52">
        <v>5.46</v>
      </c>
      <c r="C157" s="52"/>
      <c r="D157" s="52">
        <f>'Price-out'!M42</f>
        <v>1.03</v>
      </c>
      <c r="E157" s="52">
        <f>B157+D157</f>
        <v>6.49</v>
      </c>
      <c r="F157" s="52"/>
      <c r="G157" s="53">
        <f>D157/B157</f>
        <v>0.18864468864468864</v>
      </c>
      <c r="H157" s="52"/>
      <c r="I157" s="129">
        <f>'LG Recycl'!E34</f>
        <v>-0.6974979327577766</v>
      </c>
      <c r="J157" s="129">
        <f>E157+I157</f>
        <v>5.792502067242223</v>
      </c>
      <c r="K157" s="130"/>
      <c r="L157" s="137"/>
    </row>
    <row r="158" spans="1:11" ht="12">
      <c r="A158" s="37" t="s">
        <v>417</v>
      </c>
      <c r="B158" s="52">
        <v>6.46</v>
      </c>
      <c r="C158" s="52"/>
      <c r="D158" s="52">
        <f>'Price-out'!M41</f>
        <v>1.03</v>
      </c>
      <c r="E158" s="52">
        <f>B158+D158</f>
        <v>7.49</v>
      </c>
      <c r="F158" s="52"/>
      <c r="G158" s="53">
        <f>D158/B158</f>
        <v>0.15944272445820434</v>
      </c>
      <c r="H158" s="52"/>
      <c r="I158" s="129">
        <f>I157</f>
        <v>-0.6974979327577766</v>
      </c>
      <c r="J158" s="129">
        <f>E158+I158</f>
        <v>6.792502067242223</v>
      </c>
      <c r="K158" s="130"/>
    </row>
    <row r="159" spans="1:11" ht="12">
      <c r="A159" s="37" t="s">
        <v>429</v>
      </c>
      <c r="B159" s="52">
        <v>16.8</v>
      </c>
      <c r="C159" s="52"/>
      <c r="D159" s="52">
        <v>1.9</v>
      </c>
      <c r="E159" s="52">
        <f>B159+D159</f>
        <v>18.7</v>
      </c>
      <c r="F159" s="52"/>
      <c r="G159" s="53">
        <f>D159/B159</f>
        <v>0.11309523809523808</v>
      </c>
      <c r="H159" s="52"/>
      <c r="I159" s="55"/>
      <c r="J159" s="55"/>
      <c r="K159" s="40"/>
    </row>
    <row r="160" spans="2:13" ht="12">
      <c r="B160" s="52"/>
      <c r="C160" s="52"/>
      <c r="D160" s="52"/>
      <c r="E160" s="52"/>
      <c r="F160" s="52"/>
      <c r="G160" s="52"/>
      <c r="H160" s="52"/>
      <c r="I160" s="55"/>
      <c r="J160" s="55"/>
      <c r="K160" s="40"/>
      <c r="M160" s="134"/>
    </row>
    <row r="161" spans="1:13" ht="15" customHeight="1">
      <c r="A161" s="37" t="s">
        <v>418</v>
      </c>
      <c r="B161" s="52">
        <v>3.84</v>
      </c>
      <c r="C161" s="52"/>
      <c r="D161" s="52"/>
      <c r="E161" s="52">
        <f>B161+D161</f>
        <v>3.84</v>
      </c>
      <c r="F161" s="52"/>
      <c r="G161" s="53">
        <f>D161/B161</f>
        <v>0</v>
      </c>
      <c r="H161" s="52"/>
      <c r="I161" s="55"/>
      <c r="J161" s="55"/>
      <c r="K161" s="130"/>
      <c r="M161" s="134"/>
    </row>
    <row r="162" spans="2:11" ht="12">
      <c r="B162" s="52"/>
      <c r="C162" s="52"/>
      <c r="D162" s="52"/>
      <c r="E162" s="52"/>
      <c r="F162" s="52"/>
      <c r="G162" s="52"/>
      <c r="H162" s="52"/>
      <c r="I162" s="52"/>
      <c r="J162" s="52"/>
      <c r="K162" s="52"/>
    </row>
    <row r="163" spans="1:11" ht="12">
      <c r="A163" s="37" t="s">
        <v>10</v>
      </c>
      <c r="B163" s="52">
        <v>7.5</v>
      </c>
      <c r="C163" s="52"/>
      <c r="D163" s="52">
        <f>'Price-out'!M44</f>
        <v>0</v>
      </c>
      <c r="E163" s="52">
        <f>B163+D163</f>
        <v>7.5</v>
      </c>
      <c r="F163" s="52"/>
      <c r="G163" s="53">
        <f>D163/B163</f>
        <v>0</v>
      </c>
      <c r="H163" s="52"/>
      <c r="I163" s="52"/>
      <c r="J163" s="52"/>
      <c r="K163" s="52"/>
    </row>
    <row r="164" spans="1:11" ht="12">
      <c r="A164" s="37" t="s">
        <v>419</v>
      </c>
      <c r="B164" s="52">
        <v>6.75</v>
      </c>
      <c r="C164" s="52"/>
      <c r="D164" s="52">
        <f>B164*G163-0.01</f>
        <v>-0.01</v>
      </c>
      <c r="E164" s="52">
        <f>B164+D164</f>
        <v>6.74</v>
      </c>
      <c r="F164" s="52"/>
      <c r="G164" s="53">
        <f>D164/B164</f>
        <v>-0.0014814814814814814</v>
      </c>
      <c r="H164" s="52"/>
      <c r="I164" s="52"/>
      <c r="J164" s="52"/>
      <c r="K164" s="52"/>
    </row>
    <row r="165" spans="1:11" ht="12">
      <c r="A165" s="37" t="s">
        <v>420</v>
      </c>
      <c r="B165" s="52">
        <v>3.5</v>
      </c>
      <c r="C165" s="52"/>
      <c r="D165" s="52">
        <f>B165*G163+0.01</f>
        <v>0.01</v>
      </c>
      <c r="E165" s="52">
        <f>B165+D165</f>
        <v>3.51</v>
      </c>
      <c r="F165" s="52"/>
      <c r="G165" s="53">
        <f>D165/B165</f>
        <v>0.002857142857142857</v>
      </c>
      <c r="H165" s="52"/>
      <c r="I165" s="52"/>
      <c r="J165" s="52"/>
      <c r="K165" s="52"/>
    </row>
    <row r="166" spans="1:11" ht="12">
      <c r="A166" s="37" t="s">
        <v>429</v>
      </c>
      <c r="B166" s="52">
        <v>15</v>
      </c>
      <c r="C166" s="52"/>
      <c r="D166" s="52">
        <v>1.7</v>
      </c>
      <c r="E166" s="52">
        <f>B166+D166</f>
        <v>16.7</v>
      </c>
      <c r="F166" s="52"/>
      <c r="G166" s="53">
        <f>D166/B166</f>
        <v>0.11333333333333333</v>
      </c>
      <c r="H166" s="52"/>
      <c r="I166" s="52"/>
      <c r="J166" s="52"/>
      <c r="K166" s="52"/>
    </row>
    <row r="167" spans="2:11" ht="12">
      <c r="B167" s="52"/>
      <c r="C167" s="52"/>
      <c r="D167" s="52"/>
      <c r="E167" s="52"/>
      <c r="F167" s="52"/>
      <c r="G167" s="52"/>
      <c r="H167" s="52"/>
      <c r="I167" s="52"/>
      <c r="J167" s="52"/>
      <c r="K167" s="52"/>
    </row>
    <row r="168" spans="1:11" ht="12">
      <c r="A168" s="37" t="s">
        <v>421</v>
      </c>
      <c r="B168" s="52">
        <v>10</v>
      </c>
      <c r="C168" s="52"/>
      <c r="D168" s="52">
        <v>1.1</v>
      </c>
      <c r="E168" s="52">
        <f>B168+D168</f>
        <v>11.1</v>
      </c>
      <c r="F168" s="52"/>
      <c r="G168" s="53">
        <f>D168/B168</f>
        <v>0.11000000000000001</v>
      </c>
      <c r="H168" s="52"/>
      <c r="I168" s="52"/>
      <c r="J168" s="52"/>
      <c r="K168" s="52"/>
    </row>
    <row r="169" spans="1:11" ht="12">
      <c r="A169" s="37" t="s">
        <v>422</v>
      </c>
      <c r="B169" s="52"/>
      <c r="C169" s="52"/>
      <c r="D169" s="52"/>
      <c r="E169" s="52"/>
      <c r="F169" s="52"/>
      <c r="G169" s="52"/>
      <c r="H169" s="52"/>
      <c r="I169" s="52"/>
      <c r="J169" s="52"/>
      <c r="K169" s="52"/>
    </row>
    <row r="170" spans="2:11" ht="12">
      <c r="B170" s="52"/>
      <c r="C170" s="52"/>
      <c r="D170" s="52"/>
      <c r="E170" s="52"/>
      <c r="F170" s="52"/>
      <c r="G170" s="52"/>
      <c r="H170" s="52"/>
      <c r="I170" s="52"/>
      <c r="J170" s="52"/>
      <c r="K170" s="52"/>
    </row>
    <row r="171" spans="2:11" ht="12">
      <c r="B171" s="52"/>
      <c r="C171" s="52"/>
      <c r="D171" s="52"/>
      <c r="E171" s="52"/>
      <c r="F171" s="52"/>
      <c r="G171" s="52"/>
      <c r="H171" s="52"/>
      <c r="I171" s="52"/>
      <c r="J171" s="52"/>
      <c r="K171" s="52"/>
    </row>
    <row r="172" spans="2:11" ht="12">
      <c r="B172" s="52"/>
      <c r="C172" s="52"/>
      <c r="D172" s="52"/>
      <c r="E172" s="52"/>
      <c r="F172" s="52"/>
      <c r="G172" s="52"/>
      <c r="H172" s="52"/>
      <c r="I172" s="52"/>
      <c r="J172" s="52"/>
      <c r="K172" s="52"/>
    </row>
    <row r="173" spans="2:11" ht="12">
      <c r="B173" s="52"/>
      <c r="C173" s="52"/>
      <c r="D173" s="52"/>
      <c r="E173" s="52"/>
      <c r="F173" s="52"/>
      <c r="G173" s="52"/>
      <c r="H173" s="52"/>
      <c r="I173" s="52"/>
      <c r="J173" s="52"/>
      <c r="K173" s="52"/>
    </row>
    <row r="174" spans="2:11" ht="12">
      <c r="B174" s="52"/>
      <c r="C174" s="52"/>
      <c r="D174" s="52"/>
      <c r="E174" s="52"/>
      <c r="F174" s="52"/>
      <c r="G174" s="52"/>
      <c r="H174" s="52"/>
      <c r="I174" s="52"/>
      <c r="J174" s="52"/>
      <c r="K174" s="52"/>
    </row>
    <row r="175" spans="2:11" ht="12">
      <c r="B175" s="52"/>
      <c r="C175" s="52"/>
      <c r="D175" s="52"/>
      <c r="E175" s="52"/>
      <c r="F175" s="52"/>
      <c r="G175" s="52"/>
      <c r="H175" s="52"/>
      <c r="I175" s="52"/>
      <c r="J175" s="52"/>
      <c r="K175" s="52"/>
    </row>
    <row r="176" spans="2:11" ht="12">
      <c r="B176" s="52"/>
      <c r="C176" s="52"/>
      <c r="D176" s="52"/>
      <c r="E176" s="52"/>
      <c r="F176" s="52"/>
      <c r="G176" s="52"/>
      <c r="H176" s="52"/>
      <c r="I176" s="52"/>
      <c r="J176" s="52"/>
      <c r="K176" s="52"/>
    </row>
    <row r="177" spans="2:11" ht="12">
      <c r="B177" s="52"/>
      <c r="C177" s="52"/>
      <c r="D177" s="52"/>
      <c r="E177" s="52"/>
      <c r="F177" s="52"/>
      <c r="G177" s="52"/>
      <c r="H177" s="52"/>
      <c r="I177" s="52"/>
      <c r="J177" s="52"/>
      <c r="K177" s="52"/>
    </row>
    <row r="178" spans="2:11" ht="12">
      <c r="B178" s="52"/>
      <c r="C178" s="52"/>
      <c r="D178" s="52"/>
      <c r="E178" s="52"/>
      <c r="F178" s="52"/>
      <c r="G178" s="52"/>
      <c r="H178" s="52"/>
      <c r="I178" s="52"/>
      <c r="J178" s="52"/>
      <c r="K178" s="52"/>
    </row>
    <row r="179" spans="2:11" ht="12">
      <c r="B179" s="52"/>
      <c r="C179" s="52"/>
      <c r="D179" s="52"/>
      <c r="E179" s="52"/>
      <c r="F179" s="52"/>
      <c r="G179" s="52"/>
      <c r="H179" s="52"/>
      <c r="I179" s="52"/>
      <c r="J179" s="52"/>
      <c r="K179" s="52"/>
    </row>
    <row r="180" spans="2:11" ht="12">
      <c r="B180" s="52"/>
      <c r="C180" s="52"/>
      <c r="D180" s="52"/>
      <c r="E180" s="52"/>
      <c r="F180" s="52"/>
      <c r="G180" s="52"/>
      <c r="H180" s="52"/>
      <c r="I180" s="52"/>
      <c r="J180" s="52"/>
      <c r="K180" s="52"/>
    </row>
    <row r="181" spans="2:11" ht="12">
      <c r="B181" s="52"/>
      <c r="C181" s="52"/>
      <c r="D181" s="52"/>
      <c r="E181" s="52"/>
      <c r="F181" s="52"/>
      <c r="G181" s="52"/>
      <c r="H181" s="52"/>
      <c r="I181" s="52"/>
      <c r="J181" s="52"/>
      <c r="K181" s="52"/>
    </row>
    <row r="182" spans="2:11" ht="12">
      <c r="B182" s="52"/>
      <c r="C182" s="52"/>
      <c r="D182" s="52"/>
      <c r="E182" s="52"/>
      <c r="F182" s="52"/>
      <c r="G182" s="52"/>
      <c r="H182" s="52"/>
      <c r="I182" s="52"/>
      <c r="J182" s="52"/>
      <c r="K182" s="52"/>
    </row>
    <row r="183" spans="2:11" ht="12">
      <c r="B183" s="52"/>
      <c r="C183" s="52"/>
      <c r="D183" s="52"/>
      <c r="E183" s="52"/>
      <c r="F183" s="52"/>
      <c r="G183" s="52"/>
      <c r="H183" s="52"/>
      <c r="I183" s="52"/>
      <c r="J183" s="52"/>
      <c r="K183" s="52"/>
    </row>
    <row r="184" spans="2:11" ht="12">
      <c r="B184" s="52"/>
      <c r="C184" s="52"/>
      <c r="D184" s="52"/>
      <c r="E184" s="52"/>
      <c r="F184" s="52"/>
      <c r="G184" s="52"/>
      <c r="H184" s="52"/>
      <c r="I184" s="52"/>
      <c r="J184" s="52"/>
      <c r="K184" s="52"/>
    </row>
    <row r="185" spans="2:11" ht="12">
      <c r="B185" s="52"/>
      <c r="C185" s="52"/>
      <c r="D185" s="52"/>
      <c r="E185" s="52"/>
      <c r="F185" s="52"/>
      <c r="G185" s="52"/>
      <c r="H185" s="52"/>
      <c r="I185" s="52"/>
      <c r="J185" s="52"/>
      <c r="K185" s="52"/>
    </row>
    <row r="186" spans="2:11" ht="12">
      <c r="B186" s="52"/>
      <c r="C186" s="52"/>
      <c r="D186" s="52"/>
      <c r="E186" s="52"/>
      <c r="F186" s="52"/>
      <c r="G186" s="52"/>
      <c r="H186" s="52"/>
      <c r="I186" s="52"/>
      <c r="J186" s="52"/>
      <c r="K186" s="52"/>
    </row>
    <row r="187" spans="2:11" ht="12">
      <c r="B187" s="52"/>
      <c r="C187" s="52"/>
      <c r="D187" s="52"/>
      <c r="E187" s="52"/>
      <c r="F187" s="52"/>
      <c r="G187" s="52"/>
      <c r="H187" s="52"/>
      <c r="I187" s="52"/>
      <c r="J187" s="52"/>
      <c r="K187" s="52"/>
    </row>
    <row r="188" spans="2:11" ht="12">
      <c r="B188" s="52"/>
      <c r="C188" s="52"/>
      <c r="D188" s="52"/>
      <c r="E188" s="52"/>
      <c r="F188" s="52"/>
      <c r="G188" s="52"/>
      <c r="H188" s="52"/>
      <c r="I188" s="52"/>
      <c r="J188" s="52"/>
      <c r="K188" s="52"/>
    </row>
    <row r="189" spans="2:11" ht="12">
      <c r="B189" s="52"/>
      <c r="C189" s="52"/>
      <c r="D189" s="52"/>
      <c r="E189" s="52"/>
      <c r="F189" s="52"/>
      <c r="G189" s="52"/>
      <c r="H189" s="52"/>
      <c r="I189" s="52"/>
      <c r="J189" s="52"/>
      <c r="K189" s="52"/>
    </row>
    <row r="190" spans="2:11" ht="12">
      <c r="B190" s="52"/>
      <c r="C190" s="52"/>
      <c r="D190" s="52"/>
      <c r="E190" s="52"/>
      <c r="F190" s="52"/>
      <c r="G190" s="52"/>
      <c r="H190" s="52"/>
      <c r="I190" s="52"/>
      <c r="J190" s="52"/>
      <c r="K190" s="52"/>
    </row>
    <row r="191" spans="2:11" ht="12">
      <c r="B191" s="52"/>
      <c r="C191" s="52"/>
      <c r="D191" s="52"/>
      <c r="E191" s="52"/>
      <c r="F191" s="52"/>
      <c r="G191" s="52"/>
      <c r="H191" s="52"/>
      <c r="I191" s="52"/>
      <c r="J191" s="52"/>
      <c r="K191" s="52"/>
    </row>
    <row r="192" spans="2:11" ht="12">
      <c r="B192" s="52"/>
      <c r="C192" s="52"/>
      <c r="D192" s="52"/>
      <c r="E192" s="52"/>
      <c r="F192" s="52"/>
      <c r="G192" s="52"/>
      <c r="H192" s="52"/>
      <c r="I192" s="52"/>
      <c r="J192" s="52"/>
      <c r="K192" s="52"/>
    </row>
    <row r="193" spans="2:11" ht="12">
      <c r="B193" s="52"/>
      <c r="C193" s="52"/>
      <c r="D193" s="52"/>
      <c r="E193" s="52"/>
      <c r="F193" s="52"/>
      <c r="G193" s="52"/>
      <c r="H193" s="52"/>
      <c r="I193" s="52"/>
      <c r="J193" s="52"/>
      <c r="K193" s="52"/>
    </row>
    <row r="194" spans="2:11" ht="12">
      <c r="B194" s="52"/>
      <c r="C194" s="52"/>
      <c r="D194" s="52"/>
      <c r="E194" s="52"/>
      <c r="F194" s="52"/>
      <c r="G194" s="52"/>
      <c r="H194" s="52"/>
      <c r="I194" s="52"/>
      <c r="J194" s="52"/>
      <c r="K194" s="52"/>
    </row>
    <row r="195" spans="2:11" ht="12">
      <c r="B195" s="52"/>
      <c r="C195" s="52"/>
      <c r="D195" s="52"/>
      <c r="E195" s="52"/>
      <c r="F195" s="52"/>
      <c r="G195" s="52"/>
      <c r="H195" s="52"/>
      <c r="I195" s="52"/>
      <c r="J195" s="52"/>
      <c r="K195" s="52"/>
    </row>
    <row r="196" spans="2:11" ht="12">
      <c r="B196" s="52"/>
      <c r="C196" s="52"/>
      <c r="D196" s="52"/>
      <c r="E196" s="52"/>
      <c r="F196" s="52"/>
      <c r="G196" s="52"/>
      <c r="H196" s="52"/>
      <c r="I196" s="52"/>
      <c r="J196" s="52"/>
      <c r="K196" s="52"/>
    </row>
    <row r="197" spans="2:11" ht="12">
      <c r="B197" s="52"/>
      <c r="C197" s="52"/>
      <c r="D197" s="52"/>
      <c r="E197" s="52"/>
      <c r="F197" s="52"/>
      <c r="G197" s="52"/>
      <c r="H197" s="52"/>
      <c r="I197" s="52"/>
      <c r="J197" s="52"/>
      <c r="K197" s="52"/>
    </row>
    <row r="198" spans="2:11" ht="12">
      <c r="B198" s="52"/>
      <c r="C198" s="52"/>
      <c r="D198" s="52"/>
      <c r="E198" s="52"/>
      <c r="F198" s="52"/>
      <c r="G198" s="52"/>
      <c r="H198" s="52"/>
      <c r="I198" s="52"/>
      <c r="J198" s="52"/>
      <c r="K198" s="52"/>
    </row>
    <row r="199" spans="2:11" ht="12">
      <c r="B199" s="52"/>
      <c r="C199" s="52"/>
      <c r="D199" s="52"/>
      <c r="E199" s="52"/>
      <c r="F199" s="52"/>
      <c r="G199" s="52"/>
      <c r="H199" s="52"/>
      <c r="I199" s="52"/>
      <c r="J199" s="52"/>
      <c r="K199" s="52"/>
    </row>
    <row r="200" spans="2:11" ht="12">
      <c r="B200" s="52"/>
      <c r="C200" s="52"/>
      <c r="D200" s="52"/>
      <c r="E200" s="52"/>
      <c r="F200" s="52"/>
      <c r="G200" s="52"/>
      <c r="H200" s="52"/>
      <c r="I200" s="52"/>
      <c r="J200" s="52"/>
      <c r="K200" s="52"/>
    </row>
    <row r="201" spans="2:11" ht="12">
      <c r="B201" s="52"/>
      <c r="C201" s="52"/>
      <c r="D201" s="52"/>
      <c r="E201" s="52"/>
      <c r="F201" s="52"/>
      <c r="G201" s="52"/>
      <c r="H201" s="52"/>
      <c r="I201" s="52"/>
      <c r="J201" s="52"/>
      <c r="K201" s="52"/>
    </row>
    <row r="202" spans="2:11" ht="12">
      <c r="B202" s="52"/>
      <c r="C202" s="52"/>
      <c r="D202" s="52"/>
      <c r="E202" s="52"/>
      <c r="F202" s="52"/>
      <c r="G202" s="52"/>
      <c r="H202" s="52"/>
      <c r="I202" s="52"/>
      <c r="J202" s="52"/>
      <c r="K202" s="52"/>
    </row>
    <row r="203" spans="2:11" ht="12">
      <c r="B203" s="52"/>
      <c r="C203" s="52"/>
      <c r="D203" s="52"/>
      <c r="E203" s="52"/>
      <c r="F203" s="52"/>
      <c r="G203" s="52"/>
      <c r="H203" s="52"/>
      <c r="I203" s="52"/>
      <c r="J203" s="52"/>
      <c r="K203" s="52"/>
    </row>
    <row r="204" spans="2:11" ht="12">
      <c r="B204" s="52"/>
      <c r="C204" s="52"/>
      <c r="D204" s="52"/>
      <c r="E204" s="52"/>
      <c r="F204" s="52"/>
      <c r="G204" s="52"/>
      <c r="H204" s="52"/>
      <c r="I204" s="52"/>
      <c r="J204" s="52"/>
      <c r="K204" s="52"/>
    </row>
    <row r="205" spans="2:11" ht="12">
      <c r="B205" s="52"/>
      <c r="C205" s="52"/>
      <c r="D205" s="52"/>
      <c r="E205" s="52"/>
      <c r="F205" s="52"/>
      <c r="G205" s="52"/>
      <c r="H205" s="52"/>
      <c r="I205" s="52"/>
      <c r="J205" s="52"/>
      <c r="K205" s="52"/>
    </row>
    <row r="206" spans="2:11" ht="12">
      <c r="B206" s="52"/>
      <c r="C206" s="52"/>
      <c r="D206" s="52"/>
      <c r="E206" s="52"/>
      <c r="F206" s="52"/>
      <c r="G206" s="52"/>
      <c r="H206" s="52"/>
      <c r="I206" s="52"/>
      <c r="J206" s="52"/>
      <c r="K206" s="52"/>
    </row>
    <row r="207" spans="2:11" ht="12">
      <c r="B207" s="52"/>
      <c r="C207" s="52"/>
      <c r="D207" s="52"/>
      <c r="E207" s="52"/>
      <c r="F207" s="52"/>
      <c r="G207" s="52"/>
      <c r="H207" s="52"/>
      <c r="I207" s="52"/>
      <c r="J207" s="52"/>
      <c r="K207" s="52"/>
    </row>
    <row r="208" spans="2:11" ht="12">
      <c r="B208" s="52"/>
      <c r="C208" s="52"/>
      <c r="D208" s="52"/>
      <c r="E208" s="52"/>
      <c r="F208" s="52"/>
      <c r="G208" s="52"/>
      <c r="H208" s="52"/>
      <c r="I208" s="52"/>
      <c r="J208" s="52"/>
      <c r="K208" s="52"/>
    </row>
    <row r="209" spans="2:11" ht="12">
      <c r="B209" s="52"/>
      <c r="C209" s="52"/>
      <c r="D209" s="52"/>
      <c r="E209" s="52"/>
      <c r="F209" s="52"/>
      <c r="G209" s="52"/>
      <c r="H209" s="52"/>
      <c r="I209" s="52"/>
      <c r="J209" s="52"/>
      <c r="K209" s="52"/>
    </row>
    <row r="210" spans="2:11" ht="12">
      <c r="B210" s="52"/>
      <c r="C210" s="52"/>
      <c r="D210" s="52"/>
      <c r="E210" s="52"/>
      <c r="F210" s="52"/>
      <c r="G210" s="52"/>
      <c r="H210" s="52"/>
      <c r="I210" s="52"/>
      <c r="J210" s="52"/>
      <c r="K210" s="52"/>
    </row>
    <row r="211" spans="2:11" ht="12">
      <c r="B211" s="52"/>
      <c r="C211" s="52"/>
      <c r="D211" s="52"/>
      <c r="E211" s="52"/>
      <c r="F211" s="52"/>
      <c r="G211" s="52"/>
      <c r="H211" s="52"/>
      <c r="I211" s="52"/>
      <c r="J211" s="52"/>
      <c r="K211" s="52"/>
    </row>
    <row r="212" spans="2:11" ht="12">
      <c r="B212" s="52"/>
      <c r="C212" s="52"/>
      <c r="D212" s="52"/>
      <c r="E212" s="52"/>
      <c r="F212" s="52"/>
      <c r="G212" s="52"/>
      <c r="H212" s="52"/>
      <c r="I212" s="52"/>
      <c r="J212" s="52"/>
      <c r="K212" s="52"/>
    </row>
    <row r="213" spans="2:11" ht="12">
      <c r="B213" s="52"/>
      <c r="C213" s="52"/>
      <c r="D213" s="52"/>
      <c r="E213" s="52"/>
      <c r="F213" s="52"/>
      <c r="G213" s="52"/>
      <c r="H213" s="52"/>
      <c r="I213" s="52"/>
      <c r="J213" s="52"/>
      <c r="K213" s="52"/>
    </row>
    <row r="214" spans="2:11" ht="12">
      <c r="B214" s="52"/>
      <c r="C214" s="52"/>
      <c r="D214" s="52"/>
      <c r="E214" s="52"/>
      <c r="F214" s="52"/>
      <c r="G214" s="52"/>
      <c r="H214" s="52"/>
      <c r="I214" s="52"/>
      <c r="J214" s="52"/>
      <c r="K214" s="52"/>
    </row>
    <row r="215" spans="2:11" ht="12">
      <c r="B215" s="52"/>
      <c r="C215" s="52"/>
      <c r="D215" s="52"/>
      <c r="E215" s="52"/>
      <c r="F215" s="52"/>
      <c r="G215" s="52"/>
      <c r="H215" s="52"/>
      <c r="I215" s="52"/>
      <c r="J215" s="52"/>
      <c r="K215" s="52"/>
    </row>
    <row r="216" spans="2:11" ht="12">
      <c r="B216" s="52"/>
      <c r="C216" s="52"/>
      <c r="D216" s="52"/>
      <c r="E216" s="52"/>
      <c r="F216" s="52"/>
      <c r="G216" s="52"/>
      <c r="H216" s="52"/>
      <c r="I216" s="52"/>
      <c r="J216" s="52"/>
      <c r="K216" s="52"/>
    </row>
    <row r="217" spans="2:11" ht="12">
      <c r="B217" s="52"/>
      <c r="C217" s="52"/>
      <c r="D217" s="52"/>
      <c r="E217" s="52"/>
      <c r="F217" s="52"/>
      <c r="G217" s="52"/>
      <c r="H217" s="52"/>
      <c r="I217" s="52"/>
      <c r="J217" s="52"/>
      <c r="K217" s="52"/>
    </row>
    <row r="218" spans="2:11" ht="12">
      <c r="B218" s="52"/>
      <c r="C218" s="52"/>
      <c r="D218" s="52"/>
      <c r="E218" s="52"/>
      <c r="F218" s="52"/>
      <c r="G218" s="52"/>
      <c r="H218" s="52"/>
      <c r="I218" s="52"/>
      <c r="J218" s="52"/>
      <c r="K218" s="52"/>
    </row>
    <row r="219" spans="2:11" ht="12">
      <c r="B219" s="52"/>
      <c r="C219" s="52"/>
      <c r="D219" s="52"/>
      <c r="E219" s="52"/>
      <c r="F219" s="52"/>
      <c r="G219" s="52"/>
      <c r="H219" s="52"/>
      <c r="I219" s="52"/>
      <c r="J219" s="52"/>
      <c r="K219" s="52"/>
    </row>
    <row r="220" spans="2:11" ht="12">
      <c r="B220" s="52"/>
      <c r="C220" s="52"/>
      <c r="D220" s="52"/>
      <c r="E220" s="52"/>
      <c r="F220" s="52"/>
      <c r="G220" s="52"/>
      <c r="H220" s="52"/>
      <c r="I220" s="52"/>
      <c r="J220" s="52"/>
      <c r="K220" s="52"/>
    </row>
    <row r="221" spans="2:11" ht="12">
      <c r="B221" s="52"/>
      <c r="C221" s="52"/>
      <c r="D221" s="52"/>
      <c r="E221" s="52"/>
      <c r="F221" s="52"/>
      <c r="G221" s="52"/>
      <c r="H221" s="52"/>
      <c r="I221" s="52"/>
      <c r="J221" s="52"/>
      <c r="K221" s="52"/>
    </row>
    <row r="222" spans="2:11" ht="12">
      <c r="B222" s="52"/>
      <c r="C222" s="52"/>
      <c r="D222" s="52"/>
      <c r="E222" s="52"/>
      <c r="F222" s="52"/>
      <c r="G222" s="52"/>
      <c r="H222" s="52"/>
      <c r="I222" s="52"/>
      <c r="J222" s="52"/>
      <c r="K222" s="52"/>
    </row>
    <row r="223" spans="2:11" ht="12">
      <c r="B223" s="52"/>
      <c r="C223" s="52"/>
      <c r="D223" s="52"/>
      <c r="E223" s="52"/>
      <c r="F223" s="52"/>
      <c r="G223" s="52"/>
      <c r="H223" s="52"/>
      <c r="I223" s="52"/>
      <c r="J223" s="52"/>
      <c r="K223" s="52"/>
    </row>
    <row r="224" spans="2:11" ht="12">
      <c r="B224" s="52"/>
      <c r="C224" s="52"/>
      <c r="D224" s="52"/>
      <c r="E224" s="52"/>
      <c r="F224" s="52"/>
      <c r="G224" s="52"/>
      <c r="H224" s="52"/>
      <c r="I224" s="52"/>
      <c r="J224" s="52"/>
      <c r="K224" s="52"/>
    </row>
    <row r="225" spans="2:11" ht="12">
      <c r="B225" s="52"/>
      <c r="C225" s="52"/>
      <c r="D225" s="52"/>
      <c r="E225" s="52"/>
      <c r="F225" s="52"/>
      <c r="G225" s="52"/>
      <c r="H225" s="52"/>
      <c r="I225" s="52"/>
      <c r="J225" s="52"/>
      <c r="K225" s="52"/>
    </row>
    <row r="226" spans="2:11" ht="12">
      <c r="B226" s="52"/>
      <c r="C226" s="52"/>
      <c r="D226" s="52"/>
      <c r="E226" s="52"/>
      <c r="F226" s="52"/>
      <c r="G226" s="52"/>
      <c r="H226" s="52"/>
      <c r="I226" s="52"/>
      <c r="J226" s="52"/>
      <c r="K226" s="52"/>
    </row>
    <row r="227" spans="2:11" ht="12">
      <c r="B227" s="52"/>
      <c r="C227" s="52"/>
      <c r="D227" s="52"/>
      <c r="E227" s="52"/>
      <c r="F227" s="52"/>
      <c r="G227" s="52"/>
      <c r="H227" s="52"/>
      <c r="I227" s="52"/>
      <c r="J227" s="52"/>
      <c r="K227" s="52"/>
    </row>
    <row r="228" spans="2:11" ht="12">
      <c r="B228" s="52"/>
      <c r="C228" s="52"/>
      <c r="D228" s="52"/>
      <c r="E228" s="52"/>
      <c r="F228" s="52"/>
      <c r="G228" s="52"/>
      <c r="H228" s="52"/>
      <c r="I228" s="52"/>
      <c r="J228" s="52"/>
      <c r="K228" s="52"/>
    </row>
    <row r="229" spans="2:11" ht="12">
      <c r="B229" s="52"/>
      <c r="C229" s="52"/>
      <c r="D229" s="52"/>
      <c r="E229" s="52"/>
      <c r="F229" s="52"/>
      <c r="G229" s="52"/>
      <c r="H229" s="52"/>
      <c r="I229" s="52"/>
      <c r="J229" s="52"/>
      <c r="K229" s="52"/>
    </row>
    <row r="230" spans="2:11" ht="12">
      <c r="B230" s="52"/>
      <c r="C230" s="52"/>
      <c r="D230" s="52"/>
      <c r="E230" s="52"/>
      <c r="F230" s="52"/>
      <c r="G230" s="52"/>
      <c r="H230" s="52"/>
      <c r="I230" s="52"/>
      <c r="J230" s="52"/>
      <c r="K230" s="52"/>
    </row>
    <row r="231" spans="2:11" ht="12">
      <c r="B231" s="52"/>
      <c r="C231" s="52"/>
      <c r="D231" s="52"/>
      <c r="E231" s="52"/>
      <c r="F231" s="52"/>
      <c r="G231" s="52"/>
      <c r="H231" s="52"/>
      <c r="I231" s="52"/>
      <c r="J231" s="52"/>
      <c r="K231" s="52"/>
    </row>
  </sheetData>
  <sheetProtection/>
  <mergeCells count="1">
    <mergeCell ref="I155:J155"/>
  </mergeCells>
  <printOptions/>
  <pageMargins left="0.7" right="0.7" top="0.75" bottom="0.75" header="0.3" footer="0.3"/>
  <pageSetup fitToHeight="3" fitToWidth="1" horizontalDpi="600" verticalDpi="600" orientation="portrait" pageOrder="overThenDown" scale="91" r:id="rId1"/>
  <headerFooter>
    <oddFooter>&amp;CPage &amp;P of &amp;N</oddFooter>
  </headerFooter>
  <rowBreaks count="2" manualBreakCount="2">
    <brk id="59" max="255" man="1"/>
    <brk id="115" max="255" man="1"/>
  </rowBreaks>
</worksheet>
</file>

<file path=xl/worksheets/sheet5.xml><?xml version="1.0" encoding="utf-8"?>
<worksheet xmlns="http://schemas.openxmlformats.org/spreadsheetml/2006/main" xmlns:r="http://schemas.openxmlformats.org/officeDocument/2006/relationships">
  <sheetPr>
    <tabColor rgb="FF00B0F0"/>
    <pageSetUpPr fitToPage="1"/>
  </sheetPr>
  <dimension ref="A1:R182"/>
  <sheetViews>
    <sheetView view="pageBreakPreview" zoomScaleSheetLayoutView="100" zoomScalePageLayoutView="0" workbookViewId="0" topLeftCell="A13">
      <selection activeCell="L19" sqref="L19:L20"/>
    </sheetView>
  </sheetViews>
  <sheetFormatPr defaultColWidth="9.140625" defaultRowHeight="12.75"/>
  <cols>
    <col min="1" max="1" width="30.57421875" style="62" customWidth="1"/>
    <col min="2" max="2" width="9.140625" style="62" customWidth="1"/>
    <col min="3" max="3" width="7.7109375" style="62" customWidth="1"/>
    <col min="4" max="5" width="9.00390625" style="62" customWidth="1"/>
    <col min="6" max="6" width="8.57421875" style="62" customWidth="1"/>
    <col min="7" max="7" width="9.421875" style="62" customWidth="1"/>
    <col min="8" max="9" width="8.57421875" style="62" customWidth="1"/>
    <col min="10" max="10" width="1.1484375" style="62" customWidth="1"/>
    <col min="11" max="12" width="8.57421875" style="62" customWidth="1"/>
    <col min="13" max="17" width="9.140625" style="62" customWidth="1"/>
    <col min="18" max="18" width="13.7109375" style="62" customWidth="1"/>
    <col min="19" max="16384" width="9.140625" style="62" customWidth="1"/>
  </cols>
  <sheetData>
    <row r="1" spans="1:9" ht="11.25">
      <c r="A1" s="63" t="s">
        <v>178</v>
      </c>
      <c r="B1" s="64"/>
      <c r="C1" s="64"/>
      <c r="D1" s="65"/>
      <c r="E1" s="65"/>
      <c r="F1" s="65"/>
      <c r="G1" s="65"/>
      <c r="H1" s="63"/>
      <c r="I1" s="63"/>
    </row>
    <row r="2" spans="1:12" ht="11.25">
      <c r="A2" s="63" t="s">
        <v>179</v>
      </c>
      <c r="B2" s="64"/>
      <c r="C2" s="64"/>
      <c r="D2" s="65"/>
      <c r="E2" s="65"/>
      <c r="F2" s="65"/>
      <c r="G2" s="65"/>
      <c r="H2" s="63"/>
      <c r="I2" s="63"/>
      <c r="L2" s="81">
        <f>K169</f>
        <v>102697.56320200002</v>
      </c>
    </row>
    <row r="3" spans="1:13" ht="11.25">
      <c r="A3" s="66"/>
      <c r="B3" s="67" t="s">
        <v>180</v>
      </c>
      <c r="C3" s="67"/>
      <c r="D3" s="68" t="s">
        <v>181</v>
      </c>
      <c r="E3" s="68"/>
      <c r="F3" s="68" t="s">
        <v>83</v>
      </c>
      <c r="G3" s="68"/>
      <c r="H3" s="68"/>
      <c r="I3" s="68"/>
      <c r="L3" s="69"/>
      <c r="M3" s="81"/>
    </row>
    <row r="4" spans="1:9" ht="11.25">
      <c r="A4" s="70" t="s">
        <v>329</v>
      </c>
      <c r="B4" s="71" t="s">
        <v>182</v>
      </c>
      <c r="C4" s="71"/>
      <c r="D4" s="72" t="s">
        <v>183</v>
      </c>
      <c r="E4" s="72" t="s">
        <v>183</v>
      </c>
      <c r="F4" s="68" t="s">
        <v>82</v>
      </c>
      <c r="G4" s="73" t="s">
        <v>84</v>
      </c>
      <c r="H4" s="68"/>
      <c r="I4" s="68"/>
    </row>
    <row r="5" spans="1:12" ht="11.25">
      <c r="A5" s="66"/>
      <c r="B5" s="67" t="s">
        <v>184</v>
      </c>
      <c r="C5" s="67" t="s">
        <v>180</v>
      </c>
      <c r="D5" s="74">
        <v>2009</v>
      </c>
      <c r="E5" s="74">
        <v>2009</v>
      </c>
      <c r="F5" s="74">
        <v>2009</v>
      </c>
      <c r="G5" s="74">
        <v>2009</v>
      </c>
      <c r="H5" s="66" t="s">
        <v>185</v>
      </c>
      <c r="I5" s="66" t="s">
        <v>186</v>
      </c>
      <c r="K5" s="75" t="s">
        <v>187</v>
      </c>
      <c r="L5" s="75" t="s">
        <v>334</v>
      </c>
    </row>
    <row r="6" spans="1:12" ht="12" thickBot="1">
      <c r="A6" s="76" t="s">
        <v>188</v>
      </c>
      <c r="B6" s="77" t="s">
        <v>180</v>
      </c>
      <c r="C6" s="77" t="s">
        <v>432</v>
      </c>
      <c r="D6" s="78" t="s">
        <v>106</v>
      </c>
      <c r="E6" s="78" t="s">
        <v>106</v>
      </c>
      <c r="F6" s="78" t="s">
        <v>106</v>
      </c>
      <c r="G6" s="78" t="s">
        <v>106</v>
      </c>
      <c r="H6" s="76" t="s">
        <v>189</v>
      </c>
      <c r="I6" s="76" t="s">
        <v>107</v>
      </c>
      <c r="L6" s="75" t="s">
        <v>453</v>
      </c>
    </row>
    <row r="7" spans="1:11" ht="11.25">
      <c r="A7" s="79" t="s">
        <v>87</v>
      </c>
      <c r="B7" s="67"/>
      <c r="C7" s="67"/>
      <c r="D7" s="68"/>
      <c r="E7" s="68"/>
      <c r="F7" s="68"/>
      <c r="G7" s="68"/>
      <c r="H7" s="66"/>
      <c r="I7" s="66"/>
      <c r="K7" s="62">
        <v>0.0305</v>
      </c>
    </row>
    <row r="8" spans="1:12" ht="11.25">
      <c r="A8" s="63" t="s">
        <v>190</v>
      </c>
      <c r="B8" s="64">
        <v>19.55</v>
      </c>
      <c r="C8" s="64"/>
      <c r="D8" s="65">
        <v>85207.94</v>
      </c>
      <c r="E8" s="65">
        <v>642592</v>
      </c>
      <c r="F8" s="65"/>
      <c r="G8" s="65">
        <f aca="true" t="shared" si="0" ref="G8:G44">SUM(D8:F8)</f>
        <v>727799.94</v>
      </c>
      <c r="H8" s="65">
        <f aca="true" t="shared" si="1" ref="H8:H44">ROUND(G8/B8,2)</f>
        <v>37227.62</v>
      </c>
      <c r="I8" s="65">
        <f>H8/12</f>
        <v>3102.3016666666667</v>
      </c>
      <c r="K8" s="80">
        <f>ROUND(B8*$K$7,2)</f>
        <v>0.6</v>
      </c>
      <c r="L8" s="81">
        <f>K8*H8</f>
        <v>22336.572</v>
      </c>
    </row>
    <row r="9" spans="1:12" ht="11.25">
      <c r="A9" s="63" t="s">
        <v>191</v>
      </c>
      <c r="B9" s="64">
        <v>19.55</v>
      </c>
      <c r="C9" s="64"/>
      <c r="D9" s="65"/>
      <c r="E9" s="65"/>
      <c r="F9" s="65"/>
      <c r="G9" s="65">
        <f t="shared" si="0"/>
        <v>0</v>
      </c>
      <c r="H9" s="65">
        <f t="shared" si="1"/>
        <v>0</v>
      </c>
      <c r="I9" s="65"/>
      <c r="K9" s="80">
        <f aca="true" t="shared" si="2" ref="K9:K30">ROUND(B9*$K$7,2)</f>
        <v>0.6</v>
      </c>
      <c r="L9" s="81">
        <f aca="true" t="shared" si="3" ref="L9:L36">K9*H9</f>
        <v>0</v>
      </c>
    </row>
    <row r="10" spans="1:12" ht="11.25">
      <c r="A10" s="63" t="s">
        <v>192</v>
      </c>
      <c r="B10" s="64">
        <v>13.13</v>
      </c>
      <c r="C10" s="64"/>
      <c r="D10" s="65">
        <v>126391.81</v>
      </c>
      <c r="E10" s="65">
        <v>661320</v>
      </c>
      <c r="F10" s="65">
        <v>4157</v>
      </c>
      <c r="G10" s="65">
        <f t="shared" si="0"/>
        <v>791868.81</v>
      </c>
      <c r="H10" s="65">
        <f t="shared" si="1"/>
        <v>60309.89</v>
      </c>
      <c r="I10" s="65">
        <f>H10/12</f>
        <v>5025.824166666666</v>
      </c>
      <c r="K10" s="80">
        <f t="shared" si="2"/>
        <v>0.4</v>
      </c>
      <c r="L10" s="81">
        <f t="shared" si="3"/>
        <v>24123.956000000002</v>
      </c>
    </row>
    <row r="11" spans="1:12" ht="11.25">
      <c r="A11" s="63" t="s">
        <v>193</v>
      </c>
      <c r="B11" s="64">
        <v>13.13</v>
      </c>
      <c r="C11" s="64"/>
      <c r="D11" s="65"/>
      <c r="E11" s="65"/>
      <c r="F11" s="65"/>
      <c r="G11" s="65">
        <f t="shared" si="0"/>
        <v>0</v>
      </c>
      <c r="H11" s="65">
        <f t="shared" si="1"/>
        <v>0</v>
      </c>
      <c r="I11" s="65"/>
      <c r="K11" s="80">
        <f t="shared" si="2"/>
        <v>0.4</v>
      </c>
      <c r="L11" s="81">
        <f t="shared" si="3"/>
        <v>0</v>
      </c>
    </row>
    <row r="12" spans="1:12" ht="11.25">
      <c r="A12" s="63" t="s">
        <v>194</v>
      </c>
      <c r="B12" s="64">
        <v>8.5</v>
      </c>
      <c r="C12" s="64"/>
      <c r="D12" s="65">
        <v>15758.6</v>
      </c>
      <c r="E12" s="65">
        <v>107996</v>
      </c>
      <c r="F12" s="65"/>
      <c r="G12" s="65">
        <f t="shared" si="0"/>
        <v>123754.6</v>
      </c>
      <c r="H12" s="65">
        <f t="shared" si="1"/>
        <v>14559.36</v>
      </c>
      <c r="I12" s="65">
        <f>H12/12</f>
        <v>1213.28</v>
      </c>
      <c r="K12" s="80">
        <f t="shared" si="2"/>
        <v>0.26</v>
      </c>
      <c r="L12" s="81">
        <f t="shared" si="3"/>
        <v>3785.4336000000003</v>
      </c>
    </row>
    <row r="13" spans="1:12" ht="11.25">
      <c r="A13" s="63" t="s">
        <v>195</v>
      </c>
      <c r="B13" s="64">
        <v>8.5</v>
      </c>
      <c r="C13" s="64"/>
      <c r="D13" s="65"/>
      <c r="E13" s="65">
        <v>1562</v>
      </c>
      <c r="F13" s="65"/>
      <c r="G13" s="65">
        <f t="shared" si="0"/>
        <v>1562</v>
      </c>
      <c r="H13" s="65">
        <f t="shared" si="1"/>
        <v>183.76</v>
      </c>
      <c r="I13" s="65"/>
      <c r="K13" s="80">
        <f t="shared" si="2"/>
        <v>0.26</v>
      </c>
      <c r="L13" s="81">
        <f t="shared" si="3"/>
        <v>47.7776</v>
      </c>
    </row>
    <row r="14" spans="1:12" ht="11.25">
      <c r="A14" s="63" t="s">
        <v>196</v>
      </c>
      <c r="B14" s="64">
        <v>25.5</v>
      </c>
      <c r="C14" s="64"/>
      <c r="D14" s="65">
        <v>19136.49</v>
      </c>
      <c r="E14" s="65">
        <v>136079</v>
      </c>
      <c r="F14" s="65"/>
      <c r="G14" s="65">
        <f t="shared" si="0"/>
        <v>155215.49</v>
      </c>
      <c r="H14" s="65">
        <f t="shared" si="1"/>
        <v>6086.88</v>
      </c>
      <c r="I14" s="65">
        <f>H14/12</f>
        <v>507.24</v>
      </c>
      <c r="K14" s="80">
        <f t="shared" si="2"/>
        <v>0.78</v>
      </c>
      <c r="L14" s="81">
        <f t="shared" si="3"/>
        <v>4747.7664</v>
      </c>
    </row>
    <row r="15" spans="1:12" ht="11.25">
      <c r="A15" s="63" t="s">
        <v>445</v>
      </c>
      <c r="B15" s="64">
        <v>25.5</v>
      </c>
      <c r="C15" s="64"/>
      <c r="D15" s="65">
        <v>178.5</v>
      </c>
      <c r="E15" s="65"/>
      <c r="F15" s="65"/>
      <c r="G15" s="65">
        <f t="shared" si="0"/>
        <v>178.5</v>
      </c>
      <c r="H15" s="65">
        <f t="shared" si="1"/>
        <v>7</v>
      </c>
      <c r="I15" s="65"/>
      <c r="K15" s="80">
        <f t="shared" si="2"/>
        <v>0.78</v>
      </c>
      <c r="L15" s="81">
        <f t="shared" si="3"/>
        <v>5.46</v>
      </c>
    </row>
    <row r="16" spans="1:12" ht="11.25">
      <c r="A16" s="63" t="s">
        <v>197</v>
      </c>
      <c r="B16" s="64">
        <v>20.2</v>
      </c>
      <c r="C16" s="64"/>
      <c r="D16" s="65">
        <v>6933.7</v>
      </c>
      <c r="E16" s="65">
        <v>47822</v>
      </c>
      <c r="F16" s="65"/>
      <c r="G16" s="65">
        <f t="shared" si="0"/>
        <v>54755.7</v>
      </c>
      <c r="H16" s="65">
        <f t="shared" si="1"/>
        <v>2710.68</v>
      </c>
      <c r="I16" s="65">
        <f>H16/12</f>
        <v>225.89</v>
      </c>
      <c r="K16" s="80">
        <f t="shared" si="2"/>
        <v>0.62</v>
      </c>
      <c r="L16" s="81">
        <f t="shared" si="3"/>
        <v>1680.6216</v>
      </c>
    </row>
    <row r="17" spans="1:12" ht="11.25">
      <c r="A17" s="63" t="s">
        <v>198</v>
      </c>
      <c r="B17" s="64">
        <v>20.2</v>
      </c>
      <c r="C17" s="64"/>
      <c r="D17" s="65"/>
      <c r="E17" s="65"/>
      <c r="F17" s="65"/>
      <c r="G17" s="65">
        <f t="shared" si="0"/>
        <v>0</v>
      </c>
      <c r="H17" s="65">
        <f t="shared" si="1"/>
        <v>0</v>
      </c>
      <c r="I17" s="65"/>
      <c r="K17" s="80">
        <f t="shared" si="2"/>
        <v>0.62</v>
      </c>
      <c r="L17" s="81">
        <f t="shared" si="3"/>
        <v>0</v>
      </c>
    </row>
    <row r="18" spans="1:12" ht="11.25">
      <c r="A18" s="63" t="s">
        <v>199</v>
      </c>
      <c r="B18" s="64">
        <v>10.5</v>
      </c>
      <c r="C18" s="64"/>
      <c r="D18" s="65">
        <v>1837.5</v>
      </c>
      <c r="E18" s="65">
        <v>15288</v>
      </c>
      <c r="F18" s="65"/>
      <c r="G18" s="65">
        <f t="shared" si="0"/>
        <v>17125.5</v>
      </c>
      <c r="H18" s="65">
        <f t="shared" si="1"/>
        <v>1631</v>
      </c>
      <c r="I18" s="65">
        <f>H18/12</f>
        <v>135.91666666666666</v>
      </c>
      <c r="K18" s="80">
        <f t="shared" si="2"/>
        <v>0.32</v>
      </c>
      <c r="L18" s="81">
        <f t="shared" si="3"/>
        <v>521.92</v>
      </c>
    </row>
    <row r="19" spans="1:12" ht="11.25">
      <c r="A19" s="63" t="s">
        <v>200</v>
      </c>
      <c r="B19" s="64">
        <v>10.5</v>
      </c>
      <c r="C19" s="64"/>
      <c r="D19" s="65"/>
      <c r="E19" s="65">
        <v>221</v>
      </c>
      <c r="F19" s="65"/>
      <c r="G19" s="65">
        <f t="shared" si="0"/>
        <v>221</v>
      </c>
      <c r="H19" s="65">
        <f t="shared" si="1"/>
        <v>21.05</v>
      </c>
      <c r="I19" s="65"/>
      <c r="K19" s="80">
        <f t="shared" si="2"/>
        <v>0.32</v>
      </c>
      <c r="L19" s="81">
        <f t="shared" si="3"/>
        <v>6.736000000000001</v>
      </c>
    </row>
    <row r="20" spans="1:12" ht="11.25">
      <c r="A20" s="63" t="s">
        <v>201</v>
      </c>
      <c r="B20" s="64">
        <v>4.2</v>
      </c>
      <c r="C20" s="64"/>
      <c r="D20" s="65">
        <v>1537.2</v>
      </c>
      <c r="E20" s="65">
        <v>7909</v>
      </c>
      <c r="F20" s="65"/>
      <c r="G20" s="65">
        <f t="shared" si="0"/>
        <v>9446.2</v>
      </c>
      <c r="H20" s="65">
        <f t="shared" si="1"/>
        <v>2249.1</v>
      </c>
      <c r="I20" s="65"/>
      <c r="K20" s="80">
        <f t="shared" si="2"/>
        <v>0.13</v>
      </c>
      <c r="L20" s="81">
        <f t="shared" si="3"/>
        <v>292.383</v>
      </c>
    </row>
    <row r="21" spans="1:12" ht="11.25">
      <c r="A21" s="63" t="s">
        <v>202</v>
      </c>
      <c r="B21" s="64">
        <v>8.4</v>
      </c>
      <c r="C21" s="64"/>
      <c r="D21" s="65">
        <v>491.75</v>
      </c>
      <c r="E21" s="65">
        <v>3334</v>
      </c>
      <c r="F21" s="65"/>
      <c r="G21" s="65">
        <f t="shared" si="0"/>
        <v>3825.75</v>
      </c>
      <c r="H21" s="65">
        <f t="shared" si="1"/>
        <v>455.45</v>
      </c>
      <c r="I21" s="65"/>
      <c r="K21" s="80">
        <f t="shared" si="2"/>
        <v>0.26</v>
      </c>
      <c r="L21" s="81">
        <f t="shared" si="3"/>
        <v>118.417</v>
      </c>
    </row>
    <row r="22" spans="1:12" ht="11.25">
      <c r="A22" s="63" t="s">
        <v>203</v>
      </c>
      <c r="B22" s="64">
        <v>12.6</v>
      </c>
      <c r="C22" s="64"/>
      <c r="D22" s="65"/>
      <c r="E22" s="65"/>
      <c r="F22" s="65"/>
      <c r="G22" s="65">
        <f t="shared" si="0"/>
        <v>0</v>
      </c>
      <c r="H22" s="65">
        <f t="shared" si="1"/>
        <v>0</v>
      </c>
      <c r="I22" s="65"/>
      <c r="K22" s="80">
        <f t="shared" si="2"/>
        <v>0.38</v>
      </c>
      <c r="L22" s="81">
        <f t="shared" si="3"/>
        <v>0</v>
      </c>
    </row>
    <row r="23" spans="1:12" ht="11.25">
      <c r="A23" s="63" t="s">
        <v>204</v>
      </c>
      <c r="B23" s="64">
        <v>4.2</v>
      </c>
      <c r="C23" s="64"/>
      <c r="D23" s="65">
        <v>462</v>
      </c>
      <c r="E23" s="65">
        <v>105</v>
      </c>
      <c r="F23" s="65">
        <v>189</v>
      </c>
      <c r="G23" s="65">
        <f t="shared" si="0"/>
        <v>756</v>
      </c>
      <c r="H23" s="65">
        <f t="shared" si="1"/>
        <v>180</v>
      </c>
      <c r="I23" s="65"/>
      <c r="K23" s="80">
        <f t="shared" si="2"/>
        <v>0.13</v>
      </c>
      <c r="L23" s="81">
        <f t="shared" si="3"/>
        <v>23.400000000000002</v>
      </c>
    </row>
    <row r="24" spans="1:12" ht="11.25">
      <c r="A24" s="125" t="s">
        <v>205</v>
      </c>
      <c r="B24" s="126">
        <v>4.87</v>
      </c>
      <c r="C24" s="127">
        <v>5.4</v>
      </c>
      <c r="D24" s="65"/>
      <c r="E24" s="65">
        <v>5</v>
      </c>
      <c r="F24" s="65"/>
      <c r="G24" s="65">
        <f t="shared" si="0"/>
        <v>5</v>
      </c>
      <c r="H24" s="65">
        <f t="shared" si="1"/>
        <v>1.03</v>
      </c>
      <c r="I24" s="65"/>
      <c r="K24" s="80">
        <f t="shared" si="2"/>
        <v>0.15</v>
      </c>
      <c r="L24" s="81">
        <f t="shared" si="3"/>
        <v>0.1545</v>
      </c>
    </row>
    <row r="25" spans="1:12" ht="11.25">
      <c r="A25" s="63" t="s">
        <v>433</v>
      </c>
      <c r="B25" s="64">
        <v>4.87</v>
      </c>
      <c r="C25" s="64"/>
      <c r="D25" s="65">
        <v>2660</v>
      </c>
      <c r="E25" s="65"/>
      <c r="F25" s="65">
        <v>4154</v>
      </c>
      <c r="G25" s="65">
        <f t="shared" si="0"/>
        <v>6814</v>
      </c>
      <c r="H25" s="65">
        <f t="shared" si="1"/>
        <v>1399.18</v>
      </c>
      <c r="I25" s="65"/>
      <c r="K25" s="80">
        <f t="shared" si="2"/>
        <v>0.15</v>
      </c>
      <c r="L25" s="81">
        <f t="shared" si="3"/>
        <v>209.877</v>
      </c>
    </row>
    <row r="26" spans="1:12" ht="11.25">
      <c r="A26" s="63" t="s">
        <v>206</v>
      </c>
      <c r="B26" s="64">
        <v>6.2</v>
      </c>
      <c r="C26" s="64"/>
      <c r="D26" s="65">
        <v>737.8</v>
      </c>
      <c r="E26" s="65">
        <v>12</v>
      </c>
      <c r="F26" s="65">
        <v>25</v>
      </c>
      <c r="G26" s="65">
        <f t="shared" si="0"/>
        <v>774.8</v>
      </c>
      <c r="H26" s="65">
        <f t="shared" si="1"/>
        <v>124.97</v>
      </c>
      <c r="I26" s="65"/>
      <c r="K26" s="80">
        <f t="shared" si="2"/>
        <v>0.19</v>
      </c>
      <c r="L26" s="81">
        <f t="shared" si="3"/>
        <v>23.7443</v>
      </c>
    </row>
    <row r="27" spans="1:12" ht="11.25">
      <c r="A27" s="63" t="s">
        <v>207</v>
      </c>
      <c r="B27" s="64">
        <v>1.85</v>
      </c>
      <c r="C27" s="64"/>
      <c r="D27" s="65">
        <v>23.12</v>
      </c>
      <c r="E27" s="65">
        <v>148</v>
      </c>
      <c r="F27" s="65"/>
      <c r="G27" s="65">
        <f t="shared" si="0"/>
        <v>171.12</v>
      </c>
      <c r="H27" s="65">
        <f t="shared" si="1"/>
        <v>92.5</v>
      </c>
      <c r="I27" s="65"/>
      <c r="K27" s="80">
        <f>ROUND(B27*$K$7,2)+0.13</f>
        <v>0.19</v>
      </c>
      <c r="L27" s="81">
        <f t="shared" si="3"/>
        <v>17.575</v>
      </c>
    </row>
    <row r="28" spans="1:12" ht="11.25">
      <c r="A28" s="63" t="s">
        <v>208</v>
      </c>
      <c r="B28" s="64">
        <v>3.15</v>
      </c>
      <c r="C28" s="64"/>
      <c r="D28" s="65">
        <v>33.38</v>
      </c>
      <c r="E28" s="65"/>
      <c r="F28" s="65"/>
      <c r="G28" s="65">
        <f t="shared" si="0"/>
        <v>33.38</v>
      </c>
      <c r="H28" s="65">
        <f t="shared" si="1"/>
        <v>10.6</v>
      </c>
      <c r="I28" s="65"/>
      <c r="K28" s="80">
        <f t="shared" si="2"/>
        <v>0.1</v>
      </c>
      <c r="L28" s="81">
        <f t="shared" si="3"/>
        <v>1.06</v>
      </c>
    </row>
    <row r="29" spans="1:12" ht="11.25">
      <c r="A29" s="63" t="s">
        <v>209</v>
      </c>
      <c r="B29" s="64">
        <v>4.45</v>
      </c>
      <c r="C29" s="64"/>
      <c r="D29" s="65"/>
      <c r="E29" s="65">
        <v>107</v>
      </c>
      <c r="F29" s="65"/>
      <c r="G29" s="65">
        <f t="shared" si="0"/>
        <v>107</v>
      </c>
      <c r="H29" s="65">
        <f t="shared" si="1"/>
        <v>24.04</v>
      </c>
      <c r="I29" s="65"/>
      <c r="K29" s="80">
        <f t="shared" si="2"/>
        <v>0.14</v>
      </c>
      <c r="L29" s="81">
        <f t="shared" si="3"/>
        <v>3.3656</v>
      </c>
    </row>
    <row r="30" spans="1:12" ht="11.25">
      <c r="A30" s="63" t="s">
        <v>210</v>
      </c>
      <c r="B30" s="64">
        <v>5.75</v>
      </c>
      <c r="C30" s="64"/>
      <c r="D30" s="65"/>
      <c r="E30" s="65">
        <v>17</v>
      </c>
      <c r="F30" s="65"/>
      <c r="G30" s="65">
        <f t="shared" si="0"/>
        <v>17</v>
      </c>
      <c r="H30" s="65">
        <f t="shared" si="1"/>
        <v>2.96</v>
      </c>
      <c r="I30" s="65"/>
      <c r="K30" s="80">
        <f t="shared" si="2"/>
        <v>0.18</v>
      </c>
      <c r="L30" s="81">
        <f t="shared" si="3"/>
        <v>0.5327999999999999</v>
      </c>
    </row>
    <row r="31" spans="1:12" ht="11.25">
      <c r="A31" s="63" t="s">
        <v>211</v>
      </c>
      <c r="B31" s="64">
        <v>6.25</v>
      </c>
      <c r="C31" s="64"/>
      <c r="D31" s="65">
        <v>789.07</v>
      </c>
      <c r="E31" s="65">
        <v>2896</v>
      </c>
      <c r="F31" s="65"/>
      <c r="G31" s="65">
        <f t="shared" si="0"/>
        <v>3685.07</v>
      </c>
      <c r="H31" s="65">
        <f t="shared" si="1"/>
        <v>589.61</v>
      </c>
      <c r="I31" s="65"/>
      <c r="K31" s="80">
        <f>ROUND(B31*$K$7,2)+0.48</f>
        <v>0.6699999999999999</v>
      </c>
      <c r="L31" s="81">
        <f t="shared" si="3"/>
        <v>395.03869999999995</v>
      </c>
    </row>
    <row r="32" spans="1:12" ht="11.25">
      <c r="A32" s="63" t="s">
        <v>212</v>
      </c>
      <c r="B32" s="64">
        <v>3</v>
      </c>
      <c r="C32" s="64"/>
      <c r="D32" s="65"/>
      <c r="E32" s="65">
        <v>12</v>
      </c>
      <c r="F32" s="65"/>
      <c r="G32" s="65">
        <f t="shared" si="0"/>
        <v>12</v>
      </c>
      <c r="H32" s="65">
        <f t="shared" si="1"/>
        <v>4</v>
      </c>
      <c r="I32" s="65"/>
      <c r="K32" s="80"/>
      <c r="L32" s="81">
        <f t="shared" si="3"/>
        <v>0</v>
      </c>
    </row>
    <row r="33" spans="1:12" ht="11.25">
      <c r="A33" s="63" t="s">
        <v>213</v>
      </c>
      <c r="B33" s="64">
        <v>90</v>
      </c>
      <c r="C33" s="64"/>
      <c r="D33" s="65"/>
      <c r="E33" s="65">
        <v>810</v>
      </c>
      <c r="F33" s="65"/>
      <c r="G33" s="65">
        <f t="shared" si="0"/>
        <v>810</v>
      </c>
      <c r="H33" s="65">
        <f t="shared" si="1"/>
        <v>9</v>
      </c>
      <c r="I33" s="65"/>
      <c r="K33" s="80"/>
      <c r="L33" s="81">
        <f t="shared" si="3"/>
        <v>0</v>
      </c>
    </row>
    <row r="34" spans="1:12" ht="11.25">
      <c r="A34" s="63" t="s">
        <v>214</v>
      </c>
      <c r="B34" s="64">
        <v>20</v>
      </c>
      <c r="C34" s="64"/>
      <c r="D34" s="65"/>
      <c r="E34" s="65">
        <v>140</v>
      </c>
      <c r="F34" s="65"/>
      <c r="G34" s="65">
        <f t="shared" si="0"/>
        <v>140</v>
      </c>
      <c r="H34" s="65">
        <f t="shared" si="1"/>
        <v>7</v>
      </c>
      <c r="I34" s="65"/>
      <c r="K34" s="80">
        <v>2.3</v>
      </c>
      <c r="L34" s="81">
        <f t="shared" si="3"/>
        <v>16.099999999999998</v>
      </c>
    </row>
    <row r="35" spans="1:12" ht="11.25">
      <c r="A35" s="63" t="s">
        <v>215</v>
      </c>
      <c r="B35" s="64">
        <v>20</v>
      </c>
      <c r="C35" s="64"/>
      <c r="D35" s="65">
        <v>380</v>
      </c>
      <c r="E35" s="65">
        <v>1340</v>
      </c>
      <c r="F35" s="65">
        <v>120</v>
      </c>
      <c r="G35" s="65">
        <f t="shared" si="0"/>
        <v>1840</v>
      </c>
      <c r="H35" s="65">
        <f t="shared" si="1"/>
        <v>92</v>
      </c>
      <c r="I35" s="65"/>
      <c r="K35" s="80">
        <v>2.3</v>
      </c>
      <c r="L35" s="81">
        <f t="shared" si="3"/>
        <v>211.6</v>
      </c>
    </row>
    <row r="36" spans="1:12" ht="11.25">
      <c r="A36" s="63" t="s">
        <v>216</v>
      </c>
      <c r="B36" s="64">
        <v>15</v>
      </c>
      <c r="C36" s="64"/>
      <c r="D36" s="65">
        <v>2490</v>
      </c>
      <c r="E36" s="65">
        <v>9465</v>
      </c>
      <c r="F36" s="65">
        <v>255</v>
      </c>
      <c r="G36" s="65">
        <f t="shared" si="0"/>
        <v>12210</v>
      </c>
      <c r="H36" s="65">
        <f t="shared" si="1"/>
        <v>814</v>
      </c>
      <c r="I36" s="65"/>
      <c r="K36" s="80"/>
      <c r="L36" s="81">
        <f t="shared" si="3"/>
        <v>0</v>
      </c>
    </row>
    <row r="37" spans="1:9" ht="11.25">
      <c r="A37" s="63" t="s">
        <v>217</v>
      </c>
      <c r="B37" s="64">
        <v>1</v>
      </c>
      <c r="C37" s="64"/>
      <c r="D37" s="65">
        <f>-1985.22+8.21+100</f>
        <v>-1877.01</v>
      </c>
      <c r="E37" s="65">
        <f>-5512-1</f>
        <v>-5513</v>
      </c>
      <c r="F37" s="65"/>
      <c r="G37" s="65">
        <f t="shared" si="0"/>
        <v>-7390.01</v>
      </c>
      <c r="H37" s="65">
        <f t="shared" si="1"/>
        <v>-7390.01</v>
      </c>
      <c r="I37" s="65"/>
    </row>
    <row r="38" spans="1:9" ht="11.25">
      <c r="A38" s="63" t="s">
        <v>218</v>
      </c>
      <c r="B38" s="64">
        <v>1</v>
      </c>
      <c r="C38" s="64"/>
      <c r="D38" s="65">
        <v>-4.23</v>
      </c>
      <c r="E38" s="65"/>
      <c r="F38" s="65"/>
      <c r="G38" s="65">
        <f t="shared" si="0"/>
        <v>-4.23</v>
      </c>
      <c r="H38" s="65">
        <f t="shared" si="1"/>
        <v>-4.23</v>
      </c>
      <c r="I38" s="65"/>
    </row>
    <row r="39" spans="1:15" ht="11.25">
      <c r="A39" s="63" t="s">
        <v>219</v>
      </c>
      <c r="B39" s="64">
        <v>0.01</v>
      </c>
      <c r="C39" s="64"/>
      <c r="D39" s="65"/>
      <c r="E39" s="65">
        <v>-5512</v>
      </c>
      <c r="F39" s="65"/>
      <c r="G39" s="65">
        <f t="shared" si="0"/>
        <v>-5512</v>
      </c>
      <c r="H39" s="65">
        <f t="shared" si="1"/>
        <v>-551200</v>
      </c>
      <c r="I39" s="65"/>
      <c r="N39" s="81"/>
      <c r="O39" s="81"/>
    </row>
    <row r="40" spans="1:9" ht="11.25">
      <c r="A40" s="63" t="s">
        <v>220</v>
      </c>
      <c r="B40" s="64">
        <v>1</v>
      </c>
      <c r="C40" s="64"/>
      <c r="D40" s="65">
        <f>6017.7-79.61</f>
        <v>5938.09</v>
      </c>
      <c r="E40" s="65">
        <v>7914</v>
      </c>
      <c r="F40" s="65">
        <v>1170</v>
      </c>
      <c r="G40" s="65">
        <f t="shared" si="0"/>
        <v>15022.09</v>
      </c>
      <c r="H40" s="65">
        <f t="shared" si="1"/>
        <v>15022.09</v>
      </c>
      <c r="I40" s="65"/>
    </row>
    <row r="41" spans="1:14" ht="11.25">
      <c r="A41" s="63" t="s">
        <v>221</v>
      </c>
      <c r="B41" s="64">
        <v>6.46</v>
      </c>
      <c r="C41" s="64"/>
      <c r="D41" s="65">
        <v>155.04</v>
      </c>
      <c r="E41" s="65">
        <v>5239</v>
      </c>
      <c r="F41" s="65"/>
      <c r="G41" s="65">
        <f t="shared" si="0"/>
        <v>5394.04</v>
      </c>
      <c r="H41" s="65">
        <f t="shared" si="1"/>
        <v>834.99</v>
      </c>
      <c r="I41" s="65">
        <f>H41/12</f>
        <v>69.5825</v>
      </c>
      <c r="M41" s="80">
        <v>1.03</v>
      </c>
      <c r="N41" s="81">
        <f>H41*M41</f>
        <v>860.0397</v>
      </c>
    </row>
    <row r="42" spans="1:18" ht="11.25">
      <c r="A42" s="63" t="s">
        <v>441</v>
      </c>
      <c r="B42" s="64">
        <v>5.46</v>
      </c>
      <c r="C42" s="64"/>
      <c r="D42" s="65">
        <v>37.5</v>
      </c>
      <c r="E42" s="65">
        <v>568902</v>
      </c>
      <c r="F42" s="65"/>
      <c r="G42" s="82">
        <f t="shared" si="0"/>
        <v>568939.5</v>
      </c>
      <c r="H42" s="65">
        <f t="shared" si="1"/>
        <v>104201.37</v>
      </c>
      <c r="I42" s="65">
        <f>H42/12</f>
        <v>8683.4475</v>
      </c>
      <c r="L42" s="62">
        <f>5.46+1.03</f>
        <v>6.49</v>
      </c>
      <c r="M42" s="80">
        <v>1.03</v>
      </c>
      <c r="N42" s="81">
        <f>H42*M42</f>
        <v>107327.4111</v>
      </c>
      <c r="O42" s="110">
        <f>M42/B42</f>
        <v>0.18864468864468864</v>
      </c>
      <c r="P42" s="132" t="s">
        <v>485</v>
      </c>
      <c r="Q42" s="131"/>
      <c r="R42" s="131"/>
    </row>
    <row r="43" spans="1:16" ht="11.25">
      <c r="A43" s="63" t="s">
        <v>442</v>
      </c>
      <c r="B43" s="64">
        <v>5.46</v>
      </c>
      <c r="C43" s="64"/>
      <c r="D43" s="65">
        <f>1260+98</f>
        <v>1358</v>
      </c>
      <c r="E43" s="65"/>
      <c r="F43" s="65"/>
      <c r="G43" s="82">
        <f t="shared" si="0"/>
        <v>1358</v>
      </c>
      <c r="H43" s="65"/>
      <c r="I43" s="65"/>
      <c r="M43" s="80"/>
      <c r="N43" s="81">
        <f>SUM(N41:N42)</f>
        <v>108187.45079999999</v>
      </c>
      <c r="O43" s="81"/>
      <c r="P43" s="81"/>
    </row>
    <row r="44" spans="1:14" ht="11.25">
      <c r="A44" s="63" t="s">
        <v>222</v>
      </c>
      <c r="B44" s="64">
        <v>7.5</v>
      </c>
      <c r="C44" s="64"/>
      <c r="D44" s="65"/>
      <c r="E44" s="65">
        <v>12463</v>
      </c>
      <c r="F44" s="65"/>
      <c r="G44" s="65">
        <f t="shared" si="0"/>
        <v>12463</v>
      </c>
      <c r="H44" s="65">
        <f t="shared" si="1"/>
        <v>1661.73</v>
      </c>
      <c r="I44" s="65">
        <f>H44/12</f>
        <v>138.4775</v>
      </c>
      <c r="J44" s="69"/>
      <c r="M44" s="80"/>
      <c r="N44" s="81">
        <f>H44*M44</f>
        <v>0</v>
      </c>
    </row>
    <row r="45" spans="1:9" ht="11.25">
      <c r="A45" s="63"/>
      <c r="B45" s="64"/>
      <c r="C45" s="64"/>
      <c r="D45" s="65"/>
      <c r="E45" s="65"/>
      <c r="F45" s="65"/>
      <c r="G45" s="65"/>
      <c r="H45" s="65"/>
      <c r="I45" s="65"/>
    </row>
    <row r="46" spans="1:15" ht="11.25">
      <c r="A46" s="83" t="s">
        <v>223</v>
      </c>
      <c r="B46" s="84"/>
      <c r="C46" s="84"/>
      <c r="D46" s="85">
        <f>SUM(D6:D45)</f>
        <v>270656.25</v>
      </c>
      <c r="E46" s="85">
        <f>SUM(E6:E45)</f>
        <v>2222673</v>
      </c>
      <c r="F46" s="85">
        <f>SUM(F6:F45)</f>
        <v>10070</v>
      </c>
      <c r="G46" s="85">
        <f>SUM(G6:G45)</f>
        <v>2503399.25</v>
      </c>
      <c r="H46" s="85"/>
      <c r="I46" s="85">
        <f>SUM(I6:I45)</f>
        <v>19101.96</v>
      </c>
      <c r="L46" s="85">
        <f>SUM(L6:L45)</f>
        <v>58575.98109999999</v>
      </c>
      <c r="M46" s="110"/>
      <c r="O46" s="81"/>
    </row>
    <row r="47" spans="1:9" ht="11.25">
      <c r="A47" s="63"/>
      <c r="B47" s="86"/>
      <c r="C47" s="86"/>
      <c r="D47" s="65"/>
      <c r="E47" s="65"/>
      <c r="F47" s="65"/>
      <c r="G47" s="65"/>
      <c r="H47" s="65"/>
      <c r="I47" s="65"/>
    </row>
    <row r="48" spans="1:9" ht="11.25">
      <c r="A48" s="83" t="s">
        <v>224</v>
      </c>
      <c r="B48" s="64"/>
      <c r="C48" s="64"/>
      <c r="D48" s="65"/>
      <c r="E48" s="65"/>
      <c r="F48" s="65"/>
      <c r="G48" s="65"/>
      <c r="H48" s="65"/>
      <c r="I48" s="65"/>
    </row>
    <row r="49" spans="1:12" ht="11.25">
      <c r="A49" s="63" t="s">
        <v>225</v>
      </c>
      <c r="B49" s="64">
        <v>75.98</v>
      </c>
      <c r="C49" s="64">
        <v>22.7</v>
      </c>
      <c r="D49" s="65">
        <v>84232.64</v>
      </c>
      <c r="E49" s="65"/>
      <c r="F49" s="65">
        <v>18454</v>
      </c>
      <c r="G49" s="65">
        <f aca="true" t="shared" si="4" ref="G49:G80">SUM(D49:F49)</f>
        <v>102686.64</v>
      </c>
      <c r="H49" s="65">
        <f aca="true" t="shared" si="5" ref="H49:H80">ROUND(G49/B49,2)</f>
        <v>1351.5</v>
      </c>
      <c r="I49" s="65">
        <f>H49/12</f>
        <v>112.625</v>
      </c>
      <c r="K49" s="80">
        <f>ROUND(C49*$K$7,2)</f>
        <v>0.69</v>
      </c>
      <c r="L49" s="81">
        <f>H49*K49+H49*3.33*K50</f>
        <v>3137.77755</v>
      </c>
    </row>
    <row r="50" spans="1:12" ht="11.25">
      <c r="A50" s="63" t="s">
        <v>226</v>
      </c>
      <c r="B50" s="64">
        <f>75.98+69.28</f>
        <v>145.26</v>
      </c>
      <c r="C50" s="64">
        <v>16</v>
      </c>
      <c r="D50" s="65"/>
      <c r="E50" s="65"/>
      <c r="F50" s="65"/>
      <c r="G50" s="65">
        <f t="shared" si="4"/>
        <v>0</v>
      </c>
      <c r="H50" s="65">
        <f t="shared" si="5"/>
        <v>0</v>
      </c>
      <c r="I50" s="65"/>
      <c r="K50" s="80">
        <f>ROUND(C50*$K$7,2)</f>
        <v>0.49</v>
      </c>
      <c r="L50" s="81">
        <f>H50*K49+H50*7.67*K50</f>
        <v>0</v>
      </c>
    </row>
    <row r="51" spans="1:12" ht="11.25">
      <c r="A51" s="63" t="s">
        <v>227</v>
      </c>
      <c r="B51" s="64">
        <v>104.96</v>
      </c>
      <c r="C51" s="64">
        <v>31.7</v>
      </c>
      <c r="D51" s="65">
        <v>58090.11</v>
      </c>
      <c r="E51" s="65"/>
      <c r="F51" s="65">
        <v>12338</v>
      </c>
      <c r="G51" s="65">
        <f t="shared" si="4"/>
        <v>70428.11</v>
      </c>
      <c r="H51" s="65">
        <f t="shared" si="5"/>
        <v>671</v>
      </c>
      <c r="I51" s="65">
        <f>H51/12</f>
        <v>55.916666666666664</v>
      </c>
      <c r="K51" s="80">
        <f aca="true" t="shared" si="6" ref="K51:K62">ROUND(C51*$K$7,2)</f>
        <v>0.97</v>
      </c>
      <c r="L51" s="81">
        <f>H51*K51+H51*3.33*K52</f>
        <v>2147.9381</v>
      </c>
    </row>
    <row r="52" spans="1:12" ht="11.25">
      <c r="A52" s="63"/>
      <c r="B52" s="64">
        <f>104.96+95.26</f>
        <v>200.22</v>
      </c>
      <c r="C52" s="64">
        <v>22</v>
      </c>
      <c r="D52" s="65"/>
      <c r="E52" s="65"/>
      <c r="F52" s="65"/>
      <c r="G52" s="65">
        <f t="shared" si="4"/>
        <v>0</v>
      </c>
      <c r="H52" s="65">
        <f t="shared" si="5"/>
        <v>0</v>
      </c>
      <c r="I52" s="65"/>
      <c r="K52" s="80">
        <f t="shared" si="6"/>
        <v>0.67</v>
      </c>
      <c r="L52" s="81">
        <f>H52*K51+H52*7.67*K52</f>
        <v>0</v>
      </c>
    </row>
    <row r="53" spans="1:12" ht="11.25">
      <c r="A53" s="63" t="s">
        <v>228</v>
      </c>
      <c r="B53" s="64">
        <v>131.24</v>
      </c>
      <c r="C53" s="64">
        <v>40</v>
      </c>
      <c r="D53" s="65">
        <v>223206.81</v>
      </c>
      <c r="E53" s="65"/>
      <c r="F53" s="65">
        <v>43847</v>
      </c>
      <c r="G53" s="65">
        <f t="shared" si="4"/>
        <v>267053.81</v>
      </c>
      <c r="H53" s="65">
        <f t="shared" si="5"/>
        <v>2034.85</v>
      </c>
      <c r="I53" s="65">
        <f>H53/12</f>
        <v>169.57083333333333</v>
      </c>
      <c r="K53" s="80">
        <f t="shared" si="6"/>
        <v>1.22</v>
      </c>
      <c r="L53" s="81">
        <f>H53*K53+H53*3.33*K54</f>
        <v>8174.39942</v>
      </c>
    </row>
    <row r="54" spans="1:12" ht="11.25">
      <c r="A54" s="63" t="s">
        <v>229</v>
      </c>
      <c r="B54" s="64">
        <f>131.24+118.64</f>
        <v>249.88</v>
      </c>
      <c r="C54" s="64">
        <v>27.4</v>
      </c>
      <c r="D54" s="65"/>
      <c r="E54" s="65"/>
      <c r="F54" s="65"/>
      <c r="G54" s="65">
        <f t="shared" si="4"/>
        <v>0</v>
      </c>
      <c r="H54" s="65">
        <f t="shared" si="5"/>
        <v>0</v>
      </c>
      <c r="I54" s="65"/>
      <c r="K54" s="80">
        <f t="shared" si="6"/>
        <v>0.84</v>
      </c>
      <c r="L54" s="81">
        <f>H54*K53+H54*7.67*K54</f>
        <v>0</v>
      </c>
    </row>
    <row r="55" spans="1:12" ht="11.25">
      <c r="A55" s="63" t="s">
        <v>230</v>
      </c>
      <c r="B55" s="64">
        <v>188.2</v>
      </c>
      <c r="C55" s="64">
        <v>55</v>
      </c>
      <c r="D55" s="65">
        <v>65114.78</v>
      </c>
      <c r="E55" s="65"/>
      <c r="F55" s="65">
        <v>26842</v>
      </c>
      <c r="G55" s="65">
        <f t="shared" si="4"/>
        <v>91956.78</v>
      </c>
      <c r="H55" s="65">
        <f t="shared" si="5"/>
        <v>488.61</v>
      </c>
      <c r="I55" s="65">
        <f>H55/12</f>
        <v>40.7175</v>
      </c>
      <c r="K55" s="80">
        <f t="shared" si="6"/>
        <v>1.68</v>
      </c>
      <c r="L55" s="81">
        <f>H55*K55+H55*3.33*K56</f>
        <v>2805.891786</v>
      </c>
    </row>
    <row r="56" spans="1:12" ht="11.25">
      <c r="A56" s="63"/>
      <c r="B56" s="64">
        <f>188.2+173.2</f>
        <v>361.4</v>
      </c>
      <c r="C56" s="64">
        <v>40</v>
      </c>
      <c r="D56" s="65"/>
      <c r="E56" s="65"/>
      <c r="F56" s="65"/>
      <c r="G56" s="65">
        <f t="shared" si="4"/>
        <v>0</v>
      </c>
      <c r="H56" s="65">
        <f t="shared" si="5"/>
        <v>0</v>
      </c>
      <c r="I56" s="65"/>
      <c r="K56" s="80">
        <f t="shared" si="6"/>
        <v>1.22</v>
      </c>
      <c r="L56" s="81">
        <f>H56*K55+H56*7.67*K56</f>
        <v>0</v>
      </c>
    </row>
    <row r="57" spans="1:12" ht="11.25">
      <c r="A57" s="63" t="s">
        <v>231</v>
      </c>
      <c r="B57" s="64">
        <v>223.61</v>
      </c>
      <c r="C57" s="64">
        <v>64.1</v>
      </c>
      <c r="D57" s="65">
        <v>104440.29</v>
      </c>
      <c r="E57" s="65"/>
      <c r="F57" s="65">
        <v>35392</v>
      </c>
      <c r="G57" s="65">
        <f t="shared" si="4"/>
        <v>139832.28999999998</v>
      </c>
      <c r="H57" s="65">
        <f t="shared" si="5"/>
        <v>625.34</v>
      </c>
      <c r="I57" s="65">
        <f>H57/12</f>
        <v>52.11166666666667</v>
      </c>
      <c r="K57" s="80">
        <f t="shared" si="6"/>
        <v>1.96</v>
      </c>
      <c r="L57" s="81">
        <f>H57*K57+H57*3.33*K58</f>
        <v>4265.944412</v>
      </c>
    </row>
    <row r="58" spans="1:12" ht="11.25">
      <c r="A58" s="63"/>
      <c r="B58" s="64">
        <f>223.61+207.41</f>
        <v>431.02</v>
      </c>
      <c r="C58" s="64">
        <v>47.9</v>
      </c>
      <c r="D58" s="65"/>
      <c r="E58" s="65"/>
      <c r="F58" s="65"/>
      <c r="G58" s="65">
        <f t="shared" si="4"/>
        <v>0</v>
      </c>
      <c r="H58" s="65">
        <f t="shared" si="5"/>
        <v>0</v>
      </c>
      <c r="I58" s="65"/>
      <c r="K58" s="80">
        <f t="shared" si="6"/>
        <v>1.46</v>
      </c>
      <c r="L58" s="81">
        <f>H58*K57+H58*7.67*K58</f>
        <v>0</v>
      </c>
    </row>
    <row r="59" spans="1:12" ht="11.25">
      <c r="A59" s="63" t="s">
        <v>232</v>
      </c>
      <c r="B59" s="64">
        <v>263.35</v>
      </c>
      <c r="C59" s="64">
        <v>75.2</v>
      </c>
      <c r="D59" s="65">
        <v>6386.24</v>
      </c>
      <c r="E59" s="65"/>
      <c r="F59" s="65">
        <v>461</v>
      </c>
      <c r="G59" s="65">
        <f t="shared" si="4"/>
        <v>6847.24</v>
      </c>
      <c r="H59" s="65">
        <f t="shared" si="5"/>
        <v>26</v>
      </c>
      <c r="I59" s="65">
        <f>H59/12</f>
        <v>2.1666666666666665</v>
      </c>
      <c r="K59" s="80">
        <f t="shared" si="6"/>
        <v>2.29</v>
      </c>
      <c r="L59" s="81">
        <f>H59*K59+H59*3.33*K60</f>
        <v>208.45759999999999</v>
      </c>
    </row>
    <row r="60" spans="1:12" ht="11.25">
      <c r="A60" s="63"/>
      <c r="B60" s="64">
        <f>263.35+244.65</f>
        <v>508</v>
      </c>
      <c r="C60" s="64">
        <v>56.5</v>
      </c>
      <c r="D60" s="65"/>
      <c r="E60" s="65"/>
      <c r="F60" s="65"/>
      <c r="G60" s="65">
        <f t="shared" si="4"/>
        <v>0</v>
      </c>
      <c r="H60" s="65">
        <f t="shared" si="5"/>
        <v>0</v>
      </c>
      <c r="I60" s="65"/>
      <c r="K60" s="80">
        <f t="shared" si="6"/>
        <v>1.72</v>
      </c>
      <c r="L60" s="81">
        <f>H60*K59+H60*7.67*K60</f>
        <v>0</v>
      </c>
    </row>
    <row r="61" spans="1:12" ht="11.25">
      <c r="A61" s="63" t="s">
        <v>233</v>
      </c>
      <c r="B61" s="64">
        <v>318.57</v>
      </c>
      <c r="C61" s="64">
        <v>89.8</v>
      </c>
      <c r="D61" s="65">
        <v>206207.45</v>
      </c>
      <c r="E61" s="65"/>
      <c r="F61" s="65">
        <v>51518</v>
      </c>
      <c r="G61" s="65">
        <f t="shared" si="4"/>
        <v>257725.45</v>
      </c>
      <c r="H61" s="65">
        <f t="shared" si="5"/>
        <v>809.01</v>
      </c>
      <c r="I61" s="65">
        <f>H61/12</f>
        <v>67.4175</v>
      </c>
      <c r="K61" s="80">
        <f t="shared" si="6"/>
        <v>2.74</v>
      </c>
      <c r="L61" s="81">
        <f>H61*K61+H61*3.33*K62</f>
        <v>7874.09433</v>
      </c>
    </row>
    <row r="62" spans="1:12" ht="11.25">
      <c r="A62" s="63" t="s">
        <v>234</v>
      </c>
      <c r="B62" s="64">
        <f>318.57+297.47</f>
        <v>616.04</v>
      </c>
      <c r="C62" s="64">
        <v>68.7</v>
      </c>
      <c r="D62" s="65"/>
      <c r="E62" s="65"/>
      <c r="F62" s="65"/>
      <c r="G62" s="65">
        <f t="shared" si="4"/>
        <v>0</v>
      </c>
      <c r="H62" s="65">
        <f t="shared" si="5"/>
        <v>0</v>
      </c>
      <c r="I62" s="65"/>
      <c r="K62" s="80">
        <f t="shared" si="6"/>
        <v>2.1</v>
      </c>
      <c r="L62" s="81">
        <f>H62*K61+H62*7.67*K62</f>
        <v>0</v>
      </c>
    </row>
    <row r="63" spans="1:12" ht="11.25">
      <c r="A63" s="63" t="s">
        <v>235</v>
      </c>
      <c r="B63" s="64">
        <v>41.42</v>
      </c>
      <c r="C63" s="64"/>
      <c r="D63" s="65">
        <v>119036.29</v>
      </c>
      <c r="E63" s="65"/>
      <c r="F63" s="65">
        <v>13938</v>
      </c>
      <c r="G63" s="65">
        <f t="shared" si="4"/>
        <v>132974.28999999998</v>
      </c>
      <c r="H63" s="65">
        <f t="shared" si="5"/>
        <v>3210.39</v>
      </c>
      <c r="I63" s="65">
        <f>H63/12</f>
        <v>267.53249999999997</v>
      </c>
      <c r="K63" s="80"/>
      <c r="L63" s="81">
        <f>H63*K49+H63*1.17*K50</f>
        <v>4055.6856869999992</v>
      </c>
    </row>
    <row r="64" spans="1:12" ht="11.25">
      <c r="A64" s="63" t="s">
        <v>236</v>
      </c>
      <c r="B64" s="64">
        <v>57.44</v>
      </c>
      <c r="C64" s="64"/>
      <c r="D64" s="65">
        <v>37393.44</v>
      </c>
      <c r="E64" s="65"/>
      <c r="F64" s="65">
        <v>5916</v>
      </c>
      <c r="G64" s="65">
        <f t="shared" si="4"/>
        <v>43309.44</v>
      </c>
      <c r="H64" s="65">
        <f t="shared" si="5"/>
        <v>753.99</v>
      </c>
      <c r="I64" s="65">
        <f>H64/12</f>
        <v>62.8325</v>
      </c>
      <c r="K64" s="80"/>
      <c r="L64" s="81">
        <f>H64*K51+H64*1.17*K52</f>
        <v>1322.423061</v>
      </c>
    </row>
    <row r="65" spans="1:12" ht="11.25">
      <c r="A65" s="63" t="s">
        <v>237</v>
      </c>
      <c r="B65" s="64">
        <v>72.06</v>
      </c>
      <c r="C65" s="64"/>
      <c r="D65" s="65">
        <v>86396.72</v>
      </c>
      <c r="E65" s="65"/>
      <c r="F65" s="65">
        <v>10054</v>
      </c>
      <c r="G65" s="65">
        <f t="shared" si="4"/>
        <v>96450.72</v>
      </c>
      <c r="H65" s="65">
        <f t="shared" si="5"/>
        <v>1338.48</v>
      </c>
      <c r="I65" s="65">
        <f>H65/12</f>
        <v>111.54</v>
      </c>
      <c r="K65" s="80"/>
      <c r="L65" s="81">
        <f>H65*K53+H65*1.17*K54</f>
        <v>2948.403744</v>
      </c>
    </row>
    <row r="66" spans="1:12" ht="11.25">
      <c r="A66" s="63" t="s">
        <v>238</v>
      </c>
      <c r="B66" s="64">
        <v>101.8</v>
      </c>
      <c r="C66" s="64"/>
      <c r="D66" s="65">
        <v>19392.9</v>
      </c>
      <c r="E66" s="65"/>
      <c r="F66" s="65">
        <v>3970</v>
      </c>
      <c r="G66" s="65">
        <f t="shared" si="4"/>
        <v>23362.9</v>
      </c>
      <c r="H66" s="65">
        <f t="shared" si="5"/>
        <v>229.5</v>
      </c>
      <c r="I66" s="65">
        <f>H66/12</f>
        <v>19.125</v>
      </c>
      <c r="K66" s="80"/>
      <c r="L66" s="81">
        <f>H66*K55+H66*1.17*K56</f>
        <v>713.1483000000001</v>
      </c>
    </row>
    <row r="67" spans="1:12" ht="11.25">
      <c r="A67" s="63" t="s">
        <v>239</v>
      </c>
      <c r="B67" s="64">
        <v>120.14</v>
      </c>
      <c r="C67" s="64"/>
      <c r="D67" s="65">
        <v>25068.7</v>
      </c>
      <c r="E67" s="65"/>
      <c r="F67" s="65">
        <v>8530</v>
      </c>
      <c r="G67" s="65">
        <f t="shared" si="4"/>
        <v>33598.7</v>
      </c>
      <c r="H67" s="65">
        <f t="shared" si="5"/>
        <v>279.66</v>
      </c>
      <c r="I67" s="65">
        <f>H67/12</f>
        <v>23.305000000000003</v>
      </c>
      <c r="K67" s="80"/>
      <c r="L67" s="81">
        <f>H67*K57+H67*1.17*K58</f>
        <v>1025.848812</v>
      </c>
    </row>
    <row r="68" spans="1:12" ht="11.25">
      <c r="A68" s="63" t="s">
        <v>240</v>
      </c>
      <c r="B68" s="64">
        <v>141.31</v>
      </c>
      <c r="C68" s="64"/>
      <c r="D68" s="65"/>
      <c r="E68" s="65"/>
      <c r="F68" s="65"/>
      <c r="G68" s="65">
        <f t="shared" si="4"/>
        <v>0</v>
      </c>
      <c r="H68" s="65">
        <f t="shared" si="5"/>
        <v>0</v>
      </c>
      <c r="I68" s="65"/>
      <c r="K68" s="80"/>
      <c r="L68" s="81">
        <f>0</f>
        <v>0</v>
      </c>
    </row>
    <row r="69" spans="1:12" ht="11.25">
      <c r="A69" s="63" t="s">
        <v>241</v>
      </c>
      <c r="B69" s="64">
        <v>170.18</v>
      </c>
      <c r="C69" s="64"/>
      <c r="D69" s="65">
        <v>27654.25</v>
      </c>
      <c r="E69" s="65"/>
      <c r="F69" s="65">
        <v>2042</v>
      </c>
      <c r="G69" s="65">
        <f t="shared" si="4"/>
        <v>29696.25</v>
      </c>
      <c r="H69" s="65">
        <f t="shared" si="5"/>
        <v>174.5</v>
      </c>
      <c r="I69" s="65">
        <f>H69/12</f>
        <v>14.541666666666666</v>
      </c>
      <c r="K69" s="80"/>
      <c r="L69" s="81">
        <f>H69*K61+H69*1.17*K62</f>
        <v>906.8765000000001</v>
      </c>
    </row>
    <row r="70" spans="1:12" ht="11.25">
      <c r="A70" s="63" t="s">
        <v>242</v>
      </c>
      <c r="B70" s="64">
        <v>6.25</v>
      </c>
      <c r="C70" s="64"/>
      <c r="D70" s="65">
        <v>499.69</v>
      </c>
      <c r="E70" s="65"/>
      <c r="F70" s="65">
        <v>375</v>
      </c>
      <c r="G70" s="65">
        <f t="shared" si="4"/>
        <v>874.69</v>
      </c>
      <c r="H70" s="65">
        <f t="shared" si="5"/>
        <v>139.95</v>
      </c>
      <c r="I70" s="65"/>
      <c r="K70" s="80">
        <f aca="true" t="shared" si="7" ref="K70:K112">ROUND(B70*$K$7,2)</f>
        <v>0.19</v>
      </c>
      <c r="L70" s="81">
        <f aca="true" t="shared" si="8" ref="L70:L112">K70*H70</f>
        <v>26.5905</v>
      </c>
    </row>
    <row r="71" spans="1:12" ht="11.25">
      <c r="A71" s="63" t="s">
        <v>243</v>
      </c>
      <c r="B71" s="64">
        <v>3.15</v>
      </c>
      <c r="C71" s="64"/>
      <c r="D71" s="65"/>
      <c r="E71" s="65"/>
      <c r="F71" s="65">
        <v>76</v>
      </c>
      <c r="G71" s="65">
        <f t="shared" si="4"/>
        <v>76</v>
      </c>
      <c r="H71" s="65">
        <f t="shared" si="5"/>
        <v>24.13</v>
      </c>
      <c r="I71" s="65"/>
      <c r="K71" s="80">
        <f t="shared" si="7"/>
        <v>0.1</v>
      </c>
      <c r="L71" s="81">
        <f t="shared" si="8"/>
        <v>2.4130000000000003</v>
      </c>
    </row>
    <row r="72" spans="1:12" ht="11.25">
      <c r="A72" s="63" t="s">
        <v>244</v>
      </c>
      <c r="B72" s="64">
        <v>3.9</v>
      </c>
      <c r="C72" s="64"/>
      <c r="D72" s="65"/>
      <c r="E72" s="65"/>
      <c r="F72" s="65"/>
      <c r="G72" s="65">
        <f t="shared" si="4"/>
        <v>0</v>
      </c>
      <c r="H72" s="65">
        <f t="shared" si="5"/>
        <v>0</v>
      </c>
      <c r="I72" s="65"/>
      <c r="K72" s="80">
        <f>ROUND(B72*$K$7,2)+0.33</f>
        <v>0.45</v>
      </c>
      <c r="L72" s="81">
        <f t="shared" si="8"/>
        <v>0</v>
      </c>
    </row>
    <row r="73" spans="1:12" s="88" customFormat="1" ht="11.25">
      <c r="A73" s="63" t="s">
        <v>245</v>
      </c>
      <c r="B73" s="64">
        <v>1</v>
      </c>
      <c r="C73" s="86"/>
      <c r="D73" s="87">
        <f>97.5-97.5</f>
        <v>0</v>
      </c>
      <c r="E73" s="87"/>
      <c r="F73" s="87"/>
      <c r="G73" s="87">
        <f t="shared" si="4"/>
        <v>0</v>
      </c>
      <c r="H73" s="87">
        <f t="shared" si="5"/>
        <v>0</v>
      </c>
      <c r="I73" s="87"/>
      <c r="K73" s="89"/>
      <c r="L73" s="81">
        <f t="shared" si="8"/>
        <v>0</v>
      </c>
    </row>
    <row r="74" spans="1:12" s="88" customFormat="1" ht="11.25">
      <c r="A74" s="63" t="s">
        <v>246</v>
      </c>
      <c r="B74" s="64">
        <v>14</v>
      </c>
      <c r="C74" s="86"/>
      <c r="D74" s="87">
        <f>1260-1260</f>
        <v>0</v>
      </c>
      <c r="E74" s="87"/>
      <c r="F74" s="87"/>
      <c r="G74" s="87">
        <f t="shared" si="4"/>
        <v>0</v>
      </c>
      <c r="H74" s="87">
        <f t="shared" si="5"/>
        <v>0</v>
      </c>
      <c r="I74" s="87"/>
      <c r="K74" s="89"/>
      <c r="L74" s="81">
        <f t="shared" si="8"/>
        <v>0</v>
      </c>
    </row>
    <row r="75" spans="1:12" ht="11.25">
      <c r="A75" s="63" t="s">
        <v>247</v>
      </c>
      <c r="B75" s="64">
        <v>4.87</v>
      </c>
      <c r="C75" s="64"/>
      <c r="D75" s="65">
        <v>4.87</v>
      </c>
      <c r="E75" s="65"/>
      <c r="F75" s="65"/>
      <c r="G75" s="65">
        <f t="shared" si="4"/>
        <v>4.87</v>
      </c>
      <c r="H75" s="65">
        <f t="shared" si="5"/>
        <v>1</v>
      </c>
      <c r="I75" s="65"/>
      <c r="K75" s="80">
        <f t="shared" si="7"/>
        <v>0.15</v>
      </c>
      <c r="L75" s="81">
        <f t="shared" si="8"/>
        <v>0.15</v>
      </c>
    </row>
    <row r="76" spans="1:12" ht="11.25">
      <c r="A76" s="63" t="s">
        <v>248</v>
      </c>
      <c r="B76" s="64">
        <v>80</v>
      </c>
      <c r="C76" s="64"/>
      <c r="D76" s="65">
        <v>354.4</v>
      </c>
      <c r="E76" s="65"/>
      <c r="F76" s="65">
        <v>346</v>
      </c>
      <c r="G76" s="65">
        <f t="shared" si="4"/>
        <v>700.4</v>
      </c>
      <c r="H76" s="65">
        <f t="shared" si="5"/>
        <v>8.76</v>
      </c>
      <c r="I76" s="65"/>
      <c r="K76" s="80">
        <f t="shared" si="7"/>
        <v>2.44</v>
      </c>
      <c r="L76" s="81">
        <f t="shared" si="8"/>
        <v>21.374399999999998</v>
      </c>
    </row>
    <row r="77" spans="1:12" ht="11.25">
      <c r="A77" s="63" t="s">
        <v>249</v>
      </c>
      <c r="B77" s="64">
        <v>80</v>
      </c>
      <c r="C77" s="64"/>
      <c r="D77" s="65">
        <v>420</v>
      </c>
      <c r="E77" s="65"/>
      <c r="F77" s="65"/>
      <c r="G77" s="65">
        <f t="shared" si="4"/>
        <v>420</v>
      </c>
      <c r="H77" s="65">
        <f t="shared" si="5"/>
        <v>5.25</v>
      </c>
      <c r="I77" s="65"/>
      <c r="K77" s="80">
        <f t="shared" si="7"/>
        <v>2.44</v>
      </c>
      <c r="L77" s="81">
        <f t="shared" si="8"/>
        <v>12.81</v>
      </c>
    </row>
    <row r="78" spans="1:12" ht="11.25">
      <c r="A78" s="63" t="s">
        <v>250</v>
      </c>
      <c r="B78" s="64">
        <v>1</v>
      </c>
      <c r="C78" s="64"/>
      <c r="D78" s="65">
        <v>64</v>
      </c>
      <c r="E78" s="65"/>
      <c r="F78" s="65"/>
      <c r="G78" s="65">
        <f t="shared" si="4"/>
        <v>64</v>
      </c>
      <c r="H78" s="65">
        <f t="shared" si="5"/>
        <v>64</v>
      </c>
      <c r="I78" s="65"/>
      <c r="K78" s="80">
        <f t="shared" si="7"/>
        <v>0.03</v>
      </c>
      <c r="L78" s="81">
        <f t="shared" si="8"/>
        <v>1.92</v>
      </c>
    </row>
    <row r="79" spans="1:12" ht="11.25">
      <c r="A79" s="63" t="s">
        <v>251</v>
      </c>
      <c r="B79" s="64">
        <v>29.25</v>
      </c>
      <c r="C79" s="64"/>
      <c r="D79" s="65">
        <v>5265</v>
      </c>
      <c r="E79" s="65"/>
      <c r="F79" s="65">
        <v>176</v>
      </c>
      <c r="G79" s="65">
        <f t="shared" si="4"/>
        <v>5441</v>
      </c>
      <c r="H79" s="65">
        <f t="shared" si="5"/>
        <v>186.02</v>
      </c>
      <c r="I79" s="65"/>
      <c r="K79" s="80">
        <f t="shared" si="7"/>
        <v>0.89</v>
      </c>
      <c r="L79" s="81">
        <f t="shared" si="8"/>
        <v>165.55780000000001</v>
      </c>
    </row>
    <row r="80" spans="1:12" ht="11.25">
      <c r="A80" s="63" t="s">
        <v>252</v>
      </c>
      <c r="B80" s="64">
        <v>3</v>
      </c>
      <c r="C80" s="64"/>
      <c r="D80" s="65">
        <v>27</v>
      </c>
      <c r="E80" s="65"/>
      <c r="F80" s="65">
        <v>6</v>
      </c>
      <c r="G80" s="65">
        <f t="shared" si="4"/>
        <v>33</v>
      </c>
      <c r="H80" s="65">
        <f t="shared" si="5"/>
        <v>11</v>
      </c>
      <c r="I80" s="65"/>
      <c r="K80" s="80">
        <f t="shared" si="7"/>
        <v>0.09</v>
      </c>
      <c r="L80" s="81">
        <f t="shared" si="8"/>
        <v>0.99</v>
      </c>
    </row>
    <row r="81" spans="1:12" ht="11.25">
      <c r="A81" s="63" t="s">
        <v>253</v>
      </c>
      <c r="B81" s="64">
        <v>4.2</v>
      </c>
      <c r="C81" s="64"/>
      <c r="D81" s="65">
        <v>2402.4</v>
      </c>
      <c r="E81" s="65"/>
      <c r="F81" s="65">
        <v>445</v>
      </c>
      <c r="G81" s="65">
        <f aca="true" t="shared" si="9" ref="G81:G112">SUM(D81:F81)</f>
        <v>2847.4</v>
      </c>
      <c r="H81" s="65">
        <f aca="true" t="shared" si="10" ref="H81:H112">ROUND(G81/B81,2)</f>
        <v>677.95</v>
      </c>
      <c r="I81" s="65"/>
      <c r="K81" s="80">
        <f t="shared" si="7"/>
        <v>0.13</v>
      </c>
      <c r="L81" s="81">
        <f t="shared" si="8"/>
        <v>88.13350000000001</v>
      </c>
    </row>
    <row r="82" spans="1:12" ht="11.25">
      <c r="A82" s="63" t="s">
        <v>254</v>
      </c>
      <c r="B82" s="64">
        <v>23</v>
      </c>
      <c r="C82" s="64"/>
      <c r="D82" s="65">
        <v>22676.59</v>
      </c>
      <c r="E82" s="65"/>
      <c r="F82" s="65"/>
      <c r="G82" s="65">
        <f t="shared" si="9"/>
        <v>22676.59</v>
      </c>
      <c r="H82" s="65">
        <f t="shared" si="10"/>
        <v>985.94</v>
      </c>
      <c r="I82" s="65">
        <f>H82/12</f>
        <v>82.16166666666668</v>
      </c>
      <c r="K82" s="80">
        <f t="shared" si="7"/>
        <v>0.7</v>
      </c>
      <c r="L82" s="81">
        <f t="shared" si="8"/>
        <v>690.158</v>
      </c>
    </row>
    <row r="83" spans="1:12" ht="11.25">
      <c r="A83" s="63" t="s">
        <v>255</v>
      </c>
      <c r="B83" s="64">
        <v>30.72</v>
      </c>
      <c r="C83" s="64"/>
      <c r="D83" s="65"/>
      <c r="E83" s="65"/>
      <c r="F83" s="65"/>
      <c r="G83" s="65">
        <f t="shared" si="9"/>
        <v>0</v>
      </c>
      <c r="H83" s="65">
        <f t="shared" si="10"/>
        <v>0</v>
      </c>
      <c r="I83" s="65"/>
      <c r="K83" s="80">
        <f>ROUND(B83*$K$7,2)</f>
        <v>0.94</v>
      </c>
      <c r="L83" s="81">
        <f t="shared" si="8"/>
        <v>0</v>
      </c>
    </row>
    <row r="84" spans="1:12" ht="11.25">
      <c r="A84" s="63" t="s">
        <v>256</v>
      </c>
      <c r="B84" s="64">
        <v>40.97</v>
      </c>
      <c r="C84" s="64"/>
      <c r="D84" s="65"/>
      <c r="E84" s="65"/>
      <c r="F84" s="65">
        <v>41</v>
      </c>
      <c r="G84" s="65">
        <f t="shared" si="9"/>
        <v>41</v>
      </c>
      <c r="H84" s="65">
        <f t="shared" si="10"/>
        <v>1</v>
      </c>
      <c r="I84" s="65"/>
      <c r="K84" s="80">
        <f>ROUND(B84*$K$7,2)</f>
        <v>1.25</v>
      </c>
      <c r="L84" s="81">
        <f t="shared" si="8"/>
        <v>1.25</v>
      </c>
    </row>
    <row r="85" spans="1:12" ht="11.25">
      <c r="A85" s="63" t="s">
        <v>257</v>
      </c>
      <c r="B85" s="64">
        <v>50.68</v>
      </c>
      <c r="C85" s="64"/>
      <c r="D85" s="65"/>
      <c r="E85" s="65"/>
      <c r="F85" s="65"/>
      <c r="G85" s="65">
        <f t="shared" si="9"/>
        <v>0</v>
      </c>
      <c r="H85" s="65">
        <f t="shared" si="10"/>
        <v>0</v>
      </c>
      <c r="I85" s="65"/>
      <c r="K85" s="80">
        <f>ROUND(B85*$K$7,2)+0.02</f>
        <v>1.57</v>
      </c>
      <c r="L85" s="81">
        <f t="shared" si="8"/>
        <v>0</v>
      </c>
    </row>
    <row r="86" spans="1:12" ht="11.25">
      <c r="A86" s="63" t="s">
        <v>258</v>
      </c>
      <c r="B86" s="64">
        <v>61.42</v>
      </c>
      <c r="C86" s="64"/>
      <c r="D86" s="65"/>
      <c r="E86" s="65"/>
      <c r="F86" s="65"/>
      <c r="G86" s="65">
        <f t="shared" si="9"/>
        <v>0</v>
      </c>
      <c r="H86" s="65">
        <f t="shared" si="10"/>
        <v>0</v>
      </c>
      <c r="I86" s="65"/>
      <c r="K86" s="80">
        <f>ROUND(B86*$K$7,2)-0.04</f>
        <v>1.83</v>
      </c>
      <c r="L86" s="81">
        <f t="shared" si="8"/>
        <v>0</v>
      </c>
    </row>
    <row r="87" spans="1:12" ht="11.25">
      <c r="A87" s="63" t="s">
        <v>259</v>
      </c>
      <c r="B87" s="64">
        <v>70.02</v>
      </c>
      <c r="C87" s="64"/>
      <c r="D87" s="65"/>
      <c r="E87" s="65"/>
      <c r="F87" s="65"/>
      <c r="G87" s="65">
        <f t="shared" si="9"/>
        <v>0</v>
      </c>
      <c r="H87" s="65">
        <f t="shared" si="10"/>
        <v>0</v>
      </c>
      <c r="I87" s="65"/>
      <c r="K87" s="80">
        <f>ROUND(B87*$K$7,2)-0.01</f>
        <v>2.1300000000000003</v>
      </c>
      <c r="L87" s="81">
        <f t="shared" si="8"/>
        <v>0</v>
      </c>
    </row>
    <row r="88" spans="1:12" ht="11.25">
      <c r="A88" s="63" t="s">
        <v>260</v>
      </c>
      <c r="B88" s="64">
        <v>81.04</v>
      </c>
      <c r="C88" s="64"/>
      <c r="D88" s="65"/>
      <c r="E88" s="65"/>
      <c r="F88" s="65"/>
      <c r="G88" s="65">
        <f t="shared" si="9"/>
        <v>0</v>
      </c>
      <c r="H88" s="65">
        <f t="shared" si="10"/>
        <v>0</v>
      </c>
      <c r="I88" s="65"/>
      <c r="K88" s="80">
        <f>ROUND(B88*$K$7,2)-0.01</f>
        <v>2.4600000000000004</v>
      </c>
      <c r="L88" s="81">
        <f t="shared" si="8"/>
        <v>0</v>
      </c>
    </row>
    <row r="89" spans="1:12" ht="11.25">
      <c r="A89" s="63" t="s">
        <v>261</v>
      </c>
      <c r="B89" s="64">
        <v>8</v>
      </c>
      <c r="C89" s="64"/>
      <c r="D89" s="65"/>
      <c r="E89" s="65"/>
      <c r="F89" s="65"/>
      <c r="G89" s="65">
        <f t="shared" si="9"/>
        <v>0</v>
      </c>
      <c r="H89" s="65">
        <f t="shared" si="10"/>
        <v>0</v>
      </c>
      <c r="I89" s="65"/>
      <c r="K89" s="80">
        <f t="shared" si="7"/>
        <v>0.24</v>
      </c>
      <c r="L89" s="81">
        <f t="shared" si="8"/>
        <v>0</v>
      </c>
    </row>
    <row r="90" spans="1:12" ht="11.25">
      <c r="A90" s="63" t="s">
        <v>262</v>
      </c>
      <c r="B90" s="64">
        <v>32</v>
      </c>
      <c r="C90" s="64"/>
      <c r="D90" s="65">
        <v>6706</v>
      </c>
      <c r="E90" s="65"/>
      <c r="F90" s="65"/>
      <c r="G90" s="65">
        <f t="shared" si="9"/>
        <v>6706</v>
      </c>
      <c r="H90" s="65">
        <f t="shared" si="10"/>
        <v>209.56</v>
      </c>
      <c r="I90" s="65"/>
      <c r="K90" s="80">
        <f>ROUND(B90*$K$7,2)+0.01</f>
        <v>0.99</v>
      </c>
      <c r="L90" s="81">
        <f t="shared" si="8"/>
        <v>207.4644</v>
      </c>
    </row>
    <row r="91" spans="1:12" ht="11.25">
      <c r="A91" s="63" t="s">
        <v>263</v>
      </c>
      <c r="B91" s="64">
        <v>40</v>
      </c>
      <c r="C91" s="64"/>
      <c r="D91" s="65"/>
      <c r="E91" s="65"/>
      <c r="F91" s="65"/>
      <c r="G91" s="65">
        <f t="shared" si="9"/>
        <v>0</v>
      </c>
      <c r="H91" s="65">
        <f t="shared" si="10"/>
        <v>0</v>
      </c>
      <c r="I91" s="65"/>
      <c r="K91" s="80">
        <f>ROUND(B91*$K$7,2)+0.01</f>
        <v>1.23</v>
      </c>
      <c r="L91" s="81">
        <f t="shared" si="8"/>
        <v>0</v>
      </c>
    </row>
    <row r="92" spans="1:12" ht="11.25">
      <c r="A92" s="63" t="s">
        <v>264</v>
      </c>
      <c r="B92" s="64">
        <v>45</v>
      </c>
      <c r="C92" s="64"/>
      <c r="D92" s="65"/>
      <c r="E92" s="65"/>
      <c r="F92" s="65">
        <v>963</v>
      </c>
      <c r="G92" s="65">
        <f t="shared" si="9"/>
        <v>963</v>
      </c>
      <c r="H92" s="65">
        <f t="shared" si="10"/>
        <v>21.4</v>
      </c>
      <c r="I92" s="65"/>
      <c r="K92" s="80">
        <f t="shared" si="7"/>
        <v>1.37</v>
      </c>
      <c r="L92" s="81">
        <f t="shared" si="8"/>
        <v>29.318</v>
      </c>
    </row>
    <row r="93" spans="1:12" ht="11.25">
      <c r="A93" s="63" t="s">
        <v>265</v>
      </c>
      <c r="B93" s="64">
        <v>51</v>
      </c>
      <c r="C93" s="64"/>
      <c r="D93" s="65"/>
      <c r="E93" s="65"/>
      <c r="F93" s="65"/>
      <c r="G93" s="65">
        <f t="shared" si="9"/>
        <v>0</v>
      </c>
      <c r="H93" s="65">
        <f t="shared" si="10"/>
        <v>0</v>
      </c>
      <c r="I93" s="65"/>
      <c r="K93" s="80">
        <f>ROUND(B93*$K$7,2)-0.02</f>
        <v>1.54</v>
      </c>
      <c r="L93" s="81">
        <f t="shared" si="8"/>
        <v>0</v>
      </c>
    </row>
    <row r="94" spans="1:12" ht="11.25">
      <c r="A94" s="63" t="s">
        <v>266</v>
      </c>
      <c r="B94" s="64">
        <v>60</v>
      </c>
      <c r="C94" s="64"/>
      <c r="D94" s="65"/>
      <c r="E94" s="65"/>
      <c r="F94" s="65"/>
      <c r="G94" s="65">
        <f t="shared" si="9"/>
        <v>0</v>
      </c>
      <c r="H94" s="65">
        <f t="shared" si="10"/>
        <v>0</v>
      </c>
      <c r="I94" s="65"/>
      <c r="K94" s="80">
        <f>ROUND(B94*$K$7,2)-0.01</f>
        <v>1.82</v>
      </c>
      <c r="L94" s="81">
        <f t="shared" si="8"/>
        <v>0</v>
      </c>
    </row>
    <row r="95" spans="1:12" ht="11.25">
      <c r="A95" s="63" t="s">
        <v>267</v>
      </c>
      <c r="B95" s="64">
        <v>72</v>
      </c>
      <c r="C95" s="64"/>
      <c r="D95" s="65"/>
      <c r="E95" s="65"/>
      <c r="F95" s="65"/>
      <c r="G95" s="65">
        <f t="shared" si="9"/>
        <v>0</v>
      </c>
      <c r="H95" s="65">
        <f t="shared" si="10"/>
        <v>0</v>
      </c>
      <c r="I95" s="65"/>
      <c r="K95" s="80">
        <f>ROUND(B95*$K$7,2)+0.02</f>
        <v>2.22</v>
      </c>
      <c r="L95" s="81">
        <f t="shared" si="8"/>
        <v>0</v>
      </c>
    </row>
    <row r="96" spans="1:12" ht="11.25">
      <c r="A96" s="63" t="s">
        <v>268</v>
      </c>
      <c r="B96" s="64">
        <v>85</v>
      </c>
      <c r="C96" s="64"/>
      <c r="D96" s="65"/>
      <c r="E96" s="65"/>
      <c r="F96" s="65"/>
      <c r="G96" s="65">
        <f t="shared" si="9"/>
        <v>0</v>
      </c>
      <c r="H96" s="65">
        <f t="shared" si="10"/>
        <v>0</v>
      </c>
      <c r="I96" s="65"/>
      <c r="K96" s="80">
        <f>ROUND(B96*$K$7,2)+0.01</f>
        <v>2.5999999999999996</v>
      </c>
      <c r="L96" s="81">
        <f t="shared" si="8"/>
        <v>0</v>
      </c>
    </row>
    <row r="97" spans="1:12" ht="11.25">
      <c r="A97" s="63" t="s">
        <v>269</v>
      </c>
      <c r="B97" s="64">
        <v>20</v>
      </c>
      <c r="C97" s="64"/>
      <c r="D97" s="65">
        <v>4870</v>
      </c>
      <c r="E97" s="65"/>
      <c r="F97" s="65"/>
      <c r="G97" s="65">
        <f t="shared" si="9"/>
        <v>4870</v>
      </c>
      <c r="H97" s="65">
        <f t="shared" si="10"/>
        <v>243.5</v>
      </c>
      <c r="I97" s="65"/>
      <c r="K97" s="80">
        <f>ROUND(B97*$K$7,2)+0.13</f>
        <v>0.74</v>
      </c>
      <c r="L97" s="81">
        <f t="shared" si="8"/>
        <v>180.19</v>
      </c>
    </row>
    <row r="98" spans="1:12" ht="11.25">
      <c r="A98" s="63" t="s">
        <v>270</v>
      </c>
      <c r="B98" s="64">
        <v>10</v>
      </c>
      <c r="C98" s="64"/>
      <c r="D98" s="65">
        <v>20</v>
      </c>
      <c r="E98" s="65"/>
      <c r="F98" s="65"/>
      <c r="G98" s="65">
        <f t="shared" si="9"/>
        <v>20</v>
      </c>
      <c r="H98" s="65">
        <f t="shared" si="10"/>
        <v>2</v>
      </c>
      <c r="I98" s="65"/>
      <c r="K98" s="80">
        <f t="shared" si="7"/>
        <v>0.31</v>
      </c>
      <c r="L98" s="81">
        <f t="shared" si="8"/>
        <v>0.62</v>
      </c>
    </row>
    <row r="99" spans="1:12" ht="11.25">
      <c r="A99" s="63" t="s">
        <v>271</v>
      </c>
      <c r="B99" s="64">
        <v>20</v>
      </c>
      <c r="C99" s="64"/>
      <c r="D99" s="65"/>
      <c r="E99" s="65"/>
      <c r="F99" s="65"/>
      <c r="G99" s="65">
        <f t="shared" si="9"/>
        <v>0</v>
      </c>
      <c r="H99" s="65">
        <f t="shared" si="10"/>
        <v>0</v>
      </c>
      <c r="I99" s="65"/>
      <c r="K99" s="80">
        <f t="shared" si="7"/>
        <v>0.61</v>
      </c>
      <c r="L99" s="81">
        <f t="shared" si="8"/>
        <v>0</v>
      </c>
    </row>
    <row r="100" spans="1:12" ht="11.25">
      <c r="A100" s="63" t="s">
        <v>216</v>
      </c>
      <c r="B100" s="64">
        <v>15</v>
      </c>
      <c r="C100" s="64"/>
      <c r="D100" s="65"/>
      <c r="E100" s="65"/>
      <c r="F100" s="65"/>
      <c r="G100" s="65">
        <f t="shared" si="9"/>
        <v>0</v>
      </c>
      <c r="H100" s="65">
        <f t="shared" si="10"/>
        <v>0</v>
      </c>
      <c r="I100" s="65"/>
      <c r="K100" s="80">
        <f t="shared" si="7"/>
        <v>0.46</v>
      </c>
      <c r="L100" s="81">
        <f t="shared" si="8"/>
        <v>0</v>
      </c>
    </row>
    <row r="101" spans="1:12" ht="11.25">
      <c r="A101" s="63" t="s">
        <v>272</v>
      </c>
      <c r="B101" s="64">
        <v>2.55</v>
      </c>
      <c r="C101" s="64"/>
      <c r="D101" s="65">
        <v>20.4</v>
      </c>
      <c r="E101" s="65"/>
      <c r="F101" s="65"/>
      <c r="G101" s="65">
        <f t="shared" si="9"/>
        <v>20.4</v>
      </c>
      <c r="H101" s="65">
        <f t="shared" si="10"/>
        <v>8</v>
      </c>
      <c r="I101" s="65">
        <f>H101/12</f>
        <v>0.6666666666666666</v>
      </c>
      <c r="K101" s="80">
        <f t="shared" si="7"/>
        <v>0.08</v>
      </c>
      <c r="L101" s="81">
        <f t="shared" si="8"/>
        <v>0.64</v>
      </c>
    </row>
    <row r="102" spans="1:12" ht="11.25">
      <c r="A102" s="63" t="s">
        <v>273</v>
      </c>
      <c r="B102" s="64">
        <v>5.2</v>
      </c>
      <c r="C102" s="64"/>
      <c r="D102" s="65">
        <v>8153.6</v>
      </c>
      <c r="E102" s="65"/>
      <c r="F102" s="65">
        <v>5450</v>
      </c>
      <c r="G102" s="65">
        <f t="shared" si="9"/>
        <v>13603.6</v>
      </c>
      <c r="H102" s="65">
        <f t="shared" si="10"/>
        <v>2616.08</v>
      </c>
      <c r="I102" s="65">
        <f>H102/12</f>
        <v>218.00666666666666</v>
      </c>
      <c r="K102" s="80">
        <f t="shared" si="7"/>
        <v>0.16</v>
      </c>
      <c r="L102" s="81">
        <f t="shared" si="8"/>
        <v>418.5728</v>
      </c>
    </row>
    <row r="103" spans="1:12" ht="11.25">
      <c r="A103" s="63" t="s">
        <v>274</v>
      </c>
      <c r="B103" s="64">
        <v>7.15</v>
      </c>
      <c r="C103" s="64"/>
      <c r="D103" s="65">
        <v>2945.8</v>
      </c>
      <c r="E103" s="65"/>
      <c r="F103" s="65">
        <v>2309</v>
      </c>
      <c r="G103" s="65">
        <f t="shared" si="9"/>
        <v>5254.8</v>
      </c>
      <c r="H103" s="65">
        <f t="shared" si="10"/>
        <v>734.94</v>
      </c>
      <c r="I103" s="65">
        <f>H103/12</f>
        <v>61.245000000000005</v>
      </c>
      <c r="K103" s="80">
        <f t="shared" si="7"/>
        <v>0.22</v>
      </c>
      <c r="L103" s="81">
        <f t="shared" si="8"/>
        <v>161.6868</v>
      </c>
    </row>
    <row r="104" spans="1:12" ht="11.25">
      <c r="A104" s="63" t="s">
        <v>275</v>
      </c>
      <c r="B104" s="64">
        <v>0.5</v>
      </c>
      <c r="C104" s="64"/>
      <c r="D104" s="65">
        <v>6.51</v>
      </c>
      <c r="E104" s="65"/>
      <c r="F104" s="65"/>
      <c r="G104" s="65">
        <f t="shared" si="9"/>
        <v>6.51</v>
      </c>
      <c r="H104" s="65">
        <f t="shared" si="10"/>
        <v>13.02</v>
      </c>
      <c r="I104" s="65"/>
      <c r="K104" s="80">
        <f>ROUND(B104*$K$7,2)+0.03+2.95</f>
        <v>3</v>
      </c>
      <c r="L104" s="81">
        <f t="shared" si="8"/>
        <v>39.06</v>
      </c>
    </row>
    <row r="105" spans="1:12" ht="11.25">
      <c r="A105" s="63" t="s">
        <v>276</v>
      </c>
      <c r="B105" s="64">
        <v>0.45</v>
      </c>
      <c r="C105" s="64"/>
      <c r="D105" s="65">
        <v>464.85</v>
      </c>
      <c r="E105" s="65"/>
      <c r="F105" s="65"/>
      <c r="G105" s="65">
        <f t="shared" si="9"/>
        <v>464.85</v>
      </c>
      <c r="H105" s="65">
        <f t="shared" si="10"/>
        <v>1033</v>
      </c>
      <c r="I105" s="65"/>
      <c r="K105" s="80">
        <f t="shared" si="7"/>
        <v>0.01</v>
      </c>
      <c r="L105" s="81">
        <f t="shared" si="8"/>
        <v>10.33</v>
      </c>
    </row>
    <row r="106" spans="1:12" ht="11.25">
      <c r="A106" s="63" t="s">
        <v>277</v>
      </c>
      <c r="B106" s="64">
        <v>0.45</v>
      </c>
      <c r="C106" s="64"/>
      <c r="D106" s="65">
        <v>386.1</v>
      </c>
      <c r="E106" s="65"/>
      <c r="F106" s="65"/>
      <c r="G106" s="65">
        <f t="shared" si="9"/>
        <v>386.1</v>
      </c>
      <c r="H106" s="65">
        <f t="shared" si="10"/>
        <v>858</v>
      </c>
      <c r="I106" s="65"/>
      <c r="K106" s="80">
        <f t="shared" si="7"/>
        <v>0.01</v>
      </c>
      <c r="L106" s="81">
        <f t="shared" si="8"/>
        <v>8.58</v>
      </c>
    </row>
    <row r="107" spans="1:12" ht="11.25">
      <c r="A107" s="63" t="s">
        <v>278</v>
      </c>
      <c r="B107" s="64">
        <v>0.5</v>
      </c>
      <c r="C107" s="64"/>
      <c r="D107" s="65">
        <v>2664.35</v>
      </c>
      <c r="E107" s="65"/>
      <c r="F107" s="65">
        <v>42</v>
      </c>
      <c r="G107" s="65">
        <f t="shared" si="9"/>
        <v>2706.35</v>
      </c>
      <c r="H107" s="65">
        <f t="shared" si="10"/>
        <v>5412.7</v>
      </c>
      <c r="I107" s="65"/>
      <c r="K107" s="80">
        <f t="shared" si="7"/>
        <v>0.02</v>
      </c>
      <c r="L107" s="81">
        <f t="shared" si="8"/>
        <v>108.254</v>
      </c>
    </row>
    <row r="108" spans="1:12" ht="11.25">
      <c r="A108" s="63" t="s">
        <v>279</v>
      </c>
      <c r="B108" s="64">
        <v>0.5</v>
      </c>
      <c r="C108" s="64"/>
      <c r="D108" s="65">
        <v>301</v>
      </c>
      <c r="E108" s="65"/>
      <c r="F108" s="65"/>
      <c r="G108" s="65">
        <f t="shared" si="9"/>
        <v>301</v>
      </c>
      <c r="H108" s="65">
        <f t="shared" si="10"/>
        <v>602</v>
      </c>
      <c r="I108" s="65"/>
      <c r="K108" s="80">
        <f t="shared" si="7"/>
        <v>0.02</v>
      </c>
      <c r="L108" s="81">
        <f t="shared" si="8"/>
        <v>12.040000000000001</v>
      </c>
    </row>
    <row r="109" spans="1:12" ht="11.25">
      <c r="A109" s="63" t="s">
        <v>280</v>
      </c>
      <c r="B109" s="64">
        <v>0.55</v>
      </c>
      <c r="C109" s="64"/>
      <c r="D109" s="65">
        <v>350.58</v>
      </c>
      <c r="E109" s="65"/>
      <c r="F109" s="65"/>
      <c r="G109" s="65">
        <f t="shared" si="9"/>
        <v>350.58</v>
      </c>
      <c r="H109" s="65">
        <f t="shared" si="10"/>
        <v>637.42</v>
      </c>
      <c r="I109" s="65"/>
      <c r="K109" s="80">
        <f t="shared" si="7"/>
        <v>0.02</v>
      </c>
      <c r="L109" s="81">
        <f t="shared" si="8"/>
        <v>12.7484</v>
      </c>
    </row>
    <row r="110" spans="1:12" ht="11.25">
      <c r="A110" s="63" t="s">
        <v>281</v>
      </c>
      <c r="B110" s="64">
        <v>0.55</v>
      </c>
      <c r="C110" s="64"/>
      <c r="D110" s="65">
        <v>8.8</v>
      </c>
      <c r="E110" s="65"/>
      <c r="F110" s="65"/>
      <c r="G110" s="65">
        <f t="shared" si="9"/>
        <v>8.8</v>
      </c>
      <c r="H110" s="65">
        <f t="shared" si="10"/>
        <v>16</v>
      </c>
      <c r="I110" s="65"/>
      <c r="K110" s="80">
        <f t="shared" si="7"/>
        <v>0.02</v>
      </c>
      <c r="L110" s="81">
        <f t="shared" si="8"/>
        <v>0.32</v>
      </c>
    </row>
    <row r="111" spans="1:12" ht="11.25">
      <c r="A111" s="63" t="s">
        <v>282</v>
      </c>
      <c r="B111" s="64">
        <v>0.6</v>
      </c>
      <c r="C111" s="64"/>
      <c r="D111" s="65">
        <v>247.8</v>
      </c>
      <c r="E111" s="65"/>
      <c r="F111" s="65"/>
      <c r="G111" s="65">
        <f t="shared" si="9"/>
        <v>247.8</v>
      </c>
      <c r="H111" s="65">
        <f t="shared" si="10"/>
        <v>413</v>
      </c>
      <c r="I111" s="65"/>
      <c r="K111" s="80">
        <f t="shared" si="7"/>
        <v>0.02</v>
      </c>
      <c r="L111" s="81">
        <f t="shared" si="8"/>
        <v>8.26</v>
      </c>
    </row>
    <row r="112" spans="1:12" ht="11.25">
      <c r="A112" s="63" t="s">
        <v>190</v>
      </c>
      <c r="B112" s="64">
        <v>22.52</v>
      </c>
      <c r="C112" s="64"/>
      <c r="D112" s="65">
        <v>22639.36</v>
      </c>
      <c r="E112" s="65"/>
      <c r="F112" s="65">
        <v>6351</v>
      </c>
      <c r="G112" s="65">
        <f t="shared" si="9"/>
        <v>28990.36</v>
      </c>
      <c r="H112" s="65">
        <f t="shared" si="10"/>
        <v>1287.32</v>
      </c>
      <c r="I112" s="65">
        <f>H112/12</f>
        <v>107.27666666666666</v>
      </c>
      <c r="K112" s="80">
        <f t="shared" si="7"/>
        <v>0.69</v>
      </c>
      <c r="L112" s="81">
        <f t="shared" si="8"/>
        <v>888.2507999999999</v>
      </c>
    </row>
    <row r="113" spans="1:12" ht="11.25">
      <c r="A113" s="63" t="s">
        <v>192</v>
      </c>
      <c r="B113" s="64">
        <v>17.25</v>
      </c>
      <c r="C113" s="64"/>
      <c r="D113" s="65"/>
      <c r="E113" s="65"/>
      <c r="F113" s="65"/>
      <c r="G113" s="65">
        <f aca="true" t="shared" si="11" ref="G113:G119">SUM(D113:F113)</f>
        <v>0</v>
      </c>
      <c r="H113" s="65">
        <f aca="true" t="shared" si="12" ref="H113:H119">ROUND(G113/B113,2)</f>
        <v>0</v>
      </c>
      <c r="I113" s="65"/>
      <c r="K113" s="80">
        <f aca="true" t="shared" si="13" ref="K113:K119">ROUND(B113*$K$7,2)</f>
        <v>0.53</v>
      </c>
      <c r="L113" s="81">
        <f aca="true" t="shared" si="14" ref="L113:L119">K113*H113</f>
        <v>0</v>
      </c>
    </row>
    <row r="114" spans="1:12" ht="11.25">
      <c r="A114" s="63" t="s">
        <v>196</v>
      </c>
      <c r="B114" s="64">
        <v>30.96</v>
      </c>
      <c r="C114" s="64"/>
      <c r="D114" s="65">
        <v>16834.5</v>
      </c>
      <c r="E114" s="65"/>
      <c r="F114" s="65">
        <v>19288</v>
      </c>
      <c r="G114" s="65">
        <f t="shared" si="11"/>
        <v>36122.5</v>
      </c>
      <c r="H114" s="65">
        <f t="shared" si="12"/>
        <v>1166.75</v>
      </c>
      <c r="I114" s="65">
        <f>H114/12</f>
        <v>97.22916666666667</v>
      </c>
      <c r="K114" s="80">
        <f t="shared" si="13"/>
        <v>0.94</v>
      </c>
      <c r="L114" s="81">
        <f t="shared" si="14"/>
        <v>1096.745</v>
      </c>
    </row>
    <row r="115" spans="1:12" ht="11.25">
      <c r="A115" s="63" t="s">
        <v>197</v>
      </c>
      <c r="B115" s="64">
        <v>20.9</v>
      </c>
      <c r="C115" s="64"/>
      <c r="D115" s="65">
        <v>5820.65</v>
      </c>
      <c r="E115" s="65"/>
      <c r="F115" s="65">
        <v>4295</v>
      </c>
      <c r="G115" s="65">
        <f t="shared" si="11"/>
        <v>10115.65</v>
      </c>
      <c r="H115" s="65">
        <f t="shared" si="12"/>
        <v>484</v>
      </c>
      <c r="I115" s="65">
        <f>H115/12</f>
        <v>40.333333333333336</v>
      </c>
      <c r="K115" s="80">
        <f t="shared" si="13"/>
        <v>0.64</v>
      </c>
      <c r="L115" s="81">
        <f t="shared" si="14"/>
        <v>309.76</v>
      </c>
    </row>
    <row r="116" spans="1:12" ht="11.25">
      <c r="A116" s="63" t="s">
        <v>283</v>
      </c>
      <c r="B116" s="64">
        <v>1.85</v>
      </c>
      <c r="C116" s="64"/>
      <c r="D116" s="65"/>
      <c r="E116" s="65"/>
      <c r="F116" s="65"/>
      <c r="G116" s="65">
        <f t="shared" si="11"/>
        <v>0</v>
      </c>
      <c r="H116" s="65">
        <f t="shared" si="12"/>
        <v>0</v>
      </c>
      <c r="I116" s="65"/>
      <c r="K116" s="80">
        <f t="shared" si="13"/>
        <v>0.06</v>
      </c>
      <c r="L116" s="81">
        <f t="shared" si="14"/>
        <v>0</v>
      </c>
    </row>
    <row r="117" spans="1:12" ht="11.25">
      <c r="A117" s="63" t="s">
        <v>214</v>
      </c>
      <c r="B117" s="64">
        <v>25</v>
      </c>
      <c r="C117" s="64"/>
      <c r="D117" s="65">
        <v>115</v>
      </c>
      <c r="E117" s="65"/>
      <c r="F117" s="65">
        <v>40</v>
      </c>
      <c r="G117" s="65">
        <f t="shared" si="11"/>
        <v>155</v>
      </c>
      <c r="H117" s="65">
        <f t="shared" si="12"/>
        <v>6.2</v>
      </c>
      <c r="I117" s="65"/>
      <c r="K117" s="80">
        <v>2.75</v>
      </c>
      <c r="L117" s="81">
        <f t="shared" si="14"/>
        <v>17.05</v>
      </c>
    </row>
    <row r="118" spans="1:12" ht="11.25">
      <c r="A118" s="63" t="s">
        <v>284</v>
      </c>
      <c r="B118" s="64">
        <v>3</v>
      </c>
      <c r="C118" s="64"/>
      <c r="D118" s="65">
        <v>35.98</v>
      </c>
      <c r="E118" s="65"/>
      <c r="F118" s="65">
        <v>17</v>
      </c>
      <c r="G118" s="65">
        <f t="shared" si="11"/>
        <v>52.98</v>
      </c>
      <c r="H118" s="65">
        <f t="shared" si="12"/>
        <v>17.66</v>
      </c>
      <c r="I118" s="65"/>
      <c r="K118" s="80">
        <f t="shared" si="13"/>
        <v>0.09</v>
      </c>
      <c r="L118" s="81">
        <f t="shared" si="14"/>
        <v>1.5894</v>
      </c>
    </row>
    <row r="119" spans="1:14" ht="11.25">
      <c r="A119" s="63" t="s">
        <v>285</v>
      </c>
      <c r="B119" s="64">
        <v>11</v>
      </c>
      <c r="C119" s="64"/>
      <c r="D119" s="65">
        <v>118.87</v>
      </c>
      <c r="E119" s="65"/>
      <c r="F119" s="65">
        <v>265</v>
      </c>
      <c r="G119" s="65">
        <f t="shared" si="11"/>
        <v>383.87</v>
      </c>
      <c r="H119" s="65">
        <f t="shared" si="12"/>
        <v>34.9</v>
      </c>
      <c r="I119" s="65"/>
      <c r="K119" s="80">
        <f t="shared" si="13"/>
        <v>0.34</v>
      </c>
      <c r="L119" s="81">
        <f t="shared" si="14"/>
        <v>11.866</v>
      </c>
      <c r="M119" s="80"/>
      <c r="N119" s="81"/>
    </row>
    <row r="120" spans="1:9" ht="11.25">
      <c r="A120" s="63"/>
      <c r="B120" s="64"/>
      <c r="C120" s="64"/>
      <c r="D120" s="65"/>
      <c r="E120" s="65"/>
      <c r="F120" s="65"/>
      <c r="G120" s="65"/>
      <c r="H120" s="65"/>
      <c r="I120" s="65"/>
    </row>
    <row r="121" spans="1:12" ht="11.25">
      <c r="A121" s="83" t="s">
        <v>286</v>
      </c>
      <c r="B121" s="64"/>
      <c r="C121" s="64"/>
      <c r="D121" s="65">
        <f>SUM(D49:D120)</f>
        <v>1167044.7200000007</v>
      </c>
      <c r="E121" s="65">
        <f>SUM(E49:E120)</f>
        <v>0</v>
      </c>
      <c r="F121" s="65">
        <f>SUM(F49:F120)</f>
        <v>273787</v>
      </c>
      <c r="G121" s="65">
        <f>SUM(G49:G120)</f>
        <v>1440831.7200000002</v>
      </c>
      <c r="H121" s="65"/>
      <c r="I121" s="65">
        <f>SUM(I49:I120)-I112-I114-I115-I101-I102-I103</f>
        <v>1081.5641666666666</v>
      </c>
      <c r="L121" s="65">
        <f>SUM(L49:L120)</f>
        <v>44121.58210200002</v>
      </c>
    </row>
    <row r="122" spans="1:12" ht="11.25">
      <c r="A122" s="63"/>
      <c r="B122" s="64"/>
      <c r="C122" s="64"/>
      <c r="D122" s="65"/>
      <c r="E122" s="65"/>
      <c r="F122" s="65"/>
      <c r="G122" s="65"/>
      <c r="H122" s="65"/>
      <c r="I122" s="65"/>
      <c r="K122" s="81"/>
      <c r="L122" s="69">
        <f>L46+L121</f>
        <v>102697.56320200002</v>
      </c>
    </row>
    <row r="123" spans="1:13" ht="11.25">
      <c r="A123" s="83" t="s">
        <v>90</v>
      </c>
      <c r="B123" s="64"/>
      <c r="C123" s="64"/>
      <c r="D123" s="65"/>
      <c r="E123" s="65"/>
      <c r="F123" s="65"/>
      <c r="G123" s="65"/>
      <c r="H123" s="65"/>
      <c r="I123" s="65">
        <f>K171</f>
        <v>203872.85609999998</v>
      </c>
      <c r="K123" s="90">
        <v>0.655</v>
      </c>
      <c r="L123" s="91"/>
      <c r="M123" s="81"/>
    </row>
    <row r="124" spans="1:12" ht="11.25">
      <c r="A124" s="63" t="s">
        <v>287</v>
      </c>
      <c r="B124" s="64">
        <v>150</v>
      </c>
      <c r="C124" s="64"/>
      <c r="D124" s="65">
        <v>750</v>
      </c>
      <c r="E124" s="65"/>
      <c r="F124" s="65">
        <v>545</v>
      </c>
      <c r="G124" s="65">
        <f aca="true" t="shared" si="15" ref="G124:G158">SUM(D124:F124)</f>
        <v>1295</v>
      </c>
      <c r="H124" s="65">
        <f aca="true" t="shared" si="16" ref="H124:H158">ROUND(G124/B124,2)</f>
        <v>8.63</v>
      </c>
      <c r="I124" s="65"/>
      <c r="K124" s="80">
        <f>ROUND(B124*$K$123,2)</f>
        <v>98.25</v>
      </c>
      <c r="L124" s="81">
        <f aca="true" t="shared" si="17" ref="L124:L157">K124*H124</f>
        <v>847.8975</v>
      </c>
    </row>
    <row r="125" spans="1:12" ht="11.25">
      <c r="A125" s="63" t="s">
        <v>288</v>
      </c>
      <c r="B125" s="64">
        <v>103</v>
      </c>
      <c r="C125" s="64"/>
      <c r="D125" s="65">
        <v>4429</v>
      </c>
      <c r="E125" s="65"/>
      <c r="F125" s="65">
        <v>3296</v>
      </c>
      <c r="G125" s="65">
        <f t="shared" si="15"/>
        <v>7725</v>
      </c>
      <c r="H125" s="65">
        <f t="shared" si="16"/>
        <v>75</v>
      </c>
      <c r="I125" s="65"/>
      <c r="K125" s="80">
        <f>ROUND(B125*$K$123,2)+0.02</f>
        <v>67.49</v>
      </c>
      <c r="L125" s="81">
        <f t="shared" si="17"/>
        <v>5061.75</v>
      </c>
    </row>
    <row r="126" spans="1:12" ht="11.25">
      <c r="A126" s="63" t="s">
        <v>289</v>
      </c>
      <c r="B126" s="64">
        <v>180</v>
      </c>
      <c r="C126" s="64"/>
      <c r="D126" s="65">
        <v>180</v>
      </c>
      <c r="E126" s="65"/>
      <c r="F126" s="65">
        <v>180</v>
      </c>
      <c r="G126" s="65">
        <f t="shared" si="15"/>
        <v>360</v>
      </c>
      <c r="H126" s="65">
        <f t="shared" si="16"/>
        <v>2</v>
      </c>
      <c r="I126" s="65"/>
      <c r="K126" s="80">
        <f>ROUND(B126*$K$123,2)-0.011</f>
        <v>117.88900000000001</v>
      </c>
      <c r="L126" s="81">
        <f t="shared" si="17"/>
        <v>235.77800000000002</v>
      </c>
    </row>
    <row r="127" spans="1:12" ht="11.25">
      <c r="A127" s="63" t="s">
        <v>290</v>
      </c>
      <c r="B127" s="64">
        <v>113</v>
      </c>
      <c r="C127" s="64"/>
      <c r="D127" s="65">
        <v>2260</v>
      </c>
      <c r="E127" s="65"/>
      <c r="F127" s="65">
        <v>1356</v>
      </c>
      <c r="G127" s="65">
        <f t="shared" si="15"/>
        <v>3616</v>
      </c>
      <c r="H127" s="65">
        <f t="shared" si="16"/>
        <v>32</v>
      </c>
      <c r="I127" s="65"/>
      <c r="K127" s="80">
        <f>ROUND(B127*$K$123,2)</f>
        <v>74.02</v>
      </c>
      <c r="L127" s="81">
        <f t="shared" si="17"/>
        <v>2368.64</v>
      </c>
    </row>
    <row r="128" spans="1:12" ht="11.25">
      <c r="A128" s="63" t="s">
        <v>291</v>
      </c>
      <c r="B128" s="64">
        <v>210</v>
      </c>
      <c r="C128" s="64"/>
      <c r="D128" s="65">
        <v>750</v>
      </c>
      <c r="E128" s="65"/>
      <c r="F128" s="65">
        <v>120</v>
      </c>
      <c r="G128" s="65">
        <f t="shared" si="15"/>
        <v>870</v>
      </c>
      <c r="H128" s="65">
        <f t="shared" si="16"/>
        <v>4.14</v>
      </c>
      <c r="I128" s="65"/>
      <c r="K128" s="80">
        <f>ROUND(B128*$K$123,2)-0.02</f>
        <v>137.53</v>
      </c>
      <c r="L128" s="81">
        <f t="shared" si="17"/>
        <v>569.3742</v>
      </c>
    </row>
    <row r="129" spans="1:12" ht="11.25">
      <c r="A129" s="63" t="s">
        <v>292</v>
      </c>
      <c r="B129" s="64">
        <v>132</v>
      </c>
      <c r="C129" s="64"/>
      <c r="D129" s="65">
        <v>4932</v>
      </c>
      <c r="E129" s="65"/>
      <c r="F129" s="65">
        <v>1716</v>
      </c>
      <c r="G129" s="65">
        <f t="shared" si="15"/>
        <v>6648</v>
      </c>
      <c r="H129" s="65">
        <f t="shared" si="16"/>
        <v>50.36</v>
      </c>
      <c r="I129" s="65"/>
      <c r="K129" s="92">
        <f>ROUND(B129*$K$123,2)+0.01</f>
        <v>86.47</v>
      </c>
      <c r="L129" s="81">
        <f t="shared" si="17"/>
        <v>4354.6292</v>
      </c>
    </row>
    <row r="130" spans="1:12" ht="11.25">
      <c r="A130" s="63" t="s">
        <v>293</v>
      </c>
      <c r="B130" s="64">
        <v>30.96</v>
      </c>
      <c r="C130" s="64"/>
      <c r="D130" s="65">
        <f>216.72-216.72</f>
        <v>0</v>
      </c>
      <c r="E130" s="65"/>
      <c r="F130" s="65"/>
      <c r="G130" s="65">
        <f t="shared" si="15"/>
        <v>0</v>
      </c>
      <c r="H130" s="65">
        <f t="shared" si="16"/>
        <v>0</v>
      </c>
      <c r="I130" s="65"/>
      <c r="K130" s="92"/>
      <c r="L130" s="81">
        <f>K130*H130</f>
        <v>0</v>
      </c>
    </row>
    <row r="131" spans="1:12" ht="11.25">
      <c r="A131" s="63" t="s">
        <v>294</v>
      </c>
      <c r="B131" s="64">
        <v>130</v>
      </c>
      <c r="C131" s="64"/>
      <c r="D131" s="65">
        <v>1560</v>
      </c>
      <c r="E131" s="65"/>
      <c r="F131" s="65"/>
      <c r="G131" s="65">
        <f t="shared" si="15"/>
        <v>1560</v>
      </c>
      <c r="H131" s="65">
        <f t="shared" si="16"/>
        <v>12</v>
      </c>
      <c r="I131" s="65"/>
      <c r="K131" s="80">
        <f>ROUND(B131*$K$123,2)-0.01</f>
        <v>85.14</v>
      </c>
      <c r="L131" s="81">
        <f t="shared" si="17"/>
        <v>1021.6800000000001</v>
      </c>
    </row>
    <row r="132" spans="1:12" ht="11.25">
      <c r="A132" s="63" t="s">
        <v>295</v>
      </c>
      <c r="B132" s="64">
        <v>150</v>
      </c>
      <c r="C132" s="64"/>
      <c r="D132" s="65">
        <v>16410</v>
      </c>
      <c r="E132" s="65"/>
      <c r="F132" s="65">
        <v>13845</v>
      </c>
      <c r="G132" s="65">
        <f t="shared" si="15"/>
        <v>30255</v>
      </c>
      <c r="H132" s="65">
        <f t="shared" si="16"/>
        <v>201.7</v>
      </c>
      <c r="I132" s="65"/>
      <c r="K132" s="80">
        <f>ROUND(B132*$K$123,2)</f>
        <v>98.25</v>
      </c>
      <c r="L132" s="81">
        <f t="shared" si="17"/>
        <v>19817.024999999998</v>
      </c>
    </row>
    <row r="133" spans="1:12" ht="11.25">
      <c r="A133" s="63" t="s">
        <v>296</v>
      </c>
      <c r="B133" s="64">
        <v>95</v>
      </c>
      <c r="C133" s="64"/>
      <c r="D133" s="65"/>
      <c r="E133" s="65"/>
      <c r="F133" s="65"/>
      <c r="G133" s="65">
        <f t="shared" si="15"/>
        <v>0</v>
      </c>
      <c r="H133" s="65">
        <f t="shared" si="16"/>
        <v>0</v>
      </c>
      <c r="I133" s="65"/>
      <c r="K133" s="80">
        <f>ROUND(B133*$K$123,2)+0.01</f>
        <v>62.239999999999995</v>
      </c>
      <c r="L133" s="81">
        <f t="shared" si="17"/>
        <v>0</v>
      </c>
    </row>
    <row r="134" spans="1:12" ht="11.25">
      <c r="A134" s="63" t="s">
        <v>297</v>
      </c>
      <c r="B134" s="64">
        <v>103</v>
      </c>
      <c r="C134" s="64"/>
      <c r="D134" s="65">
        <v>2369</v>
      </c>
      <c r="E134" s="65"/>
      <c r="F134" s="65">
        <v>3708</v>
      </c>
      <c r="G134" s="65">
        <f t="shared" si="15"/>
        <v>6077</v>
      </c>
      <c r="H134" s="65">
        <f t="shared" si="16"/>
        <v>59</v>
      </c>
      <c r="I134" s="65"/>
      <c r="K134" s="80">
        <f>ROUND(B134*$K$123,2)+0.02</f>
        <v>67.49</v>
      </c>
      <c r="L134" s="81">
        <f t="shared" si="17"/>
        <v>3981.91</v>
      </c>
    </row>
    <row r="135" spans="1:12" ht="11.25">
      <c r="A135" s="63" t="s">
        <v>298</v>
      </c>
      <c r="B135" s="64">
        <v>140</v>
      </c>
      <c r="C135" s="64"/>
      <c r="D135" s="65">
        <v>700</v>
      </c>
      <c r="E135" s="65"/>
      <c r="F135" s="65"/>
      <c r="G135" s="65">
        <f t="shared" si="15"/>
        <v>700</v>
      </c>
      <c r="H135" s="65">
        <f t="shared" si="16"/>
        <v>5</v>
      </c>
      <c r="I135" s="65"/>
      <c r="K135" s="80">
        <f>ROUND(B135*$K$123,2)-0.03</f>
        <v>91.67</v>
      </c>
      <c r="L135" s="81">
        <f t="shared" si="17"/>
        <v>458.35</v>
      </c>
    </row>
    <row r="136" spans="1:12" ht="11.25">
      <c r="A136" s="63" t="s">
        <v>299</v>
      </c>
      <c r="B136" s="64">
        <v>180</v>
      </c>
      <c r="C136" s="64"/>
      <c r="D136" s="65">
        <v>26163</v>
      </c>
      <c r="E136" s="65"/>
      <c r="F136" s="65">
        <v>28847</v>
      </c>
      <c r="G136" s="65">
        <f t="shared" si="15"/>
        <v>55010</v>
      </c>
      <c r="H136" s="65">
        <f t="shared" si="16"/>
        <v>305.61</v>
      </c>
      <c r="I136" s="65"/>
      <c r="K136" s="80">
        <f>ROUND(B136*$K$123,2)-0.01</f>
        <v>117.89</v>
      </c>
      <c r="L136" s="81">
        <f t="shared" si="17"/>
        <v>36028.3629</v>
      </c>
    </row>
    <row r="137" spans="1:12" ht="11.25">
      <c r="A137" s="63" t="s">
        <v>300</v>
      </c>
      <c r="B137" s="64">
        <v>103</v>
      </c>
      <c r="C137" s="64"/>
      <c r="D137" s="65">
        <v>0</v>
      </c>
      <c r="E137" s="65"/>
      <c r="F137" s="65"/>
      <c r="G137" s="65">
        <f t="shared" si="15"/>
        <v>0</v>
      </c>
      <c r="H137" s="65">
        <f t="shared" si="16"/>
        <v>0</v>
      </c>
      <c r="I137" s="65"/>
      <c r="K137" s="80">
        <f>ROUND(B137*$K$123,2)+0.02</f>
        <v>67.49</v>
      </c>
      <c r="L137" s="81">
        <f t="shared" si="17"/>
        <v>0</v>
      </c>
    </row>
    <row r="138" spans="1:12" ht="11.25">
      <c r="A138" s="63" t="s">
        <v>301</v>
      </c>
      <c r="B138" s="64">
        <v>145</v>
      </c>
      <c r="C138" s="64"/>
      <c r="D138" s="65">
        <v>435</v>
      </c>
      <c r="E138" s="65"/>
      <c r="F138" s="65">
        <v>2175</v>
      </c>
      <c r="G138" s="65">
        <f t="shared" si="15"/>
        <v>2610</v>
      </c>
      <c r="H138" s="65">
        <f t="shared" si="16"/>
        <v>18</v>
      </c>
      <c r="I138" s="65"/>
      <c r="K138" s="80">
        <f>ROUND(B138*$K$123,2)+0.01</f>
        <v>94.99000000000001</v>
      </c>
      <c r="L138" s="81">
        <f t="shared" si="17"/>
        <v>1709.8200000000002</v>
      </c>
    </row>
    <row r="139" spans="1:12" ht="11.25">
      <c r="A139" s="63" t="s">
        <v>302</v>
      </c>
      <c r="B139" s="64">
        <v>113</v>
      </c>
      <c r="C139" s="64"/>
      <c r="D139" s="65">
        <v>6215</v>
      </c>
      <c r="E139" s="65"/>
      <c r="F139" s="65">
        <v>1695</v>
      </c>
      <c r="G139" s="65">
        <f t="shared" si="15"/>
        <v>7910</v>
      </c>
      <c r="H139" s="65">
        <f t="shared" si="16"/>
        <v>70</v>
      </c>
      <c r="I139" s="65"/>
      <c r="K139" s="80">
        <f>ROUND(B139*$K$123,2)</f>
        <v>74.02</v>
      </c>
      <c r="L139" s="81">
        <f t="shared" si="17"/>
        <v>5181.4</v>
      </c>
    </row>
    <row r="140" spans="1:12" ht="11.25">
      <c r="A140" s="63" t="s">
        <v>303</v>
      </c>
      <c r="B140" s="64">
        <v>210</v>
      </c>
      <c r="C140" s="64"/>
      <c r="D140" s="65">
        <v>35520</v>
      </c>
      <c r="E140" s="65"/>
      <c r="F140" s="65">
        <v>16410</v>
      </c>
      <c r="G140" s="65">
        <f t="shared" si="15"/>
        <v>51930</v>
      </c>
      <c r="H140" s="65">
        <f t="shared" si="16"/>
        <v>247.29</v>
      </c>
      <c r="I140" s="65"/>
      <c r="K140" s="80">
        <f>ROUND(B140*$K$123,2)-0.03+0.01</f>
        <v>137.53</v>
      </c>
      <c r="L140" s="81">
        <f t="shared" si="17"/>
        <v>34009.7937</v>
      </c>
    </row>
    <row r="141" spans="1:12" ht="11.25">
      <c r="A141" s="63" t="s">
        <v>304</v>
      </c>
      <c r="B141" s="64">
        <v>120</v>
      </c>
      <c r="C141" s="64"/>
      <c r="D141" s="65">
        <v>0</v>
      </c>
      <c r="E141" s="65"/>
      <c r="F141" s="65"/>
      <c r="G141" s="65">
        <f t="shared" si="15"/>
        <v>0</v>
      </c>
      <c r="H141" s="65">
        <f t="shared" si="16"/>
        <v>0</v>
      </c>
      <c r="I141" s="65"/>
      <c r="K141" s="80">
        <f>ROUND(B141*$K$123,2)+0.01</f>
        <v>78.61</v>
      </c>
      <c r="L141" s="81">
        <f t="shared" si="17"/>
        <v>0</v>
      </c>
    </row>
    <row r="142" spans="1:12" ht="11.25">
      <c r="A142" s="63" t="s">
        <v>305</v>
      </c>
      <c r="B142" s="64">
        <v>132</v>
      </c>
      <c r="C142" s="64"/>
      <c r="D142" s="65">
        <v>13908</v>
      </c>
      <c r="E142" s="65"/>
      <c r="F142" s="65">
        <v>4356</v>
      </c>
      <c r="G142" s="65">
        <f t="shared" si="15"/>
        <v>18264</v>
      </c>
      <c r="H142" s="65">
        <f t="shared" si="16"/>
        <v>138.36</v>
      </c>
      <c r="I142" s="65"/>
      <c r="K142" s="92">
        <f>ROUND(B142*$K$123,2)+0.01</f>
        <v>86.47</v>
      </c>
      <c r="L142" s="81">
        <f t="shared" si="17"/>
        <v>11963.989200000002</v>
      </c>
    </row>
    <row r="143" spans="1:12" ht="11.25">
      <c r="A143" s="63" t="s">
        <v>306</v>
      </c>
      <c r="B143" s="64">
        <v>150</v>
      </c>
      <c r="C143" s="64"/>
      <c r="D143" s="65">
        <v>11250</v>
      </c>
      <c r="E143" s="65"/>
      <c r="F143" s="65">
        <v>9750</v>
      </c>
      <c r="G143" s="65">
        <f t="shared" si="15"/>
        <v>21000</v>
      </c>
      <c r="H143" s="65">
        <f t="shared" si="16"/>
        <v>140</v>
      </c>
      <c r="I143" s="65"/>
      <c r="K143" s="80">
        <f>ROUND(B143*$K$123,2)</f>
        <v>98.25</v>
      </c>
      <c r="L143" s="81">
        <f t="shared" si="17"/>
        <v>13755</v>
      </c>
    </row>
    <row r="144" spans="1:14" ht="11.25">
      <c r="A144" s="63" t="s">
        <v>307</v>
      </c>
      <c r="B144" s="64">
        <v>2.3</v>
      </c>
      <c r="C144" s="64"/>
      <c r="D144" s="65">
        <v>19136</v>
      </c>
      <c r="E144" s="65"/>
      <c r="F144" s="65">
        <v>9120</v>
      </c>
      <c r="G144" s="65">
        <f t="shared" si="15"/>
        <v>28256</v>
      </c>
      <c r="H144" s="65">
        <f t="shared" si="16"/>
        <v>12285.22</v>
      </c>
      <c r="I144" s="65"/>
      <c r="K144" s="80">
        <f>ROUND(B144*$K$123,2)+0.03</f>
        <v>1.54</v>
      </c>
      <c r="L144" s="81">
        <f t="shared" si="17"/>
        <v>18919.2388</v>
      </c>
      <c r="N144" s="81"/>
    </row>
    <row r="145" spans="1:13" ht="11.25">
      <c r="A145" s="63" t="s">
        <v>308</v>
      </c>
      <c r="B145" s="64">
        <v>2.3</v>
      </c>
      <c r="C145" s="64"/>
      <c r="D145" s="65">
        <v>5508.5</v>
      </c>
      <c r="E145" s="65"/>
      <c r="F145" s="65">
        <v>2707</v>
      </c>
      <c r="G145" s="65">
        <f t="shared" si="15"/>
        <v>8215.5</v>
      </c>
      <c r="H145" s="65">
        <f t="shared" si="16"/>
        <v>3571.96</v>
      </c>
      <c r="I145" s="65"/>
      <c r="K145" s="80">
        <f>ROUND(B145*$K$123,2)+0.03</f>
        <v>1.54</v>
      </c>
      <c r="L145" s="81">
        <f t="shared" si="17"/>
        <v>5500.8184</v>
      </c>
      <c r="M145" s="81"/>
    </row>
    <row r="146" spans="1:12" ht="11.25">
      <c r="A146" s="63" t="s">
        <v>309</v>
      </c>
      <c r="B146" s="64">
        <v>80</v>
      </c>
      <c r="C146" s="64"/>
      <c r="D146" s="65">
        <v>3840</v>
      </c>
      <c r="E146" s="65"/>
      <c r="F146" s="65">
        <v>2720</v>
      </c>
      <c r="G146" s="65">
        <f t="shared" si="15"/>
        <v>6560</v>
      </c>
      <c r="H146" s="65">
        <f t="shared" si="16"/>
        <v>82</v>
      </c>
      <c r="I146" s="65"/>
      <c r="K146" s="80">
        <f>ROUND(B146*$K$123,2)-0.01</f>
        <v>52.39</v>
      </c>
      <c r="L146" s="81">
        <f t="shared" si="17"/>
        <v>4295.9800000000005</v>
      </c>
    </row>
    <row r="147" spans="1:12" ht="11.25">
      <c r="A147" s="63" t="s">
        <v>310</v>
      </c>
      <c r="B147" s="64">
        <v>80</v>
      </c>
      <c r="C147" s="64"/>
      <c r="D147" s="65">
        <v>2320</v>
      </c>
      <c r="E147" s="65"/>
      <c r="F147" s="65">
        <v>1280</v>
      </c>
      <c r="G147" s="65">
        <f t="shared" si="15"/>
        <v>3600</v>
      </c>
      <c r="H147" s="65">
        <f t="shared" si="16"/>
        <v>45</v>
      </c>
      <c r="I147" s="65"/>
      <c r="K147" s="80">
        <f>ROUND(B147*$K$123,2)-0.01</f>
        <v>52.39</v>
      </c>
      <c r="L147" s="81">
        <f t="shared" si="17"/>
        <v>2357.55</v>
      </c>
    </row>
    <row r="148" spans="1:12" ht="11.25">
      <c r="A148" s="63" t="s">
        <v>311</v>
      </c>
      <c r="B148" s="64">
        <v>80</v>
      </c>
      <c r="C148" s="64"/>
      <c r="D148" s="65">
        <v>3200</v>
      </c>
      <c r="E148" s="65"/>
      <c r="F148" s="65">
        <v>1520</v>
      </c>
      <c r="G148" s="65">
        <f t="shared" si="15"/>
        <v>4720</v>
      </c>
      <c r="H148" s="65">
        <f t="shared" si="16"/>
        <v>59</v>
      </c>
      <c r="I148" s="65"/>
      <c r="K148" s="80">
        <f>ROUND(B148*$K$123,2)-0.01</f>
        <v>52.39</v>
      </c>
      <c r="L148" s="81">
        <f t="shared" si="17"/>
        <v>3091.01</v>
      </c>
    </row>
    <row r="149" spans="1:12" ht="11.25">
      <c r="A149" s="63" t="s">
        <v>312</v>
      </c>
      <c r="B149" s="64">
        <v>3.9</v>
      </c>
      <c r="C149" s="64"/>
      <c r="D149" s="65">
        <v>499.2</v>
      </c>
      <c r="E149" s="65"/>
      <c r="F149" s="65"/>
      <c r="G149" s="65">
        <f t="shared" si="15"/>
        <v>499.2</v>
      </c>
      <c r="H149" s="65">
        <f t="shared" si="16"/>
        <v>128</v>
      </c>
      <c r="I149" s="65"/>
      <c r="K149" s="80"/>
      <c r="L149" s="81">
        <f t="shared" si="17"/>
        <v>0</v>
      </c>
    </row>
    <row r="150" spans="1:12" ht="11.25">
      <c r="A150" s="63" t="s">
        <v>313</v>
      </c>
      <c r="B150" s="64">
        <v>4.5</v>
      </c>
      <c r="C150" s="64"/>
      <c r="D150" s="65">
        <v>5998.5</v>
      </c>
      <c r="E150" s="65"/>
      <c r="F150" s="65">
        <v>4437</v>
      </c>
      <c r="G150" s="65">
        <f t="shared" si="15"/>
        <v>10435.5</v>
      </c>
      <c r="H150" s="65">
        <f t="shared" si="16"/>
        <v>2319</v>
      </c>
      <c r="I150" s="65"/>
      <c r="K150" s="80">
        <f>ROUND(B150*$K$123,2)+0.01</f>
        <v>2.96</v>
      </c>
      <c r="L150" s="81">
        <f t="shared" si="17"/>
        <v>6864.24</v>
      </c>
    </row>
    <row r="151" spans="1:12" ht="11.25">
      <c r="A151" s="63" t="s">
        <v>314</v>
      </c>
      <c r="B151" s="64">
        <v>5.5</v>
      </c>
      <c r="C151" s="64"/>
      <c r="D151" s="65">
        <v>5703.5</v>
      </c>
      <c r="E151" s="65"/>
      <c r="F151" s="65">
        <v>2646</v>
      </c>
      <c r="G151" s="65">
        <f t="shared" si="15"/>
        <v>8349.5</v>
      </c>
      <c r="H151" s="65">
        <f t="shared" si="16"/>
        <v>1518.09</v>
      </c>
      <c r="I151" s="65"/>
      <c r="K151" s="80">
        <f>ROUND(B151*$K$123,2)+0.02</f>
        <v>3.62</v>
      </c>
      <c r="L151" s="81">
        <f t="shared" si="17"/>
        <v>5495.4857999999995</v>
      </c>
    </row>
    <row r="152" spans="1:12" ht="11.25">
      <c r="A152" s="63" t="s">
        <v>315</v>
      </c>
      <c r="B152" s="64">
        <v>6.35</v>
      </c>
      <c r="C152" s="64"/>
      <c r="D152" s="65">
        <v>11906.25</v>
      </c>
      <c r="E152" s="65"/>
      <c r="F152" s="65">
        <v>3772</v>
      </c>
      <c r="G152" s="65">
        <f t="shared" si="15"/>
        <v>15678.25</v>
      </c>
      <c r="H152" s="65">
        <f t="shared" si="16"/>
        <v>2469.02</v>
      </c>
      <c r="I152" s="65"/>
      <c r="K152" s="80">
        <f>ROUND(B152*$K$123,2)+0.01</f>
        <v>4.17</v>
      </c>
      <c r="L152" s="81">
        <f t="shared" si="17"/>
        <v>10295.8134</v>
      </c>
    </row>
    <row r="153" spans="1:12" ht="11.25">
      <c r="A153" s="63" t="s">
        <v>316</v>
      </c>
      <c r="B153" s="64">
        <v>55</v>
      </c>
      <c r="C153" s="64"/>
      <c r="D153" s="65">
        <v>2090</v>
      </c>
      <c r="E153" s="65"/>
      <c r="F153" s="65">
        <v>2420</v>
      </c>
      <c r="G153" s="65">
        <f t="shared" si="15"/>
        <v>4510</v>
      </c>
      <c r="H153" s="65">
        <f t="shared" si="16"/>
        <v>82</v>
      </c>
      <c r="I153" s="65"/>
      <c r="K153" s="80">
        <f>ROUND(B153*$K$123,2)-0.02+0.01</f>
        <v>36.019999999999996</v>
      </c>
      <c r="L153" s="81">
        <f t="shared" si="17"/>
        <v>2953.64</v>
      </c>
    </row>
    <row r="154" spans="1:12" ht="11.25">
      <c r="A154" s="63" t="s">
        <v>317</v>
      </c>
      <c r="B154" s="64">
        <v>77</v>
      </c>
      <c r="C154" s="64"/>
      <c r="D154" s="65">
        <v>1232</v>
      </c>
      <c r="E154" s="65"/>
      <c r="F154" s="65">
        <v>770</v>
      </c>
      <c r="G154" s="65">
        <f t="shared" si="15"/>
        <v>2002</v>
      </c>
      <c r="H154" s="65">
        <f t="shared" si="16"/>
        <v>26</v>
      </c>
      <c r="I154" s="65"/>
      <c r="K154" s="80">
        <f>ROUND(B154*$K$123,2)-0.03</f>
        <v>50.41</v>
      </c>
      <c r="L154" s="81">
        <f t="shared" si="17"/>
        <v>1310.6599999999999</v>
      </c>
    </row>
    <row r="155" spans="1:12" ht="11.25">
      <c r="A155" s="63" t="s">
        <v>318</v>
      </c>
      <c r="B155" s="64">
        <v>90</v>
      </c>
      <c r="C155" s="64"/>
      <c r="D155" s="65">
        <v>1440</v>
      </c>
      <c r="E155" s="65"/>
      <c r="F155" s="65">
        <v>180</v>
      </c>
      <c r="G155" s="65">
        <f t="shared" si="15"/>
        <v>1620</v>
      </c>
      <c r="H155" s="65">
        <f t="shared" si="16"/>
        <v>18</v>
      </c>
      <c r="I155" s="65"/>
      <c r="K155" s="80">
        <f>ROUND(B155*$K$123,2)-0.03</f>
        <v>58.92</v>
      </c>
      <c r="L155" s="81">
        <f t="shared" si="17"/>
        <v>1060.56</v>
      </c>
    </row>
    <row r="156" spans="1:12" ht="11.25">
      <c r="A156" s="63" t="s">
        <v>319</v>
      </c>
      <c r="B156" s="64">
        <v>4.87</v>
      </c>
      <c r="C156" s="64"/>
      <c r="D156" s="65">
        <f>2660-2660</f>
        <v>0</v>
      </c>
      <c r="E156" s="65"/>
      <c r="F156" s="65">
        <f>4154-4154</f>
        <v>0</v>
      </c>
      <c r="G156" s="65">
        <f t="shared" si="15"/>
        <v>0</v>
      </c>
      <c r="H156" s="65">
        <f t="shared" si="16"/>
        <v>0</v>
      </c>
      <c r="I156" s="65"/>
      <c r="K156" s="80"/>
      <c r="L156" s="81">
        <f t="shared" si="17"/>
        <v>0</v>
      </c>
    </row>
    <row r="157" spans="1:12" ht="11.25">
      <c r="A157" s="63" t="s">
        <v>320</v>
      </c>
      <c r="B157" s="64">
        <v>60</v>
      </c>
      <c r="C157" s="64"/>
      <c r="D157" s="65">
        <v>300</v>
      </c>
      <c r="E157" s="65"/>
      <c r="F157" s="65">
        <v>120</v>
      </c>
      <c r="G157" s="65">
        <f t="shared" si="15"/>
        <v>420</v>
      </c>
      <c r="H157" s="65">
        <f t="shared" si="16"/>
        <v>7</v>
      </c>
      <c r="I157" s="65"/>
      <c r="K157" s="80">
        <f>ROUND(B157*$K$123,2)+12.48</f>
        <v>51.78</v>
      </c>
      <c r="L157" s="81">
        <f t="shared" si="17"/>
        <v>362.46000000000004</v>
      </c>
    </row>
    <row r="158" spans="1:11" ht="11.25">
      <c r="A158" s="63" t="s">
        <v>321</v>
      </c>
      <c r="B158" s="64">
        <v>82.5</v>
      </c>
      <c r="C158" s="64"/>
      <c r="D158" s="65">
        <v>265315.84</v>
      </c>
      <c r="E158" s="65"/>
      <c r="F158" s="65">
        <v>207874</v>
      </c>
      <c r="G158" s="65">
        <f t="shared" si="15"/>
        <v>473189.84</v>
      </c>
      <c r="H158" s="65">
        <f t="shared" si="16"/>
        <v>5735.63</v>
      </c>
      <c r="I158" s="65"/>
      <c r="K158" s="80"/>
    </row>
    <row r="159" spans="1:9" ht="11.25">
      <c r="A159" s="63"/>
      <c r="B159" s="64"/>
      <c r="C159" s="64"/>
      <c r="D159" s="65"/>
      <c r="E159" s="65"/>
      <c r="F159" s="65"/>
      <c r="G159" s="65"/>
      <c r="H159" s="63"/>
      <c r="I159" s="63"/>
    </row>
    <row r="160" spans="1:12" ht="11.25">
      <c r="A160" s="83" t="s">
        <v>322</v>
      </c>
      <c r="B160" s="64"/>
      <c r="C160" s="64"/>
      <c r="D160" s="65">
        <f>SUM(D124:D159)</f>
        <v>456320.79000000004</v>
      </c>
      <c r="E160" s="65">
        <f>SUM(E124:E159)</f>
        <v>0</v>
      </c>
      <c r="F160" s="65">
        <f>SUM(F124:F159)</f>
        <v>327565</v>
      </c>
      <c r="G160" s="65">
        <f>SUM(G124:G159)</f>
        <v>783885.79</v>
      </c>
      <c r="H160" s="93"/>
      <c r="I160" s="63"/>
      <c r="L160" s="65">
        <f>SUM(L124:L159)</f>
        <v>203872.85609999998</v>
      </c>
    </row>
    <row r="161" spans="1:9" ht="11.25">
      <c r="A161" s="83" t="s">
        <v>323</v>
      </c>
      <c r="B161" s="64"/>
      <c r="C161" s="64"/>
      <c r="D161" s="65">
        <f>+D160+D121+D46</f>
        <v>1894021.7600000007</v>
      </c>
      <c r="E161" s="65">
        <f>+E160+E121+E46</f>
        <v>2222673</v>
      </c>
      <c r="F161" s="65">
        <f>+F160+F121+F46</f>
        <v>611422</v>
      </c>
      <c r="G161" s="65">
        <f>+G160+G121+G46</f>
        <v>4728116.76</v>
      </c>
      <c r="H161" s="63"/>
      <c r="I161" s="63"/>
    </row>
    <row r="162" spans="1:9" ht="11.25">
      <c r="A162" s="63"/>
      <c r="B162" s="64"/>
      <c r="C162" s="64"/>
      <c r="D162" s="65"/>
      <c r="E162" s="65"/>
      <c r="F162" s="65"/>
      <c r="G162" s="65"/>
      <c r="H162" s="63"/>
      <c r="I162" s="63"/>
    </row>
    <row r="163" ht="12" thickBot="1"/>
    <row r="164" spans="8:12" ht="11.25">
      <c r="H164" s="94"/>
      <c r="I164" s="95"/>
      <c r="J164" s="95"/>
      <c r="K164" s="95"/>
      <c r="L164" s="96"/>
    </row>
    <row r="165" spans="8:12" ht="11.25">
      <c r="H165" s="97"/>
      <c r="I165" s="98" t="s">
        <v>326</v>
      </c>
      <c r="J165" s="99"/>
      <c r="K165" s="100" t="s">
        <v>187</v>
      </c>
      <c r="L165" s="101" t="s">
        <v>328</v>
      </c>
    </row>
    <row r="166" spans="8:12" ht="11.25">
      <c r="H166" s="97" t="s">
        <v>87</v>
      </c>
      <c r="I166" s="99"/>
      <c r="J166" s="99"/>
      <c r="K166" s="102">
        <f>L46</f>
        <v>58575.98109999999</v>
      </c>
      <c r="L166" s="103"/>
    </row>
    <row r="167" spans="8:12" ht="11.25">
      <c r="H167" s="97" t="s">
        <v>327</v>
      </c>
      <c r="I167" s="99"/>
      <c r="J167" s="99"/>
      <c r="K167" s="102"/>
      <c r="L167" s="103"/>
    </row>
    <row r="168" spans="8:12" ht="11.25">
      <c r="H168" s="97" t="s">
        <v>324</v>
      </c>
      <c r="I168" s="99"/>
      <c r="J168" s="99"/>
      <c r="K168" s="102">
        <f>L121</f>
        <v>44121.58210200002</v>
      </c>
      <c r="L168" s="103"/>
    </row>
    <row r="169" spans="8:12" ht="11.25">
      <c r="H169" s="104" t="s">
        <v>325</v>
      </c>
      <c r="I169" s="105" t="e">
        <f>#REF!</f>
        <v>#REF!</v>
      </c>
      <c r="J169" s="99"/>
      <c r="K169" s="102">
        <f>SUM(K166:K168)</f>
        <v>102697.56320200002</v>
      </c>
      <c r="L169" s="106" t="e">
        <f>I169-K169</f>
        <v>#REF!</v>
      </c>
    </row>
    <row r="170" spans="8:12" ht="11.25">
      <c r="H170" s="97"/>
      <c r="I170" s="99"/>
      <c r="J170" s="99"/>
      <c r="K170" s="99"/>
      <c r="L170" s="103"/>
    </row>
    <row r="171" spans="8:12" ht="11.25">
      <c r="H171" s="97" t="s">
        <v>177</v>
      </c>
      <c r="I171" s="105" t="e">
        <f>#REF!</f>
        <v>#REF!</v>
      </c>
      <c r="J171" s="105"/>
      <c r="K171" s="105">
        <f>L160</f>
        <v>203872.85609999998</v>
      </c>
      <c r="L171" s="106" t="e">
        <f>I171-K171</f>
        <v>#REF!</v>
      </c>
    </row>
    <row r="172" spans="8:12" ht="11.25">
      <c r="H172" s="97"/>
      <c r="I172" s="105"/>
      <c r="J172" s="105"/>
      <c r="K172" s="105"/>
      <c r="L172" s="106"/>
    </row>
    <row r="173" spans="8:12" ht="11.25">
      <c r="H173" s="97" t="s">
        <v>9</v>
      </c>
      <c r="I173" s="105">
        <f>'LG Recycl'!E6</f>
        <v>44114.96935814498</v>
      </c>
      <c r="J173" s="105"/>
      <c r="K173" s="105">
        <f>N41+N42+N119</f>
        <v>108187.45079999999</v>
      </c>
      <c r="L173" s="106">
        <f>I173-K173</f>
        <v>-64072.48144185501</v>
      </c>
    </row>
    <row r="174" spans="8:12" ht="11.25">
      <c r="H174" s="97"/>
      <c r="I174" s="105"/>
      <c r="J174" s="105"/>
      <c r="K174" s="105"/>
      <c r="L174" s="106"/>
    </row>
    <row r="175" spans="8:12" ht="11.25">
      <c r="H175" s="97" t="s">
        <v>10</v>
      </c>
      <c r="I175" s="105"/>
      <c r="J175" s="105"/>
      <c r="K175" s="105"/>
      <c r="L175" s="106">
        <f>I175-K175</f>
        <v>0</v>
      </c>
    </row>
    <row r="176" spans="8:12" ht="11.25">
      <c r="H176" s="97"/>
      <c r="I176" s="105"/>
      <c r="J176" s="105"/>
      <c r="K176" s="105"/>
      <c r="L176" s="106"/>
    </row>
    <row r="177" spans="8:12" ht="11.25">
      <c r="H177" s="97"/>
      <c r="I177" s="105" t="e">
        <f>SUM(I169:I175)</f>
        <v>#REF!</v>
      </c>
      <c r="J177" s="105"/>
      <c r="K177" s="105">
        <f>SUM(K169:K175)</f>
        <v>414757.87010199996</v>
      </c>
      <c r="L177" s="106" t="e">
        <f>SUM(L169:L175)</f>
        <v>#REF!</v>
      </c>
    </row>
    <row r="178" spans="8:12" ht="12" thickBot="1">
      <c r="H178" s="107"/>
      <c r="I178" s="108"/>
      <c r="J178" s="108"/>
      <c r="K178" s="108"/>
      <c r="L178" s="109"/>
    </row>
    <row r="179" spans="9:12" ht="11.25">
      <c r="I179" s="81"/>
      <c r="J179" s="81"/>
      <c r="K179" s="81"/>
      <c r="L179" s="81"/>
    </row>
    <row r="180" spans="9:12" ht="11.25">
      <c r="I180" s="81"/>
      <c r="J180" s="81"/>
      <c r="K180" s="81"/>
      <c r="L180" s="81"/>
    </row>
    <row r="181" spans="9:12" ht="11.25">
      <c r="I181" s="81"/>
      <c r="J181" s="81"/>
      <c r="K181" s="81"/>
      <c r="L181" s="81"/>
    </row>
    <row r="182" spans="9:12" ht="11.25">
      <c r="I182" s="81"/>
      <c r="J182" s="81"/>
      <c r="K182" s="81"/>
      <c r="L182" s="81"/>
    </row>
  </sheetData>
  <sheetProtection/>
  <printOptions/>
  <pageMargins left="0.7" right="0.7" top="0.75" bottom="0.75" header="0.3" footer="0.3"/>
  <pageSetup fitToHeight="3" fitToWidth="1" horizontalDpi="600" verticalDpi="600" orientation="landscape" pageOrder="overThenDown" scale="70" r:id="rId1"/>
  <headerFooter>
    <oddFooter>&amp;CPage &amp;P of &amp;N</oddFooter>
  </headerFooter>
  <rowBreaks count="3" manualBreakCount="3">
    <brk id="47" max="17" man="1"/>
    <brk id="89" max="17" man="1"/>
    <brk id="122"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Irmgard Wilcox</dc:creator>
  <cp:keywords/>
  <dc:description/>
  <cp:lastModifiedBy>Heather Garland</cp:lastModifiedBy>
  <cp:lastPrinted>2018-06-13T21:46:51Z</cp:lastPrinted>
  <dcterms:created xsi:type="dcterms:W3CDTF">2010-08-29T07:44:56Z</dcterms:created>
  <dcterms:modified xsi:type="dcterms:W3CDTF">2018-06-13T21:49:03Z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Workpapers</vt:lpwstr>
  </property>
  <property fmtid="{D5CDD505-2E9C-101B-9397-08002B2CF9AE}" pid="4" name="IsDocumentOrd">
    <vt:lpwstr>0</vt:lpwstr>
  </property>
  <property fmtid="{D5CDD505-2E9C-101B-9397-08002B2CF9AE}" pid="5" name="IsHighlyConfidenti">
    <vt:lpwstr>0</vt:lpwstr>
  </property>
  <property fmtid="{D5CDD505-2E9C-101B-9397-08002B2CF9AE}" pid="6" name="CaseCompanyNam">
    <vt:lpwstr>HAROLD LEMAY ENTERPRISES, INC.</vt:lpwstr>
  </property>
  <property fmtid="{D5CDD505-2E9C-101B-9397-08002B2CF9AE}" pid="7" name="IsConfidenti">
    <vt:lpwstr>0</vt:lpwstr>
  </property>
  <property fmtid="{D5CDD505-2E9C-101B-9397-08002B2CF9AE}" pid="8" name="IsEFS">
    <vt:lpwstr>0</vt:lpwstr>
  </property>
  <property fmtid="{D5CDD505-2E9C-101B-9397-08002B2CF9AE}" pid="9" name="DocketNumb">
    <vt:lpwstr>180547</vt:lpwstr>
  </property>
  <property fmtid="{D5CDD505-2E9C-101B-9397-08002B2CF9AE}" pid="10" name="Dat">
    <vt:lpwstr>2018-06-13T00:00:00Z</vt:lpwstr>
  </property>
  <property fmtid="{D5CDD505-2E9C-101B-9397-08002B2CF9AE}" pid="11" name="Nickna">
    <vt:lpwstr/>
  </property>
  <property fmtid="{D5CDD505-2E9C-101B-9397-08002B2CF9AE}" pid="12" name="CaseTy">
    <vt:lpwstr>Tariff Revision</vt:lpwstr>
  </property>
  <property fmtid="{D5CDD505-2E9C-101B-9397-08002B2CF9AE}" pid="13" name="OpenedDa">
    <vt:lpwstr>2018-06-13T00:00:00Z</vt:lpwstr>
  </property>
  <property fmtid="{D5CDD505-2E9C-101B-9397-08002B2CF9AE}" pid="14" name="Pref">
    <vt:lpwstr>TG</vt:lpwstr>
  </property>
  <property fmtid="{D5CDD505-2E9C-101B-9397-08002B2CF9AE}" pid="15" name="IndustryCo">
    <vt:lpwstr>227</vt:lpwstr>
  </property>
  <property fmtid="{D5CDD505-2E9C-101B-9397-08002B2CF9AE}" pid="16" name="CaseStat">
    <vt:lpwstr>Closed</vt:lpwstr>
  </property>
  <property fmtid="{D5CDD505-2E9C-101B-9397-08002B2CF9AE}" pid="17" name="_docset_NoMedatataSyncRequir">
    <vt:lpwstr>False</vt:lpwstr>
  </property>
</Properties>
</file>