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Spokane\Commodity Credit\2018\"/>
    </mc:Choice>
  </mc:AlternateContent>
  <bookViews>
    <workbookView xWindow="6900" yWindow="-15" windowWidth="6930" windowHeight="7110" activeTab="5"/>
  </bookViews>
  <sheets>
    <sheet name="Rebate Calculation" sheetId="35" r:id="rId1"/>
    <sheet name="Tons &amp; Revenue" sheetId="33" r:id="rId2"/>
    <sheet name="Composition" sheetId="36" r:id="rId3"/>
    <sheet name="Prices" sheetId="37" r:id="rId4"/>
    <sheet name="Res'l &amp; MF Customers" sheetId="40" r:id="rId5"/>
    <sheet name="Budget" sheetId="41" r:id="rId6"/>
  </sheets>
  <externalReferences>
    <externalReference r:id="rId7"/>
  </externalReferences>
  <definedNames>
    <definedName name="_xlnm.Print_Area" localSheetId="5">Budget!$A$1:$D$45</definedName>
    <definedName name="_xlnm.Print_Area" localSheetId="2">Composition!$A$1:$AA$20</definedName>
    <definedName name="_xlnm.Print_Area" localSheetId="3">Prices!$A$1:$K$18</definedName>
    <definedName name="_xlnm.Print_Area" localSheetId="0">'Rebate Calculation'!$A$1:$G$61</definedName>
    <definedName name="_xlnm.Print_Area" localSheetId="4">'Res''l &amp; MF Customers'!$A$1:$P$26</definedName>
    <definedName name="_xlnm.Print_Area" localSheetId="1">'Tons &amp; Revenue'!$A$1:$M$141</definedName>
    <definedName name="_xlnm.Print_Titles" localSheetId="1">'Tons &amp; Revenue'!$1:$3</definedName>
  </definedNames>
  <calcPr calcId="171027"/>
</workbook>
</file>

<file path=xl/calcChain.xml><?xml version="1.0" encoding="utf-8"?>
<calcChain xmlns="http://schemas.openxmlformats.org/spreadsheetml/2006/main">
  <c r="I15" i="33" l="1"/>
  <c r="I14" i="33"/>
  <c r="I13" i="33"/>
  <c r="I12" i="33"/>
  <c r="I11" i="33"/>
  <c r="I10" i="33"/>
  <c r="I9" i="33"/>
  <c r="X18" i="36" l="1"/>
  <c r="D20" i="33" s="1"/>
  <c r="N12" i="40" l="1"/>
  <c r="I20" i="33" l="1"/>
  <c r="M12" i="40" l="1"/>
  <c r="I19" i="33" l="1"/>
  <c r="D19" i="33" l="1"/>
  <c r="C49" i="33" l="1"/>
  <c r="D49" i="33"/>
  <c r="E49" i="33"/>
  <c r="F49" i="33"/>
  <c r="G49" i="33"/>
  <c r="H49" i="33"/>
  <c r="I49" i="33"/>
  <c r="J49" i="33"/>
  <c r="K49" i="33"/>
  <c r="L49" i="33"/>
  <c r="C50" i="33"/>
  <c r="D50" i="33"/>
  <c r="E50" i="33"/>
  <c r="F50" i="33"/>
  <c r="G50" i="33"/>
  <c r="H50" i="33"/>
  <c r="I50" i="33"/>
  <c r="J50" i="33"/>
  <c r="K50" i="33"/>
  <c r="L50" i="33"/>
  <c r="C51" i="33"/>
  <c r="D51" i="33"/>
  <c r="E51" i="33"/>
  <c r="F51" i="33"/>
  <c r="G51" i="33"/>
  <c r="H51" i="33"/>
  <c r="I51" i="33"/>
  <c r="J51" i="33"/>
  <c r="K51" i="33"/>
  <c r="L51" i="33"/>
  <c r="D18" i="33"/>
  <c r="L12" i="40"/>
  <c r="I18" i="33" l="1"/>
  <c r="N10" i="40"/>
  <c r="M10" i="40"/>
  <c r="L10" i="40"/>
  <c r="K10" i="40"/>
  <c r="J10" i="40"/>
  <c r="I10" i="40"/>
  <c r="H10" i="40"/>
  <c r="G10" i="40"/>
  <c r="F10" i="40"/>
  <c r="E10" i="40"/>
  <c r="D10" i="40"/>
  <c r="C10" i="40"/>
  <c r="K12" i="40"/>
  <c r="J12" i="40"/>
  <c r="I17" i="33" l="1"/>
  <c r="I16" i="33"/>
  <c r="I21" i="33" s="1"/>
  <c r="D17" i="33"/>
  <c r="D16" i="33"/>
  <c r="B44" i="41" l="1"/>
  <c r="D43" i="41"/>
  <c r="D42" i="41"/>
  <c r="D41" i="41"/>
  <c r="D40" i="41"/>
  <c r="D26" i="41"/>
  <c r="D6" i="41"/>
  <c r="D44" i="41" l="1"/>
  <c r="C10" i="35"/>
  <c r="C9" i="35"/>
  <c r="D143" i="33"/>
  <c r="E143" i="33"/>
  <c r="F143" i="33"/>
  <c r="G143" i="33"/>
  <c r="H143" i="33"/>
  <c r="I143" i="33"/>
  <c r="J143" i="33"/>
  <c r="K143" i="33"/>
  <c r="L143" i="33"/>
  <c r="M143" i="33"/>
  <c r="C143" i="33"/>
  <c r="D19" i="41" l="1"/>
  <c r="D28" i="41" s="1"/>
  <c r="D30" i="41" s="1"/>
  <c r="D32" i="41" s="1"/>
  <c r="E13" i="36"/>
  <c r="E9" i="36"/>
  <c r="C7" i="36"/>
  <c r="C11" i="36"/>
  <c r="C15" i="36"/>
  <c r="Z18" i="36"/>
  <c r="X16" i="36"/>
  <c r="V16" i="36"/>
  <c r="T16" i="36"/>
  <c r="R16" i="36"/>
  <c r="P16" i="36"/>
  <c r="N16" i="36"/>
  <c r="O14" i="36" s="1"/>
  <c r="L16" i="36"/>
  <c r="M13" i="36" s="1"/>
  <c r="J16" i="36"/>
  <c r="K9" i="36" s="1"/>
  <c r="H16" i="36"/>
  <c r="I15" i="36" s="1"/>
  <c r="F16" i="36"/>
  <c r="D16" i="36"/>
  <c r="D20" i="36" s="1"/>
  <c r="E18" i="36" s="1"/>
  <c r="B16" i="36"/>
  <c r="B20" i="36" s="1"/>
  <c r="C18" i="36" s="1"/>
  <c r="Z15" i="36"/>
  <c r="Z14" i="36"/>
  <c r="AC14" i="36" s="1"/>
  <c r="Z13" i="36"/>
  <c r="AC13" i="36" s="1"/>
  <c r="Z12" i="36"/>
  <c r="AC12" i="36" s="1"/>
  <c r="Z11" i="36"/>
  <c r="Z10" i="36"/>
  <c r="AC10" i="36" s="1"/>
  <c r="Z9" i="36"/>
  <c r="AC9" i="36" s="1"/>
  <c r="Z8" i="36"/>
  <c r="AC8" i="36" s="1"/>
  <c r="Z7" i="36"/>
  <c r="Z6" i="36"/>
  <c r="C11" i="35"/>
  <c r="F17" i="35" s="1"/>
  <c r="W11" i="36" l="1"/>
  <c r="G38" i="33" s="1"/>
  <c r="C19" i="33"/>
  <c r="E19" i="33" s="1"/>
  <c r="Y7" i="36"/>
  <c r="D39" i="33" s="1"/>
  <c r="C20" i="33"/>
  <c r="C14" i="36"/>
  <c r="C10" i="36"/>
  <c r="E6" i="36"/>
  <c r="E10" i="36"/>
  <c r="E14" i="36"/>
  <c r="C13" i="36"/>
  <c r="C9" i="36"/>
  <c r="E7" i="36"/>
  <c r="E11" i="36"/>
  <c r="E15" i="36"/>
  <c r="C6" i="36"/>
  <c r="C12" i="36"/>
  <c r="C8" i="36"/>
  <c r="E8" i="36"/>
  <c r="E12" i="36"/>
  <c r="D16" i="41"/>
  <c r="Y15" i="36"/>
  <c r="L39" i="33" s="1"/>
  <c r="Y9" i="36"/>
  <c r="F39" i="33" s="1"/>
  <c r="Y11" i="36"/>
  <c r="G39" i="33" s="1"/>
  <c r="Y13" i="36"/>
  <c r="J39" i="33" s="1"/>
  <c r="X20" i="36"/>
  <c r="Y18" i="36" s="1"/>
  <c r="Y8" i="36"/>
  <c r="E39" i="33" s="1"/>
  <c r="Y12" i="36"/>
  <c r="I39" i="33" s="1"/>
  <c r="Y6" i="36"/>
  <c r="C39" i="33" s="1"/>
  <c r="Y10" i="36"/>
  <c r="H39" i="33" s="1"/>
  <c r="Y14" i="36"/>
  <c r="K39" i="33" s="1"/>
  <c r="W13" i="36"/>
  <c r="J38" i="33" s="1"/>
  <c r="W6" i="36"/>
  <c r="C38" i="33" s="1"/>
  <c r="W10" i="36"/>
  <c r="H38" i="33" s="1"/>
  <c r="W14" i="36"/>
  <c r="K38" i="33" s="1"/>
  <c r="V20" i="36"/>
  <c r="W18" i="36" s="1"/>
  <c r="W7" i="36"/>
  <c r="D38" i="33" s="1"/>
  <c r="W15" i="36"/>
  <c r="L38" i="33" s="1"/>
  <c r="W8" i="36"/>
  <c r="E38" i="33" s="1"/>
  <c r="W12" i="36"/>
  <c r="I38" i="33" s="1"/>
  <c r="W9" i="36"/>
  <c r="F38" i="33" s="1"/>
  <c r="T20" i="36"/>
  <c r="C18" i="33"/>
  <c r="R20" i="36"/>
  <c r="C17" i="33"/>
  <c r="P20" i="36"/>
  <c r="C16" i="33"/>
  <c r="O8" i="36"/>
  <c r="O12" i="36"/>
  <c r="O9" i="36"/>
  <c r="O13" i="36"/>
  <c r="O6" i="36"/>
  <c r="O10" i="36"/>
  <c r="N20" i="36"/>
  <c r="O7" i="36"/>
  <c r="O11" i="36"/>
  <c r="O15" i="36"/>
  <c r="M9" i="36"/>
  <c r="L20" i="36"/>
  <c r="M6" i="36"/>
  <c r="M10" i="36"/>
  <c r="M14" i="36"/>
  <c r="M7" i="36"/>
  <c r="M11" i="36"/>
  <c r="M15" i="36"/>
  <c r="M8" i="36"/>
  <c r="M12" i="36"/>
  <c r="K7" i="36"/>
  <c r="K11" i="36"/>
  <c r="K15" i="36"/>
  <c r="K8" i="36"/>
  <c r="K12" i="36"/>
  <c r="J20" i="36"/>
  <c r="K13" i="36"/>
  <c r="K6" i="36"/>
  <c r="K10" i="36"/>
  <c r="K14" i="36"/>
  <c r="I6" i="36"/>
  <c r="I10" i="36"/>
  <c r="I14" i="36"/>
  <c r="I7" i="36"/>
  <c r="I11" i="36"/>
  <c r="H20" i="36"/>
  <c r="I8" i="36"/>
  <c r="I12" i="36"/>
  <c r="I9" i="36"/>
  <c r="I13" i="36"/>
  <c r="F20" i="36"/>
  <c r="G11" i="36"/>
  <c r="G15" i="36"/>
  <c r="G8" i="36"/>
  <c r="G12" i="36"/>
  <c r="G9" i="36"/>
  <c r="G13" i="36"/>
  <c r="G6" i="36"/>
  <c r="G10" i="36"/>
  <c r="G14" i="36"/>
  <c r="G7" i="36"/>
  <c r="U8" i="36"/>
  <c r="E37" i="33" s="1"/>
  <c r="U12" i="36"/>
  <c r="I37" i="33" s="1"/>
  <c r="U9" i="36"/>
  <c r="F37" i="33" s="1"/>
  <c r="U13" i="36"/>
  <c r="J37" i="33" s="1"/>
  <c r="U6" i="36"/>
  <c r="C37" i="33" s="1"/>
  <c r="U10" i="36"/>
  <c r="H37" i="33" s="1"/>
  <c r="U14" i="36"/>
  <c r="K37" i="33" s="1"/>
  <c r="U7" i="36"/>
  <c r="D37" i="33" s="1"/>
  <c r="U11" i="36"/>
  <c r="G37" i="33" s="1"/>
  <c r="U15" i="36"/>
  <c r="L37" i="33" s="1"/>
  <c r="S6" i="36"/>
  <c r="C36" i="33" s="1"/>
  <c r="S10" i="36"/>
  <c r="H36" i="33" s="1"/>
  <c r="S14" i="36"/>
  <c r="K36" i="33" s="1"/>
  <c r="S7" i="36"/>
  <c r="D36" i="33" s="1"/>
  <c r="S11" i="36"/>
  <c r="G36" i="33" s="1"/>
  <c r="S15" i="36"/>
  <c r="L36" i="33" s="1"/>
  <c r="S8" i="36"/>
  <c r="E36" i="33" s="1"/>
  <c r="S12" i="36"/>
  <c r="I36" i="33" s="1"/>
  <c r="S9" i="36"/>
  <c r="F36" i="33" s="1"/>
  <c r="S13" i="36"/>
  <c r="J36" i="33" s="1"/>
  <c r="Z16" i="36"/>
  <c r="Q6" i="36"/>
  <c r="C35" i="33" s="1"/>
  <c r="Q10" i="36"/>
  <c r="H35" i="33" s="1"/>
  <c r="Q14" i="36"/>
  <c r="K35" i="33" s="1"/>
  <c r="Q7" i="36"/>
  <c r="D35" i="33" s="1"/>
  <c r="Q11" i="36"/>
  <c r="G35" i="33" s="1"/>
  <c r="Q15" i="36"/>
  <c r="L35" i="33" s="1"/>
  <c r="Q8" i="36"/>
  <c r="E35" i="33" s="1"/>
  <c r="Q12" i="36"/>
  <c r="I35" i="33" s="1"/>
  <c r="Q9" i="36"/>
  <c r="F35" i="33" s="1"/>
  <c r="Q13" i="36"/>
  <c r="J35" i="33" s="1"/>
  <c r="AC15" i="36"/>
  <c r="AC7" i="36"/>
  <c r="AC11" i="36"/>
  <c r="AC6" i="36"/>
  <c r="AC18" i="36"/>
  <c r="F24" i="35"/>
  <c r="C20" i="37"/>
  <c r="D20" i="37"/>
  <c r="E20" i="37"/>
  <c r="F20" i="37"/>
  <c r="G20" i="37"/>
  <c r="H20" i="37"/>
  <c r="I20" i="37"/>
  <c r="J20" i="37"/>
  <c r="K20" i="37"/>
  <c r="B20" i="37"/>
  <c r="C16" i="36" l="1"/>
  <c r="E16" i="36"/>
  <c r="Y16" i="36"/>
  <c r="W16" i="36"/>
  <c r="E18" i="33"/>
  <c r="U18" i="36"/>
  <c r="S18" i="36"/>
  <c r="Q18" i="36"/>
  <c r="O18" i="36"/>
  <c r="O16" i="36"/>
  <c r="M18" i="36"/>
  <c r="M16" i="36"/>
  <c r="K16" i="36"/>
  <c r="K18" i="36"/>
  <c r="I16" i="36"/>
  <c r="I18" i="36"/>
  <c r="G16" i="36"/>
  <c r="AA15" i="36"/>
  <c r="G18" i="36"/>
  <c r="U16" i="36"/>
  <c r="Z20" i="36"/>
  <c r="AA18" i="36" s="1"/>
  <c r="AA8" i="36"/>
  <c r="AA13" i="36"/>
  <c r="AA10" i="36"/>
  <c r="AA7" i="36"/>
  <c r="S16" i="36"/>
  <c r="AA11" i="36"/>
  <c r="AA14" i="36"/>
  <c r="AA6" i="36"/>
  <c r="AA9" i="36"/>
  <c r="AA12" i="36"/>
  <c r="Q16" i="36"/>
  <c r="AC16" i="36"/>
  <c r="AA16" i="36" l="1"/>
  <c r="C105" i="35" l="1"/>
  <c r="C77" i="35"/>
  <c r="D15" i="33" l="1"/>
  <c r="D14" i="33"/>
  <c r="D13" i="33"/>
  <c r="D12" i="33"/>
  <c r="D11" i="33"/>
  <c r="D10" i="33"/>
  <c r="D42" i="33" l="1"/>
  <c r="E42" i="33"/>
  <c r="F42" i="33"/>
  <c r="G42" i="33"/>
  <c r="H42" i="33"/>
  <c r="I42" i="33"/>
  <c r="J42" i="33"/>
  <c r="K42" i="33"/>
  <c r="L42" i="33"/>
  <c r="D43" i="33"/>
  <c r="E43" i="33"/>
  <c r="F43" i="33"/>
  <c r="G43" i="33"/>
  <c r="H43" i="33"/>
  <c r="I43" i="33"/>
  <c r="J43" i="33"/>
  <c r="K43" i="33"/>
  <c r="L43" i="33"/>
  <c r="D44" i="33"/>
  <c r="E44" i="33"/>
  <c r="F44" i="33"/>
  <c r="G44" i="33"/>
  <c r="H44" i="33"/>
  <c r="I44" i="33"/>
  <c r="J44" i="33"/>
  <c r="K44" i="33"/>
  <c r="L44" i="33"/>
  <c r="D45" i="33"/>
  <c r="E45" i="33"/>
  <c r="F45" i="33"/>
  <c r="G45" i="33"/>
  <c r="H45" i="33"/>
  <c r="I45" i="33"/>
  <c r="J45" i="33"/>
  <c r="K45" i="33"/>
  <c r="L45" i="33"/>
  <c r="D46" i="33"/>
  <c r="E46" i="33"/>
  <c r="F46" i="33"/>
  <c r="G46" i="33"/>
  <c r="H46" i="33"/>
  <c r="I46" i="33"/>
  <c r="J46" i="33"/>
  <c r="K46" i="33"/>
  <c r="L46" i="33"/>
  <c r="D47" i="33"/>
  <c r="E47" i="33"/>
  <c r="F47" i="33"/>
  <c r="G47" i="33"/>
  <c r="H47" i="33"/>
  <c r="I47" i="33"/>
  <c r="J47" i="33"/>
  <c r="K47" i="33"/>
  <c r="L47" i="33"/>
  <c r="D48" i="33"/>
  <c r="E48" i="33"/>
  <c r="F48" i="33"/>
  <c r="G48" i="33"/>
  <c r="H48" i="33"/>
  <c r="I48" i="33"/>
  <c r="J48" i="33"/>
  <c r="K48" i="33"/>
  <c r="L48" i="33"/>
  <c r="D52" i="33"/>
  <c r="E52" i="33"/>
  <c r="F52" i="33"/>
  <c r="G52" i="33"/>
  <c r="H52" i="33"/>
  <c r="I52" i="33"/>
  <c r="J52" i="33"/>
  <c r="K52" i="33"/>
  <c r="L52" i="33"/>
  <c r="D53" i="33"/>
  <c r="E53" i="33"/>
  <c r="F53" i="33"/>
  <c r="G53" i="33"/>
  <c r="H53" i="33"/>
  <c r="I53" i="33"/>
  <c r="J53" i="33"/>
  <c r="K53" i="33"/>
  <c r="L53" i="33"/>
  <c r="C43" i="33"/>
  <c r="C44" i="33"/>
  <c r="C45" i="33"/>
  <c r="C46" i="33"/>
  <c r="C47" i="33"/>
  <c r="C48" i="33"/>
  <c r="C52" i="33"/>
  <c r="C53" i="33"/>
  <c r="C42" i="33"/>
  <c r="D9" i="33"/>
  <c r="F77" i="35"/>
  <c r="N25" i="40"/>
  <c r="M25" i="40"/>
  <c r="L25" i="40"/>
  <c r="K25" i="40"/>
  <c r="J25" i="40"/>
  <c r="I25" i="40"/>
  <c r="H25" i="40"/>
  <c r="G25" i="40"/>
  <c r="F25" i="40"/>
  <c r="E25" i="40"/>
  <c r="D25" i="40"/>
  <c r="C25" i="40"/>
  <c r="P21" i="40"/>
  <c r="N14" i="40"/>
  <c r="N16" i="40" s="1"/>
  <c r="N18" i="40" s="1"/>
  <c r="F20" i="33" s="1"/>
  <c r="M14" i="40"/>
  <c r="M16" i="40" s="1"/>
  <c r="M18" i="40" s="1"/>
  <c r="F19" i="33" s="1"/>
  <c r="L14" i="40"/>
  <c r="L16" i="40" s="1"/>
  <c r="L18" i="40" s="1"/>
  <c r="F18" i="33" s="1"/>
  <c r="G18" i="33" s="1"/>
  <c r="H18" i="33" s="1"/>
  <c r="K14" i="40"/>
  <c r="K16" i="40" s="1"/>
  <c r="K18" i="40" s="1"/>
  <c r="F17" i="33" s="1"/>
  <c r="J14" i="40"/>
  <c r="J16" i="40" s="1"/>
  <c r="J18" i="40" s="1"/>
  <c r="F16" i="33" s="1"/>
  <c r="I14" i="40"/>
  <c r="I16" i="40" s="1"/>
  <c r="I18" i="40" s="1"/>
  <c r="F15" i="33" s="1"/>
  <c r="H14" i="40"/>
  <c r="H16" i="40" s="1"/>
  <c r="H18" i="40" s="1"/>
  <c r="F14" i="33" s="1"/>
  <c r="G14" i="40"/>
  <c r="G16" i="40" s="1"/>
  <c r="G18" i="40" s="1"/>
  <c r="F13" i="33" s="1"/>
  <c r="F14" i="40"/>
  <c r="F16" i="40" s="1"/>
  <c r="F18" i="40" s="1"/>
  <c r="F12" i="33" s="1"/>
  <c r="E14" i="40"/>
  <c r="E16" i="40" s="1"/>
  <c r="E18" i="40" s="1"/>
  <c r="F11" i="33" s="1"/>
  <c r="D14" i="40"/>
  <c r="D16" i="40" s="1"/>
  <c r="D18" i="40" s="1"/>
  <c r="F10" i="33" s="1"/>
  <c r="C14" i="40"/>
  <c r="C16" i="40" s="1"/>
  <c r="C18" i="40" s="1"/>
  <c r="F9" i="33" s="1"/>
  <c r="C39" i="35" l="1"/>
  <c r="C38" i="35"/>
  <c r="C40" i="35" s="1"/>
  <c r="J18" i="33"/>
  <c r="F105" i="35"/>
  <c r="P25" i="40"/>
  <c r="F53" i="35" l="1"/>
  <c r="F46" i="35"/>
  <c r="G32" i="33"/>
  <c r="D32" i="33"/>
  <c r="K32" i="33"/>
  <c r="H32" i="33"/>
  <c r="E32" i="33"/>
  <c r="J32" i="33"/>
  <c r="J33" i="33"/>
  <c r="F33" i="33"/>
  <c r="C33" i="33"/>
  <c r="I33" i="33"/>
  <c r="E33" i="33"/>
  <c r="K33" i="33"/>
  <c r="L33" i="33"/>
  <c r="G33" i="33"/>
  <c r="D33" i="33"/>
  <c r="H33" i="33"/>
  <c r="C9" i="33"/>
  <c r="L28" i="33"/>
  <c r="G28" i="33"/>
  <c r="D28" i="33"/>
  <c r="H28" i="33"/>
  <c r="I28" i="33"/>
  <c r="F28" i="33"/>
  <c r="E28" i="33"/>
  <c r="L34" i="33"/>
  <c r="G34" i="33"/>
  <c r="D34" i="33"/>
  <c r="E34" i="33"/>
  <c r="C34" i="33"/>
  <c r="J34" i="33"/>
  <c r="I34" i="33"/>
  <c r="L30" i="33"/>
  <c r="G30" i="33"/>
  <c r="D30" i="33"/>
  <c r="K30" i="33"/>
  <c r="H30" i="33"/>
  <c r="J30" i="33"/>
  <c r="F30" i="33"/>
  <c r="I30" i="33"/>
  <c r="J29" i="33"/>
  <c r="F29" i="33"/>
  <c r="I29" i="33"/>
  <c r="E29" i="33"/>
  <c r="K29" i="33"/>
  <c r="L29" i="33"/>
  <c r="G29" i="33"/>
  <c r="H29" i="33"/>
  <c r="J31" i="33"/>
  <c r="H31" i="33"/>
  <c r="I31" i="33"/>
  <c r="L31" i="33"/>
  <c r="G31" i="33"/>
  <c r="D31" i="33"/>
  <c r="K31" i="33"/>
  <c r="K34" i="33"/>
  <c r="H34" i="33"/>
  <c r="K28" i="33"/>
  <c r="I32" i="33"/>
  <c r="J28" i="33"/>
  <c r="E31" i="33"/>
  <c r="F32" i="33"/>
  <c r="F34" i="33"/>
  <c r="C31" i="33"/>
  <c r="L32" i="33"/>
  <c r="D29" i="33"/>
  <c r="E30" i="33"/>
  <c r="F31" i="33"/>
  <c r="C28" i="33" l="1"/>
  <c r="C29" i="33"/>
  <c r="C30" i="33"/>
  <c r="C32" i="33"/>
  <c r="C100" i="35"/>
  <c r="C72" i="35"/>
  <c r="F80" i="35" l="1"/>
  <c r="F87" i="35"/>
  <c r="F108" i="35"/>
  <c r="F115" i="35"/>
  <c r="C156" i="35" l="1"/>
  <c r="F162" i="35" s="1"/>
  <c r="C130" i="35"/>
  <c r="F136" i="35" l="1"/>
  <c r="F143" i="35"/>
  <c r="F169" i="35"/>
  <c r="C210" i="35" l="1"/>
  <c r="F216" i="35" l="1"/>
  <c r="F223" i="35"/>
  <c r="C184" i="35"/>
  <c r="F197" i="35" s="1"/>
  <c r="F190" i="35" l="1"/>
  <c r="C15" i="33" l="1"/>
  <c r="C14" i="33" l="1"/>
  <c r="C13" i="33" l="1"/>
  <c r="C12" i="33" l="1"/>
  <c r="C11" i="33" l="1"/>
  <c r="C10" i="33" l="1"/>
  <c r="F330" i="35" l="1"/>
  <c r="G332" i="35" s="1"/>
  <c r="C318" i="35"/>
  <c r="F324" i="35" s="1"/>
  <c r="G326" i="35" s="1"/>
  <c r="F317" i="35"/>
  <c r="F316" i="35"/>
  <c r="E262" i="35"/>
  <c r="F304" i="35"/>
  <c r="G306" i="35" s="1"/>
  <c r="E237" i="35" s="1"/>
  <c r="E182" i="35" s="1"/>
  <c r="F182" i="35" s="1"/>
  <c r="C292" i="35"/>
  <c r="F291" i="35"/>
  <c r="F290" i="35"/>
  <c r="E236" i="35"/>
  <c r="F318" i="35" l="1"/>
  <c r="F292" i="35"/>
  <c r="F296" i="35" s="1"/>
  <c r="G334" i="35"/>
  <c r="E263" i="35"/>
  <c r="E208" i="35" s="1"/>
  <c r="F208" i="35" s="1"/>
  <c r="F298" i="35"/>
  <c r="G300" i="35" l="1"/>
  <c r="G309" i="35" s="1"/>
  <c r="D21" i="33"/>
  <c r="F263" i="35" l="1"/>
  <c r="F236" i="35"/>
  <c r="C238" i="35"/>
  <c r="F251" i="35" s="1"/>
  <c r="F237" i="35"/>
  <c r="F238" i="35" l="1"/>
  <c r="C264" i="35"/>
  <c r="F262" i="35"/>
  <c r="F264" i="35" s="1"/>
  <c r="F244" i="35"/>
  <c r="F270" i="35" l="1"/>
  <c r="F277" i="35"/>
  <c r="E10" i="33"/>
  <c r="G10" i="33" l="1"/>
  <c r="H10" i="33" s="1"/>
  <c r="J10" i="33" l="1"/>
  <c r="D61" i="33"/>
  <c r="D77" i="33" s="1"/>
  <c r="D112" i="33" s="1"/>
  <c r="L61" i="33"/>
  <c r="L77" i="33" s="1"/>
  <c r="L112" i="33" s="1"/>
  <c r="J61" i="33"/>
  <c r="J77" i="33" s="1"/>
  <c r="J112" i="33" s="1"/>
  <c r="F61" i="33"/>
  <c r="F77" i="33" s="1"/>
  <c r="F112" i="33" s="1"/>
  <c r="I61" i="33"/>
  <c r="I77" i="33" s="1"/>
  <c r="I112" i="33" s="1"/>
  <c r="K61" i="33"/>
  <c r="K77" i="33" s="1"/>
  <c r="K112" i="33" s="1"/>
  <c r="E61" i="33"/>
  <c r="E77" i="33" s="1"/>
  <c r="E112" i="33" s="1"/>
  <c r="G61" i="33"/>
  <c r="G77" i="33" s="1"/>
  <c r="G112" i="33" s="1"/>
  <c r="H61" i="33"/>
  <c r="H77" i="33" s="1"/>
  <c r="H112" i="33" s="1"/>
  <c r="C61" i="33"/>
  <c r="G93" i="33" l="1"/>
  <c r="G128" i="33" s="1"/>
  <c r="H93" i="33"/>
  <c r="H128" i="33" s="1"/>
  <c r="J93" i="33"/>
  <c r="J128" i="33" s="1"/>
  <c r="I93" i="33"/>
  <c r="I128" i="33" s="1"/>
  <c r="K93" i="33"/>
  <c r="K128" i="33" s="1"/>
  <c r="D93" i="33"/>
  <c r="D128" i="33" s="1"/>
  <c r="M61" i="33"/>
  <c r="C77" i="33"/>
  <c r="C93" i="33" s="1"/>
  <c r="E93" i="33"/>
  <c r="E128" i="33" s="1"/>
  <c r="F93" i="33"/>
  <c r="F128" i="33" s="1"/>
  <c r="L93" i="33"/>
  <c r="L128" i="33" s="1"/>
  <c r="C128" i="33" l="1"/>
  <c r="M128" i="33" s="1"/>
  <c r="M93" i="33"/>
  <c r="C112" i="33"/>
  <c r="M112" i="33" s="1"/>
  <c r="M77" i="33"/>
  <c r="E11" i="33"/>
  <c r="G11" i="33" l="1"/>
  <c r="H11" i="33" s="1"/>
  <c r="J11" i="33" l="1"/>
  <c r="F62" i="33"/>
  <c r="L62" i="33"/>
  <c r="D62" i="33"/>
  <c r="D78" i="33" s="1"/>
  <c r="D113" i="33" s="1"/>
  <c r="J62" i="33"/>
  <c r="J78" i="33" s="1"/>
  <c r="J113" i="33" s="1"/>
  <c r="K62" i="33"/>
  <c r="K78" i="33" s="1"/>
  <c r="K113" i="33" s="1"/>
  <c r="I62" i="33"/>
  <c r="I78" i="33" s="1"/>
  <c r="I113" i="33" s="1"/>
  <c r="G62" i="33"/>
  <c r="G78" i="33" s="1"/>
  <c r="G113" i="33" s="1"/>
  <c r="E62" i="33"/>
  <c r="E78" i="33" s="1"/>
  <c r="E113" i="33" s="1"/>
  <c r="H62" i="33"/>
  <c r="L78" i="33"/>
  <c r="L113" i="33" s="1"/>
  <c r="F78" i="33"/>
  <c r="F113" i="33" s="1"/>
  <c r="C62" i="33"/>
  <c r="H78" i="33"/>
  <c r="H113" i="33" s="1"/>
  <c r="I94" i="33" l="1"/>
  <c r="I129" i="33" s="1"/>
  <c r="H94" i="33"/>
  <c r="H129" i="33" s="1"/>
  <c r="F94" i="33"/>
  <c r="F129" i="33" s="1"/>
  <c r="G94" i="33"/>
  <c r="G129" i="33" s="1"/>
  <c r="E94" i="33"/>
  <c r="E129" i="33" s="1"/>
  <c r="L94" i="33"/>
  <c r="L129" i="33" s="1"/>
  <c r="D94" i="33"/>
  <c r="D129" i="33" s="1"/>
  <c r="C78" i="33"/>
  <c r="C94" i="33" s="1"/>
  <c r="M62" i="33"/>
  <c r="J94" i="33"/>
  <c r="J129" i="33" s="1"/>
  <c r="K94" i="33"/>
  <c r="K129" i="33" s="1"/>
  <c r="M94" i="33" l="1"/>
  <c r="C129" i="33"/>
  <c r="M129" i="33" s="1"/>
  <c r="M78" i="33"/>
  <c r="C113" i="33"/>
  <c r="M113" i="33" s="1"/>
  <c r="E12" i="33"/>
  <c r="G12" i="33" l="1"/>
  <c r="H12" i="33" s="1"/>
  <c r="J12" i="33" l="1"/>
  <c r="L63" i="33"/>
  <c r="C63" i="33"/>
  <c r="C79" i="33" s="1"/>
  <c r="C95" i="33" s="1"/>
  <c r="K63" i="33"/>
  <c r="K79" i="33" s="1"/>
  <c r="K114" i="33" s="1"/>
  <c r="D63" i="33"/>
  <c r="D79" i="33" s="1"/>
  <c r="D114" i="33" s="1"/>
  <c r="H63" i="33"/>
  <c r="H79" i="33" s="1"/>
  <c r="H114" i="33" s="1"/>
  <c r="J63" i="33"/>
  <c r="J79" i="33" s="1"/>
  <c r="J114" i="33" s="1"/>
  <c r="E63" i="33"/>
  <c r="E79" i="33" s="1"/>
  <c r="E114" i="33" s="1"/>
  <c r="F63" i="33"/>
  <c r="F79" i="33" s="1"/>
  <c r="F114" i="33" s="1"/>
  <c r="I63" i="33"/>
  <c r="I79" i="33" s="1"/>
  <c r="I114" i="33" s="1"/>
  <c r="G63" i="33"/>
  <c r="G79" i="33" s="1"/>
  <c r="G114" i="33" s="1"/>
  <c r="L79" i="33"/>
  <c r="L114" i="33" s="1"/>
  <c r="M63" i="33" l="1"/>
  <c r="H95" i="33"/>
  <c r="H130" i="33" s="1"/>
  <c r="F95" i="33"/>
  <c r="F130" i="33" s="1"/>
  <c r="I95" i="33"/>
  <c r="I130" i="33" s="1"/>
  <c r="J95" i="33"/>
  <c r="J130" i="33" s="1"/>
  <c r="C130" i="33"/>
  <c r="E95" i="33"/>
  <c r="E130" i="33" s="1"/>
  <c r="D95" i="33"/>
  <c r="D130" i="33" s="1"/>
  <c r="M79" i="33"/>
  <c r="C114" i="33"/>
  <c r="M114" i="33" s="1"/>
  <c r="G95" i="33"/>
  <c r="G130" i="33" s="1"/>
  <c r="L95" i="33"/>
  <c r="L130" i="33" s="1"/>
  <c r="K95" i="33"/>
  <c r="K130" i="33" s="1"/>
  <c r="M130" i="33" l="1"/>
  <c r="M95" i="33"/>
  <c r="E13" i="33"/>
  <c r="G13" i="33" l="1"/>
  <c r="H13" i="33" s="1"/>
  <c r="J13" i="33" l="1"/>
  <c r="I64" i="33"/>
  <c r="I80" i="33" s="1"/>
  <c r="I115" i="33" s="1"/>
  <c r="C64" i="33"/>
  <c r="C80" i="33" s="1"/>
  <c r="H64" i="33"/>
  <c r="H80" i="33" s="1"/>
  <c r="H115" i="33" s="1"/>
  <c r="F64" i="33"/>
  <c r="F80" i="33" s="1"/>
  <c r="F115" i="33" s="1"/>
  <c r="G64" i="33"/>
  <c r="G80" i="33" s="1"/>
  <c r="G115" i="33" s="1"/>
  <c r="J64" i="33"/>
  <c r="J80" i="33" s="1"/>
  <c r="J115" i="33" s="1"/>
  <c r="D64" i="33"/>
  <c r="D80" i="33" s="1"/>
  <c r="D115" i="33" s="1"/>
  <c r="K64" i="33"/>
  <c r="K80" i="33" s="1"/>
  <c r="K115" i="33" s="1"/>
  <c r="E64" i="33"/>
  <c r="E80" i="33" s="1"/>
  <c r="E115" i="33" s="1"/>
  <c r="L64" i="33"/>
  <c r="L80" i="33" s="1"/>
  <c r="L115" i="33" s="1"/>
  <c r="M64" i="33" l="1"/>
  <c r="E96" i="33"/>
  <c r="E131" i="33" s="1"/>
  <c r="I96" i="33"/>
  <c r="I131" i="33" s="1"/>
  <c r="H96" i="33"/>
  <c r="H131" i="33" s="1"/>
  <c r="D96" i="33"/>
  <c r="D131" i="33" s="1"/>
  <c r="J96" i="33"/>
  <c r="J131" i="33" s="1"/>
  <c r="G96" i="33"/>
  <c r="G131" i="33" s="1"/>
  <c r="L96" i="33"/>
  <c r="L131" i="33" s="1"/>
  <c r="C115" i="33"/>
  <c r="M115" i="33" s="1"/>
  <c r="M80" i="33"/>
  <c r="F96" i="33"/>
  <c r="F131" i="33" s="1"/>
  <c r="C96" i="33"/>
  <c r="K96" i="33"/>
  <c r="K131" i="33" s="1"/>
  <c r="C131" i="33" l="1"/>
  <c r="M131" i="33" s="1"/>
  <c r="M96" i="33"/>
  <c r="E14" i="33"/>
  <c r="G14" i="33" l="1"/>
  <c r="H14" i="33" s="1"/>
  <c r="J14" i="33" l="1"/>
  <c r="H65" i="33"/>
  <c r="H81" i="33" s="1"/>
  <c r="H116" i="33" s="1"/>
  <c r="L65" i="33"/>
  <c r="L81" i="33" s="1"/>
  <c r="L116" i="33" s="1"/>
  <c r="G65" i="33"/>
  <c r="G81" i="33" s="1"/>
  <c r="G116" i="33" s="1"/>
  <c r="J65" i="33"/>
  <c r="J81" i="33" s="1"/>
  <c r="J116" i="33" s="1"/>
  <c r="C65" i="33"/>
  <c r="C81" i="33" s="1"/>
  <c r="C97" i="33" s="1"/>
  <c r="I65" i="33"/>
  <c r="I81" i="33" s="1"/>
  <c r="I116" i="33" s="1"/>
  <c r="F65" i="33"/>
  <c r="F81" i="33" s="1"/>
  <c r="F116" i="33" s="1"/>
  <c r="D65" i="33"/>
  <c r="D81" i="33" s="1"/>
  <c r="D116" i="33" s="1"/>
  <c r="K65" i="33"/>
  <c r="K81" i="33" s="1"/>
  <c r="K116" i="33" s="1"/>
  <c r="E65" i="33"/>
  <c r="E81" i="33" s="1"/>
  <c r="E116" i="33" s="1"/>
  <c r="M65" i="33" l="1"/>
  <c r="L97" i="33"/>
  <c r="L132" i="33" s="1"/>
  <c r="E97" i="33"/>
  <c r="E132" i="33" s="1"/>
  <c r="F97" i="33"/>
  <c r="F132" i="33" s="1"/>
  <c r="C132" i="33"/>
  <c r="M81" i="33"/>
  <c r="C116" i="33"/>
  <c r="M116" i="33" s="1"/>
  <c r="K97" i="33"/>
  <c r="K132" i="33" s="1"/>
  <c r="H97" i="33"/>
  <c r="H132" i="33" s="1"/>
  <c r="I97" i="33"/>
  <c r="I132" i="33" s="1"/>
  <c r="D97" i="33"/>
  <c r="D132" i="33" s="1"/>
  <c r="G97" i="33"/>
  <c r="G132" i="33" s="1"/>
  <c r="J97" i="33"/>
  <c r="J132" i="33" s="1"/>
  <c r="M132" i="33" l="1"/>
  <c r="M97" i="33"/>
  <c r="E15" i="33"/>
  <c r="G15" i="33" l="1"/>
  <c r="H15" i="33" s="1"/>
  <c r="J15" i="33" l="1"/>
  <c r="G66" i="33"/>
  <c r="G82" i="33" s="1"/>
  <c r="G117" i="33" s="1"/>
  <c r="H66" i="33"/>
  <c r="H82" i="33" s="1"/>
  <c r="H117" i="33" s="1"/>
  <c r="L66" i="33"/>
  <c r="L82" i="33" s="1"/>
  <c r="L117" i="33" s="1"/>
  <c r="J66" i="33"/>
  <c r="J82" i="33" s="1"/>
  <c r="J117" i="33" s="1"/>
  <c r="D66" i="33"/>
  <c r="D82" i="33" s="1"/>
  <c r="D117" i="33" s="1"/>
  <c r="K66" i="33"/>
  <c r="K82" i="33" s="1"/>
  <c r="K117" i="33" s="1"/>
  <c r="C66" i="33"/>
  <c r="C82" i="33" s="1"/>
  <c r="I66" i="33"/>
  <c r="I82" i="33" s="1"/>
  <c r="I117" i="33" s="1"/>
  <c r="F66" i="33"/>
  <c r="F82" i="33" s="1"/>
  <c r="F117" i="33" s="1"/>
  <c r="E66" i="33"/>
  <c r="E82" i="33" s="1"/>
  <c r="E117" i="33" s="1"/>
  <c r="M66" i="33" l="1"/>
  <c r="H98" i="33"/>
  <c r="H133" i="33" s="1"/>
  <c r="L98" i="33"/>
  <c r="L133" i="33" s="1"/>
  <c r="I98" i="33"/>
  <c r="I133" i="33" s="1"/>
  <c r="G98" i="33"/>
  <c r="G133" i="33" s="1"/>
  <c r="K98" i="33"/>
  <c r="K133" i="33" s="1"/>
  <c r="J98" i="33"/>
  <c r="J133" i="33" s="1"/>
  <c r="D98" i="33"/>
  <c r="D133" i="33" s="1"/>
  <c r="M82" i="33"/>
  <c r="C117" i="33"/>
  <c r="M117" i="33" s="1"/>
  <c r="F98" i="33"/>
  <c r="F133" i="33" s="1"/>
  <c r="E98" i="33"/>
  <c r="E133" i="33" s="1"/>
  <c r="C98" i="33"/>
  <c r="C133" i="33" l="1"/>
  <c r="M133" i="33" s="1"/>
  <c r="M98" i="33"/>
  <c r="E16" i="33"/>
  <c r="G16" i="33" s="1"/>
  <c r="H16" i="33" s="1"/>
  <c r="J16" i="33" l="1"/>
  <c r="E67" i="33"/>
  <c r="E83" i="33" s="1"/>
  <c r="E118" i="33" s="1"/>
  <c r="K67" i="33"/>
  <c r="K83" i="33" s="1"/>
  <c r="K118" i="33" s="1"/>
  <c r="I67" i="33"/>
  <c r="I83" i="33" s="1"/>
  <c r="I118" i="33" s="1"/>
  <c r="C67" i="33"/>
  <c r="C83" i="33" s="1"/>
  <c r="C99" i="33" s="1"/>
  <c r="D67" i="33"/>
  <c r="D83" i="33" s="1"/>
  <c r="D118" i="33" s="1"/>
  <c r="F67" i="33"/>
  <c r="F83" i="33" s="1"/>
  <c r="F118" i="33" s="1"/>
  <c r="G67" i="33"/>
  <c r="G83" i="33" s="1"/>
  <c r="G118" i="33" s="1"/>
  <c r="H67" i="33"/>
  <c r="H83" i="33" s="1"/>
  <c r="H118" i="33" s="1"/>
  <c r="J67" i="33"/>
  <c r="J83" i="33" s="1"/>
  <c r="J118" i="33" s="1"/>
  <c r="L67" i="33"/>
  <c r="L83" i="33" s="1"/>
  <c r="L118" i="33" s="1"/>
  <c r="M67" i="33" l="1"/>
  <c r="J99" i="33"/>
  <c r="J134" i="33" s="1"/>
  <c r="H99" i="33"/>
  <c r="H134" i="33" s="1"/>
  <c r="L99" i="33"/>
  <c r="L134" i="33" s="1"/>
  <c r="I99" i="33"/>
  <c r="I134" i="33" s="1"/>
  <c r="F99" i="33"/>
  <c r="F134" i="33" s="1"/>
  <c r="C134" i="33"/>
  <c r="E99" i="33"/>
  <c r="E134" i="33" s="1"/>
  <c r="M83" i="33"/>
  <c r="C118" i="33"/>
  <c r="M118" i="33" s="1"/>
  <c r="K99" i="33"/>
  <c r="K134" i="33" s="1"/>
  <c r="D99" i="33"/>
  <c r="D134" i="33" s="1"/>
  <c r="G99" i="33"/>
  <c r="G134" i="33" s="1"/>
  <c r="M134" i="33" l="1"/>
  <c r="M99" i="33"/>
  <c r="E17" i="33"/>
  <c r="G17" i="33" s="1"/>
  <c r="H17" i="33" s="1"/>
  <c r="J17" i="33" l="1"/>
  <c r="D68" i="33"/>
  <c r="L68" i="33" l="1"/>
  <c r="L84" i="33" s="1"/>
  <c r="L119" i="33" s="1"/>
  <c r="J68" i="33"/>
  <c r="F68" i="33"/>
  <c r="F84" i="33" s="1"/>
  <c r="F119" i="33" s="1"/>
  <c r="G68" i="33"/>
  <c r="G84" i="33" s="1"/>
  <c r="G119" i="33" s="1"/>
  <c r="C68" i="33"/>
  <c r="C84" i="33" s="1"/>
  <c r="I68" i="33"/>
  <c r="I84" i="33" s="1"/>
  <c r="I119" i="33" s="1"/>
  <c r="K68" i="33"/>
  <c r="K84" i="33" s="1"/>
  <c r="K119" i="33" s="1"/>
  <c r="H68" i="33"/>
  <c r="H84" i="33" s="1"/>
  <c r="H119" i="33" s="1"/>
  <c r="E68" i="33"/>
  <c r="E84" i="33" s="1"/>
  <c r="E119" i="33" s="1"/>
  <c r="J84" i="33"/>
  <c r="J119" i="33" s="1"/>
  <c r="D84" i="33"/>
  <c r="D119" i="33" s="1"/>
  <c r="M68" i="33" l="1"/>
  <c r="K100" i="33"/>
  <c r="K135" i="33" s="1"/>
  <c r="G100" i="33"/>
  <c r="G135" i="33" s="1"/>
  <c r="E100" i="33"/>
  <c r="E135" i="33" s="1"/>
  <c r="H100" i="33"/>
  <c r="H135" i="33" s="1"/>
  <c r="J100" i="33"/>
  <c r="J135" i="33" s="1"/>
  <c r="D100" i="33"/>
  <c r="D135" i="33" s="1"/>
  <c r="C119" i="33"/>
  <c r="M119" i="33" s="1"/>
  <c r="M84" i="33"/>
  <c r="C100" i="33"/>
  <c r="I100" i="33"/>
  <c r="I135" i="33" s="1"/>
  <c r="F100" i="33"/>
  <c r="F135" i="33" s="1"/>
  <c r="L100" i="33"/>
  <c r="L135" i="33" s="1"/>
  <c r="M100" i="33" l="1"/>
  <c r="C135" i="33"/>
  <c r="M135" i="33" s="1"/>
  <c r="F69" i="33" l="1"/>
  <c r="F85" i="33" s="1"/>
  <c r="F120" i="33" s="1"/>
  <c r="J69" i="33"/>
  <c r="K69" i="33"/>
  <c r="K85" i="33" s="1"/>
  <c r="K120" i="33" s="1"/>
  <c r="H69" i="33"/>
  <c r="H85" i="33" s="1"/>
  <c r="H120" i="33" s="1"/>
  <c r="I69" i="33"/>
  <c r="I85" i="33" s="1"/>
  <c r="I120" i="33" s="1"/>
  <c r="G69" i="33"/>
  <c r="G85" i="33" s="1"/>
  <c r="G120" i="33" s="1"/>
  <c r="E69" i="33"/>
  <c r="E85" i="33" s="1"/>
  <c r="E120" i="33" s="1"/>
  <c r="L69" i="33"/>
  <c r="L85" i="33" s="1"/>
  <c r="L120" i="33" s="1"/>
  <c r="D69" i="33"/>
  <c r="D85" i="33" s="1"/>
  <c r="D120" i="33" s="1"/>
  <c r="J85" i="33"/>
  <c r="J120" i="33" s="1"/>
  <c r="C69" i="33"/>
  <c r="J101" i="33" l="1"/>
  <c r="J136" i="33" s="1"/>
  <c r="L101" i="33"/>
  <c r="L136" i="33" s="1"/>
  <c r="I101" i="33"/>
  <c r="I136" i="33" s="1"/>
  <c r="D101" i="33"/>
  <c r="D136" i="33" s="1"/>
  <c r="K101" i="33"/>
  <c r="K136" i="33" s="1"/>
  <c r="C85" i="33"/>
  <c r="C101" i="33" s="1"/>
  <c r="M69" i="33"/>
  <c r="H101" i="33"/>
  <c r="H136" i="33" s="1"/>
  <c r="G101" i="33"/>
  <c r="G136" i="33" s="1"/>
  <c r="F101" i="33"/>
  <c r="F136" i="33" s="1"/>
  <c r="E101" i="33"/>
  <c r="E136" i="33" s="1"/>
  <c r="M101" i="33" l="1"/>
  <c r="C136" i="33"/>
  <c r="M136" i="33" s="1"/>
  <c r="M85" i="33"/>
  <c r="C120" i="33"/>
  <c r="M120" i="33" s="1"/>
  <c r="G19" i="33"/>
  <c r="H19" i="33" s="1"/>
  <c r="J19" i="33" l="1"/>
  <c r="C70" i="33"/>
  <c r="G70" i="33"/>
  <c r="G86" i="33" s="1"/>
  <c r="G121" i="33" s="1"/>
  <c r="I70" i="33"/>
  <c r="I86" i="33" s="1"/>
  <c r="I121" i="33" s="1"/>
  <c r="K70" i="33"/>
  <c r="K86" i="33" s="1"/>
  <c r="K121" i="33" s="1"/>
  <c r="J70" i="33"/>
  <c r="J86" i="33" s="1"/>
  <c r="J121" i="33" s="1"/>
  <c r="E70" i="33"/>
  <c r="E86" i="33" s="1"/>
  <c r="E121" i="33" s="1"/>
  <c r="D70" i="33"/>
  <c r="D86" i="33" s="1"/>
  <c r="D121" i="33" s="1"/>
  <c r="F70" i="33"/>
  <c r="F86" i="33" s="1"/>
  <c r="F121" i="33" s="1"/>
  <c r="H70" i="33"/>
  <c r="H86" i="33" s="1"/>
  <c r="H121" i="33" s="1"/>
  <c r="L70" i="33"/>
  <c r="L86" i="33" s="1"/>
  <c r="L121" i="33" s="1"/>
  <c r="M70" i="33" l="1"/>
  <c r="C86" i="33"/>
  <c r="C102" i="33" s="1"/>
  <c r="C137" i="33" s="1"/>
  <c r="J102" i="33"/>
  <c r="J137" i="33" s="1"/>
  <c r="D102" i="33"/>
  <c r="D137" i="33" s="1"/>
  <c r="I102" i="33"/>
  <c r="I137" i="33" s="1"/>
  <c r="E102" i="33"/>
  <c r="E137" i="33" s="1"/>
  <c r="F102" i="33"/>
  <c r="F137" i="33" s="1"/>
  <c r="K102" i="33"/>
  <c r="K137" i="33" s="1"/>
  <c r="G102" i="33"/>
  <c r="G137" i="33" s="1"/>
  <c r="L102" i="33"/>
  <c r="L137" i="33" s="1"/>
  <c r="H102" i="33"/>
  <c r="H137" i="33" s="1"/>
  <c r="M86" i="33" l="1"/>
  <c r="C121" i="33"/>
  <c r="M121" i="33" s="1"/>
  <c r="M102" i="33"/>
  <c r="M137" i="33"/>
  <c r="E20" i="33"/>
  <c r="G20" i="33" s="1"/>
  <c r="H20" i="33" s="1"/>
  <c r="J20" i="33" l="1"/>
  <c r="L71" i="33"/>
  <c r="L87" i="33" s="1"/>
  <c r="L122" i="33" s="1"/>
  <c r="H71" i="33"/>
  <c r="H87" i="33" s="1"/>
  <c r="H122" i="33" s="1"/>
  <c r="J71" i="33"/>
  <c r="J87" i="33" s="1"/>
  <c r="J122" i="33" s="1"/>
  <c r="D71" i="33"/>
  <c r="D87" i="33" s="1"/>
  <c r="D122" i="33" s="1"/>
  <c r="E71" i="33"/>
  <c r="E87" i="33" s="1"/>
  <c r="E122" i="33" s="1"/>
  <c r="F71" i="33"/>
  <c r="F87" i="33" s="1"/>
  <c r="F122" i="33" s="1"/>
  <c r="I71" i="33"/>
  <c r="I87" i="33" s="1"/>
  <c r="I122" i="33" s="1"/>
  <c r="K71" i="33"/>
  <c r="K87" i="33" s="1"/>
  <c r="K122" i="33" s="1"/>
  <c r="G71" i="33"/>
  <c r="G87" i="33" s="1"/>
  <c r="G122" i="33" s="1"/>
  <c r="C71" i="33"/>
  <c r="C87" i="33" s="1"/>
  <c r="M71" i="33" l="1"/>
  <c r="F103" i="33"/>
  <c r="F138" i="33" s="1"/>
  <c r="L103" i="33"/>
  <c r="L138" i="33" s="1"/>
  <c r="G103" i="33"/>
  <c r="G138" i="33" s="1"/>
  <c r="H103" i="33"/>
  <c r="H138" i="33" s="1"/>
  <c r="C122" i="33"/>
  <c r="M122" i="33" s="1"/>
  <c r="O123" i="33" s="1"/>
  <c r="F52" i="35" s="1"/>
  <c r="G54" i="35" s="1"/>
  <c r="M87" i="33"/>
  <c r="I103" i="33"/>
  <c r="I138" i="33" s="1"/>
  <c r="D103" i="33"/>
  <c r="D138" i="33" s="1"/>
  <c r="J103" i="33"/>
  <c r="J138" i="33" s="1"/>
  <c r="C103" i="33"/>
  <c r="E103" i="33"/>
  <c r="E138" i="33" s="1"/>
  <c r="K103" i="33"/>
  <c r="K138" i="33" s="1"/>
  <c r="M103" i="33" l="1"/>
  <c r="C138" i="33"/>
  <c r="M138" i="33" s="1"/>
  <c r="O139" i="33" s="1"/>
  <c r="F23" i="35" l="1"/>
  <c r="G25" i="35" s="1"/>
  <c r="D12" i="41"/>
  <c r="D15" i="41" s="1"/>
  <c r="D17" i="41" s="1"/>
  <c r="G218" i="35"/>
  <c r="F222" i="35"/>
  <c r="G224" i="35" s="1"/>
  <c r="E155" i="35" s="1"/>
  <c r="F155" i="35" l="1"/>
  <c r="E98" i="35"/>
  <c r="F98" i="35" s="1"/>
  <c r="G226" i="35"/>
  <c r="F196" i="35"/>
  <c r="G198" i="35" s="1"/>
  <c r="E129" i="35" s="1"/>
  <c r="G192" i="35"/>
  <c r="F276" i="35"/>
  <c r="G278" i="35" s="1"/>
  <c r="E209" i="35" s="1"/>
  <c r="F268" i="35"/>
  <c r="G272" i="35" s="1"/>
  <c r="F129" i="35" l="1"/>
  <c r="E70" i="35"/>
  <c r="F70" i="35" s="1"/>
  <c r="F209" i="35"/>
  <c r="F210" i="35" s="1"/>
  <c r="E154" i="35"/>
  <c r="F154" i="35" s="1"/>
  <c r="F156" i="35" s="1"/>
  <c r="G201" i="35"/>
  <c r="F242" i="35"/>
  <c r="G246" i="35" s="1"/>
  <c r="F250" i="35"/>
  <c r="G252" i="35" s="1"/>
  <c r="E183" i="35" s="1"/>
  <c r="G280" i="35"/>
  <c r="F183" i="35" l="1"/>
  <c r="F184" i="35" s="1"/>
  <c r="E128" i="35"/>
  <c r="F128" i="35" s="1"/>
  <c r="F130" i="35" s="1"/>
  <c r="G255" i="35"/>
  <c r="C21" i="33" l="1"/>
  <c r="E9" i="33" l="1"/>
  <c r="E21" i="33" s="1"/>
  <c r="G9" i="33" l="1"/>
  <c r="G21" i="33" s="1"/>
  <c r="F21" i="33" s="1"/>
  <c r="H9" i="33" l="1"/>
  <c r="C60" i="33" l="1"/>
  <c r="J9" i="33"/>
  <c r="G60" i="33"/>
  <c r="G72" i="33" s="1"/>
  <c r="F60" i="33"/>
  <c r="F76" i="33" s="1"/>
  <c r="F92" i="33" s="1"/>
  <c r="H60" i="33"/>
  <c r="H72" i="33" s="1"/>
  <c r="K60" i="33"/>
  <c r="K76" i="33" s="1"/>
  <c r="D60" i="33"/>
  <c r="D76" i="33" s="1"/>
  <c r="D92" i="33" s="1"/>
  <c r="L60" i="33"/>
  <c r="L72" i="33" s="1"/>
  <c r="H21" i="33"/>
  <c r="J21" i="33" s="1"/>
  <c r="I60" i="33"/>
  <c r="I76" i="33" s="1"/>
  <c r="I92" i="33" s="1"/>
  <c r="J60" i="33"/>
  <c r="J76" i="33" s="1"/>
  <c r="J92" i="33" s="1"/>
  <c r="E60" i="33"/>
  <c r="E72" i="33" s="1"/>
  <c r="C72" i="33"/>
  <c r="C76" i="33"/>
  <c r="D9" i="41" l="1"/>
  <c r="D34" i="41" s="1"/>
  <c r="F72" i="33"/>
  <c r="L76" i="33"/>
  <c r="L92" i="33" s="1"/>
  <c r="L127" i="33" s="1"/>
  <c r="L139" i="33" s="1"/>
  <c r="G76" i="33"/>
  <c r="G111" i="33" s="1"/>
  <c r="G123" i="33" s="1"/>
  <c r="K72" i="33"/>
  <c r="D72" i="33"/>
  <c r="H76" i="33"/>
  <c r="H92" i="33" s="1"/>
  <c r="H127" i="33" s="1"/>
  <c r="H139" i="33" s="1"/>
  <c r="I72" i="33"/>
  <c r="J72" i="33"/>
  <c r="M60" i="33"/>
  <c r="M72" i="33" s="1"/>
  <c r="M73" i="33" s="1"/>
  <c r="E76" i="33"/>
  <c r="E92" i="33" s="1"/>
  <c r="E127" i="33" s="1"/>
  <c r="E139" i="33" s="1"/>
  <c r="J127" i="33"/>
  <c r="J139" i="33" s="1"/>
  <c r="J104" i="33"/>
  <c r="C88" i="33"/>
  <c r="C111" i="33"/>
  <c r="I104" i="33"/>
  <c r="I127" i="33"/>
  <c r="I139" i="33" s="1"/>
  <c r="F88" i="33"/>
  <c r="F111" i="33"/>
  <c r="F123" i="33" s="1"/>
  <c r="G88" i="33"/>
  <c r="K88" i="33"/>
  <c r="K111" i="33"/>
  <c r="K123" i="33" s="1"/>
  <c r="J111" i="33"/>
  <c r="J123" i="33" s="1"/>
  <c r="J88" i="33"/>
  <c r="F104" i="33"/>
  <c r="F127" i="33"/>
  <c r="F139" i="33" s="1"/>
  <c r="D127" i="33"/>
  <c r="D139" i="33" s="1"/>
  <c r="D104" i="33"/>
  <c r="K92" i="33"/>
  <c r="I88" i="33"/>
  <c r="I111" i="33"/>
  <c r="I123" i="33" s="1"/>
  <c r="C92" i="33"/>
  <c r="D88" i="33"/>
  <c r="D111" i="33"/>
  <c r="D123" i="33" s="1"/>
  <c r="L111" i="33" l="1"/>
  <c r="L123" i="33" s="1"/>
  <c r="L104" i="33"/>
  <c r="G92" i="33"/>
  <c r="G127" i="33" s="1"/>
  <c r="G139" i="33" s="1"/>
  <c r="H111" i="33"/>
  <c r="H123" i="33" s="1"/>
  <c r="H88" i="33"/>
  <c r="H104" i="33"/>
  <c r="H141" i="33" s="1"/>
  <c r="H145" i="33" s="1"/>
  <c r="L88" i="33"/>
  <c r="J73" i="33"/>
  <c r="K73" i="33"/>
  <c r="L73" i="33"/>
  <c r="I73" i="33"/>
  <c r="E88" i="33"/>
  <c r="D73" i="33"/>
  <c r="G73" i="33"/>
  <c r="F73" i="33"/>
  <c r="C73" i="33"/>
  <c r="H73" i="33"/>
  <c r="E73" i="33"/>
  <c r="M76" i="33"/>
  <c r="M88" i="33" s="1"/>
  <c r="E104" i="33"/>
  <c r="E141" i="33" s="1"/>
  <c r="E145" i="33" s="1"/>
  <c r="E111" i="33"/>
  <c r="E123" i="33" s="1"/>
  <c r="F141" i="33"/>
  <c r="F145" i="33" s="1"/>
  <c r="I141" i="33"/>
  <c r="I145" i="33" s="1"/>
  <c r="L141" i="33"/>
  <c r="L145" i="33" s="1"/>
  <c r="J141" i="33"/>
  <c r="J145" i="33" s="1"/>
  <c r="K104" i="33"/>
  <c r="K127" i="33"/>
  <c r="K139" i="33" s="1"/>
  <c r="C127" i="33"/>
  <c r="C104" i="33"/>
  <c r="C123" i="33"/>
  <c r="D141" i="33"/>
  <c r="D145" i="33" s="1"/>
  <c r="M92" i="33" l="1"/>
  <c r="M104" i="33" s="1"/>
  <c r="G104" i="33"/>
  <c r="G141" i="33" s="1"/>
  <c r="G145" i="33" s="1"/>
  <c r="M111" i="33"/>
  <c r="M123" i="33" s="1"/>
  <c r="F42" i="35" s="1"/>
  <c r="K141" i="33"/>
  <c r="K145" i="33" s="1"/>
  <c r="C139" i="33"/>
  <c r="C141" i="33" s="1"/>
  <c r="C145" i="33" s="1"/>
  <c r="M127" i="33"/>
  <c r="M139" i="33" l="1"/>
  <c r="F13" i="35" s="1"/>
  <c r="F86" i="35"/>
  <c r="G88" i="35" s="1"/>
  <c r="F160" i="35"/>
  <c r="G164" i="35" s="1"/>
  <c r="F114" i="35"/>
  <c r="G116" i="35" s="1"/>
  <c r="E39" i="35" s="1"/>
  <c r="F39" i="35" s="1"/>
  <c r="F168" i="35"/>
  <c r="G170" i="35" s="1"/>
  <c r="M141" i="33" l="1"/>
  <c r="M145" i="33" s="1"/>
  <c r="E10" i="35"/>
  <c r="F10" i="35" s="1"/>
  <c r="G172" i="35"/>
  <c r="E99" i="35"/>
  <c r="F134" i="35"/>
  <c r="G138" i="35" s="1"/>
  <c r="F142" i="35"/>
  <c r="G144" i="35" s="1"/>
  <c r="E71" i="35" s="1"/>
  <c r="D36" i="41" l="1"/>
  <c r="F99" i="35"/>
  <c r="F100" i="35" s="1"/>
  <c r="F104" i="35" s="1"/>
  <c r="E38" i="35"/>
  <c r="F38" i="35" s="1"/>
  <c r="F40" i="35" s="1"/>
  <c r="F44" i="35" s="1"/>
  <c r="F71" i="35"/>
  <c r="F72" i="35" s="1"/>
  <c r="F76" i="35" s="1"/>
  <c r="F78" i="35" s="1"/>
  <c r="G82" i="35" s="1"/>
  <c r="G91" i="35" s="1"/>
  <c r="E9" i="35"/>
  <c r="F9" i="35" s="1"/>
  <c r="F11" i="35" s="1"/>
  <c r="F15" i="35" s="1"/>
  <c r="G19" i="35" s="1"/>
  <c r="G27" i="35" s="1"/>
  <c r="H27" i="35" s="1"/>
  <c r="F106" i="35"/>
  <c r="G110" i="35" s="1"/>
  <c r="G118" i="35" s="1"/>
  <c r="G147" i="35"/>
  <c r="G29" i="35" l="1"/>
  <c r="G31" i="35" s="1"/>
  <c r="H31" i="35" s="1"/>
  <c r="G48" i="35"/>
  <c r="G56" i="35" s="1"/>
  <c r="G58" i="35" l="1"/>
  <c r="G60" i="35" s="1"/>
  <c r="H60" i="35" s="1"/>
  <c r="H56" i="35"/>
</calcChain>
</file>

<file path=xl/comments1.xml><?xml version="1.0" encoding="utf-8"?>
<comments xmlns="http://schemas.openxmlformats.org/spreadsheetml/2006/main">
  <authors>
    <author>Weinstein, Mike</author>
  </authors>
  <commentList>
    <comment ref="B75" authorId="0" shapeId="0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</commentList>
</comments>
</file>

<file path=xl/sharedStrings.xml><?xml version="1.0" encoding="utf-8"?>
<sst xmlns="http://schemas.openxmlformats.org/spreadsheetml/2006/main" count="524" uniqueCount="158">
  <si>
    <t>HDPE</t>
  </si>
  <si>
    <t>PET</t>
  </si>
  <si>
    <t>May</t>
  </si>
  <si>
    <t>Total</t>
  </si>
  <si>
    <t>%</t>
  </si>
  <si>
    <t>Customers</t>
  </si>
  <si>
    <t>Credits</t>
  </si>
  <si>
    <t>Jul</t>
  </si>
  <si>
    <t>Aug</t>
  </si>
  <si>
    <t>Sep</t>
  </si>
  <si>
    <t>Oct</t>
  </si>
  <si>
    <t>Nov</t>
  </si>
  <si>
    <t>Dec</t>
  </si>
  <si>
    <t>Mar</t>
  </si>
  <si>
    <t>Apr</t>
  </si>
  <si>
    <t>Feb</t>
  </si>
  <si>
    <t>Glass</t>
  </si>
  <si>
    <t>Tons</t>
  </si>
  <si>
    <t>Commodity</t>
  </si>
  <si>
    <t>Less:</t>
  </si>
  <si>
    <t>Non-Reg.</t>
  </si>
  <si>
    <t>Regulated</t>
  </si>
  <si>
    <t>Aluminum</t>
  </si>
  <si>
    <t>Tin</t>
  </si>
  <si>
    <t>OCC</t>
  </si>
  <si>
    <t>Yards</t>
  </si>
  <si>
    <t>Residential</t>
  </si>
  <si>
    <t>Credit</t>
  </si>
  <si>
    <t>Actual Commodity Revenue (adj. to reflect current customers)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</si>
  <si>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</si>
  <si>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</si>
  <si>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</si>
  <si>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</si>
  <si>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</si>
  <si>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</si>
  <si>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Multi-family Commodity Adjustment</t>
  </si>
  <si>
    <t>WM of Spokane</t>
  </si>
  <si>
    <t>Jun</t>
  </si>
  <si>
    <t>Jan</t>
  </si>
  <si>
    <t>Res'l</t>
  </si>
  <si>
    <t>SS</t>
  </si>
  <si>
    <t>Single stream commodity composition percentage</t>
  </si>
  <si>
    <t>Newspaper</t>
  </si>
  <si>
    <t>Baled</t>
  </si>
  <si>
    <t>UBC</t>
  </si>
  <si>
    <t>Steel Cans</t>
  </si>
  <si>
    <t>Mixed</t>
  </si>
  <si>
    <t>ONP</t>
  </si>
  <si>
    <t>MP</t>
  </si>
  <si>
    <t>Natural</t>
  </si>
  <si>
    <t>Colored</t>
  </si>
  <si>
    <t>Plastics</t>
  </si>
  <si>
    <t xml:space="preserve">Residue </t>
  </si>
  <si>
    <t>Net</t>
  </si>
  <si>
    <t>Materials Composition:</t>
  </si>
  <si>
    <t>Price per ton:</t>
  </si>
  <si>
    <t>Total Tonnage by Commodity:</t>
  </si>
  <si>
    <t>MF Tonnage by Commodity:</t>
  </si>
  <si>
    <t>Res'l Tonnage by Commodity:</t>
  </si>
  <si>
    <t>MF Revenue by Commodity:</t>
  </si>
  <si>
    <t>Res'l Revenue by Commodity:</t>
  </si>
  <si>
    <t>2014 - 2015 Rebate Calculation</t>
  </si>
  <si>
    <t>2013 - 2014 Rebate Calculation</t>
  </si>
  <si>
    <t>WM Spokane</t>
  </si>
  <si>
    <t>June - July projected value without adjustment factor</t>
  </si>
  <si>
    <t>Aug. - May projected value without adjustment factor</t>
  </si>
  <si>
    <t>Projected Revenue June 2013 - May 2014</t>
  </si>
  <si>
    <t>Projected Revenue June 2014 - May 2015</t>
  </si>
  <si>
    <t>Month</t>
  </si>
  <si>
    <t>Inbound</t>
  </si>
  <si>
    <t>Residential &amp; MF Regulated Recycling Tonnages and Revenue</t>
  </si>
  <si>
    <t>Composition</t>
  </si>
  <si>
    <t>Mix Paper</t>
  </si>
  <si>
    <t>HDPE Natl</t>
  </si>
  <si>
    <t>HDPE Col</t>
  </si>
  <si>
    <t>#3 - 7</t>
  </si>
  <si>
    <t>Residue</t>
  </si>
  <si>
    <t>Price/ton schedule</t>
  </si>
  <si>
    <t>ONP 6</t>
  </si>
  <si>
    <t>Mixed Paper</t>
  </si>
  <si>
    <t>Alum.</t>
  </si>
  <si>
    <t>HDPE Natural</t>
  </si>
  <si>
    <t>HDPE Colored</t>
  </si>
  <si>
    <t>Plastics 3-7</t>
  </si>
  <si>
    <t>Projected Revenue June 2015 - May 2016</t>
  </si>
  <si>
    <t>2015 - 2016 Rebate Calculation</t>
  </si>
  <si>
    <t>Deer Park</t>
  </si>
  <si>
    <t>Airway Heights</t>
  </si>
  <si>
    <t>Liberty Lake</t>
  </si>
  <si>
    <t>Spokane Valley</t>
  </si>
  <si>
    <t>2016 - 2017 Rebate Calculation</t>
  </si>
  <si>
    <t>Projected Revenue June 2016 - May 2017</t>
  </si>
  <si>
    <t>WUTC</t>
  </si>
  <si>
    <t>Total non-regulated</t>
  </si>
  <si>
    <t>Jurisdiction:</t>
  </si>
  <si>
    <t>% Regulated</t>
  </si>
  <si>
    <t>% Non-Regulated</t>
  </si>
  <si>
    <t>MF Rebate per yard</t>
  </si>
  <si>
    <t>WUTC recycling subscription MSW Yards</t>
  </si>
  <si>
    <t>Regulated MF Rebate per billing</t>
  </si>
  <si>
    <t>Residential &amp; MF Regulated Customers</t>
  </si>
  <si>
    <t>Total with Residue</t>
  </si>
  <si>
    <t>2017 - 2018 Rebate Calculation</t>
  </si>
  <si>
    <t>Tin Cans</t>
  </si>
  <si>
    <t>Projected Revenue June 2017 - May 2018</t>
  </si>
  <si>
    <t xml:space="preserve">Average Revenue/ton </t>
  </si>
  <si>
    <t>Average Revenue/ton - prior year</t>
  </si>
  <si>
    <t>Increase (decrease) - per ton</t>
  </si>
  <si>
    <t>Net amount Owed Customer (company)</t>
  </si>
  <si>
    <t>Owed to Customer (company)</t>
  </si>
  <si>
    <t>Less: Error in rebate Aug - Sept. 2016 ($1.78 to $1.44)</t>
  </si>
  <si>
    <t>Less: Error in rebate Aug - Sept. 2016 ($0.28 - $0.23)</t>
  </si>
  <si>
    <t>2018 - 2019 Rebate Calculation</t>
  </si>
  <si>
    <t>Projected Value to Rebate to Customers</t>
  </si>
  <si>
    <t>Budget</t>
  </si>
  <si>
    <t>Customer Counts:</t>
  </si>
  <si>
    <t>Tonnage:</t>
  </si>
  <si>
    <t>Revenues:</t>
  </si>
  <si>
    <t>Expenditures Budget:</t>
  </si>
  <si>
    <t xml:space="preserve">Estimated Revenue Sharing retained by Company </t>
  </si>
  <si>
    <t>Detailed Expenditures:</t>
  </si>
  <si>
    <t>Labor Cost Total (see detail below)</t>
  </si>
  <si>
    <t>Tasks As Outlined In RSA</t>
  </si>
  <si>
    <t>Total RSA Task Fees (excluding capital)</t>
  </si>
  <si>
    <t>Total Budgeted Expenses</t>
  </si>
  <si>
    <t>Performance Incentive (5% of expenditures)</t>
  </si>
  <si>
    <t>Total Expenditures plus incentive</t>
  </si>
  <si>
    <t>Avg. lbs./customer/mo.</t>
  </si>
  <si>
    <t>Avg. revenue/ton</t>
  </si>
  <si>
    <t>Labor Cost Allocation</t>
  </si>
  <si>
    <t>Total Hours</t>
  </si>
  <si>
    <t>Hourly Rate</t>
  </si>
  <si>
    <t>Total 2 yrs</t>
  </si>
  <si>
    <t>Monthly Reporting (CC Team )</t>
  </si>
  <si>
    <t>Executive Management/Oversight (Mindy &amp; Mary)</t>
  </si>
  <si>
    <t>Public Education Team &amp; Website Updates</t>
  </si>
  <si>
    <t xml:space="preserve">Labor Cost Totals </t>
  </si>
  <si>
    <t>Jun., 2017</t>
  </si>
  <si>
    <t>Jan., 2018</t>
  </si>
  <si>
    <t>Projected Revenue June 2018 - May 2019 (based on most recent 5 months due to "China Sword")</t>
  </si>
  <si>
    <t>Net Residential Commodity Adjustment</t>
  </si>
  <si>
    <t>Average</t>
  </si>
  <si>
    <t>lbs./</t>
  </si>
  <si>
    <t>Customer/</t>
  </si>
  <si>
    <t>Week</t>
  </si>
  <si>
    <t>Average Monthly Revenue since "China Sword".</t>
  </si>
  <si>
    <t>Less: Revenue Sharing Agreement (amount retained including incentive)</t>
  </si>
  <si>
    <t>Multi-Family Commodity Adjustment</t>
  </si>
  <si>
    <t>Residential and Multi-Family WUTC tonnage (2 years)</t>
  </si>
  <si>
    <t>Less: Recycling Incentive</t>
  </si>
  <si>
    <t>Total Two Year Projected Commodity Revenue (based on most recent 5 months average commodity values due to "China Sword")</t>
  </si>
  <si>
    <t>RSA Project Manager (includes travel expenses)</t>
  </si>
  <si>
    <t>Task 1 - Recycling and Organics Rules Advertising</t>
  </si>
  <si>
    <t>Task 2 - Recycling and Organics Promotion at Events</t>
  </si>
  <si>
    <t>Task 3 - Elementary School Recycling Education</t>
  </si>
  <si>
    <t>Task 4 - Multifamily Recycling Education Programs</t>
  </si>
  <si>
    <t>Spokane County Revenue Sharing Budget</t>
  </si>
  <si>
    <t>August 1 2018 - July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</si>
</sst>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 val="double"/>
      <sz val="8"/>
      <name val="Arial"/>
      <family val="2"/>
    </font>
    <font>
      <b/>
      <i/>
      <u val="doubleAccounting"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 val="double"/>
      <sz val="10"/>
      <name val="Arial"/>
      <family val="2"/>
    </font>
    <font>
      <u val="singleAccounting"/>
      <sz val="9"/>
      <color theme="1"/>
      <name val="Arial"/>
      <family val="2"/>
    </font>
    <font>
      <b/>
      <u val="doubleAccounting"/>
      <sz val="9"/>
      <color theme="1"/>
      <name val="Arial"/>
      <family val="2"/>
    </font>
    <font>
      <u val="singleAccounting"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u val="doubleAccounting"/>
      <sz val="10"/>
      <name val="Arial"/>
      <family val="2"/>
    </font>
    <font>
      <u val="singleAccounting"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u val="singleAccounting"/>
      <sz val="11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u val="doubleAccounting"/>
      <sz val="11"/>
      <color theme="1"/>
      <name val="Calibri"/>
      <family val="2"/>
    </font>
    <font>
      <b/>
      <i/>
      <u val="double"/>
      <sz val="11"/>
      <color theme="1"/>
      <name val="Calibri"/>
      <family val="2"/>
    </font>
    <font>
      <b/>
      <u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 val="doubleAccounting"/>
      <sz val="11"/>
      <name val="Calibri"/>
      <family val="2"/>
    </font>
    <font>
      <b/>
      <u val="doubleAccounting"/>
      <sz val="11"/>
      <color rgb="FF00B050"/>
      <name val="Calibri"/>
      <family val="2"/>
    </font>
    <font>
      <u val="singleAccounting"/>
      <sz val="11"/>
      <name val="Calibri"/>
      <family val="2"/>
    </font>
    <font>
      <b/>
      <u val="double"/>
      <sz val="11"/>
      <name val="Calibri"/>
      <family val="2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 val="singleAccounting"/>
      <sz val="12"/>
      <name val="Arial"/>
      <family val="2"/>
    </font>
    <font>
      <u val="doubleAccounting"/>
      <sz val="10"/>
      <name val="Arial"/>
      <family val="2"/>
    </font>
    <font>
      <b/>
      <u val="doubleAccounting"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8">
      <alignment horizontal="center"/>
    </xf>
    <xf numFmtId="3" fontId="24" fillId="0" borderId="0" applyFont="0" applyFill="0" applyBorder="0" applyAlignment="0" applyProtection="0"/>
    <xf numFmtId="0" fontId="24" fillId="3" borderId="0" applyNumberFormat="0" applyFon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3">
    <xf numFmtId="0" fontId="0" fillId="0" borderId="0" xfId="0"/>
    <xf numFmtId="0" fontId="4" fillId="0" borderId="0" xfId="0" applyFont="1"/>
    <xf numFmtId="43" fontId="0" fillId="0" borderId="0" xfId="1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0" applyNumberFormat="1"/>
    <xf numFmtId="43" fontId="7" fillId="0" borderId="0" xfId="0" applyNumberFormat="1" applyFont="1"/>
    <xf numFmtId="43" fontId="8" fillId="0" borderId="0" xfId="0" applyNumberFormat="1" applyFont="1"/>
    <xf numFmtId="165" fontId="0" fillId="0" borderId="0" xfId="3" applyNumberFormat="1" applyFont="1"/>
    <xf numFmtId="165" fontId="7" fillId="0" borderId="0" xfId="3" applyNumberFormat="1" applyFont="1"/>
    <xf numFmtId="165" fontId="8" fillId="0" borderId="0" xfId="3" applyNumberFormat="1" applyFont="1"/>
    <xf numFmtId="43" fontId="7" fillId="0" borderId="0" xfId="1" applyFont="1"/>
    <xf numFmtId="164" fontId="0" fillId="0" borderId="0" xfId="0" applyNumberFormat="1"/>
    <xf numFmtId="164" fontId="8" fillId="0" borderId="0" xfId="0" applyNumberFormat="1" applyFont="1"/>
    <xf numFmtId="43" fontId="8" fillId="0" borderId="0" xfId="1" applyFont="1"/>
    <xf numFmtId="43" fontId="5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5" fillId="0" borderId="0" xfId="0" applyFont="1"/>
    <xf numFmtId="0" fontId="3" fillId="0" borderId="0" xfId="5"/>
    <xf numFmtId="0" fontId="4" fillId="0" borderId="0" xfId="5" applyFont="1" applyAlignment="1">
      <alignment horizontal="center"/>
    </xf>
    <xf numFmtId="0" fontId="5" fillId="0" borderId="0" xfId="5" applyFont="1" applyAlignment="1">
      <alignment horizontal="center"/>
    </xf>
    <xf numFmtId="10" fontId="0" fillId="0" borderId="0" xfId="0" applyNumberFormat="1"/>
    <xf numFmtId="43" fontId="4" fillId="0" borderId="0" xfId="1" applyFont="1" applyAlignment="1">
      <alignment horizontal="center"/>
    </xf>
    <xf numFmtId="10" fontId="17" fillId="0" borderId="0" xfId="0" applyNumberFormat="1" applyFont="1"/>
    <xf numFmtId="44" fontId="17" fillId="0" borderId="0" xfId="0" applyNumberFormat="1" applyFont="1"/>
    <xf numFmtId="0" fontId="5" fillId="0" borderId="0" xfId="5" applyFont="1" applyFill="1" applyAlignment="1">
      <alignment horizontal="center"/>
    </xf>
    <xf numFmtId="0" fontId="15" fillId="2" borderId="2" xfId="0" applyFont="1" applyFill="1" applyBorder="1"/>
    <xf numFmtId="0" fontId="10" fillId="2" borderId="3" xfId="0" applyFont="1" applyFill="1" applyBorder="1"/>
    <xf numFmtId="0" fontId="18" fillId="2" borderId="3" xfId="0" applyFont="1" applyFill="1" applyBorder="1"/>
    <xf numFmtId="0" fontId="18" fillId="2" borderId="4" xfId="0" applyFont="1" applyFill="1" applyBorder="1"/>
    <xf numFmtId="0" fontId="9" fillId="2" borderId="5" xfId="0" applyFont="1" applyFill="1" applyBorder="1"/>
    <xf numFmtId="0" fontId="9" fillId="2" borderId="0" xfId="0" applyFont="1" applyFill="1" applyBorder="1"/>
    <xf numFmtId="0" fontId="19" fillId="2" borderId="0" xfId="0" applyFont="1" applyFill="1" applyBorder="1"/>
    <xf numFmtId="0" fontId="18" fillId="2" borderId="0" xfId="0" applyFont="1" applyFill="1" applyBorder="1"/>
    <xf numFmtId="0" fontId="18" fillId="2" borderId="6" xfId="0" applyFont="1" applyFill="1" applyBorder="1"/>
    <xf numFmtId="15" fontId="9" fillId="2" borderId="5" xfId="0" applyNumberFormat="1" applyFont="1" applyFill="1" applyBorder="1"/>
    <xf numFmtId="15" fontId="9" fillId="2" borderId="0" xfId="0" applyNumberFormat="1" applyFont="1" applyFill="1" applyBorder="1"/>
    <xf numFmtId="0" fontId="18" fillId="2" borderId="5" xfId="0" applyFont="1" applyFill="1" applyBorder="1"/>
    <xf numFmtId="0" fontId="9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9" fillId="2" borderId="10" xfId="0" applyFont="1" applyFill="1" applyBorder="1"/>
    <xf numFmtId="0" fontId="18" fillId="2" borderId="0" xfId="0" applyFont="1" applyFill="1" applyBorder="1" applyAlignment="1">
      <alignment horizontal="center"/>
    </xf>
    <xf numFmtId="41" fontId="18" fillId="2" borderId="0" xfId="0" applyNumberFormat="1" applyFont="1" applyFill="1" applyBorder="1"/>
    <xf numFmtId="44" fontId="12" fillId="2" borderId="0" xfId="7" applyFont="1" applyFill="1" applyBorder="1"/>
    <xf numFmtId="0" fontId="10" fillId="2" borderId="5" xfId="0" applyFont="1" applyFill="1" applyBorder="1"/>
    <xf numFmtId="0" fontId="10" fillId="2" borderId="0" xfId="0" applyFont="1" applyFill="1" applyBorder="1"/>
    <xf numFmtId="41" fontId="13" fillId="2" borderId="0" xfId="0" applyNumberFormat="1" applyFont="1" applyFill="1" applyBorder="1"/>
    <xf numFmtId="44" fontId="10" fillId="2" borderId="6" xfId="7" applyFont="1" applyFill="1" applyBorder="1"/>
    <xf numFmtId="165" fontId="10" fillId="2" borderId="0" xfId="7" applyNumberFormat="1" applyFont="1" applyFill="1" applyBorder="1"/>
    <xf numFmtId="165" fontId="10" fillId="2" borderId="0" xfId="3" applyNumberFormat="1" applyFont="1" applyFill="1" applyBorder="1"/>
    <xf numFmtId="44" fontId="13" fillId="2" borderId="6" xfId="7" applyNumberFormat="1" applyFont="1" applyFill="1" applyBorder="1"/>
    <xf numFmtId="44" fontId="13" fillId="2" borderId="6" xfId="7" applyFont="1" applyFill="1" applyBorder="1"/>
    <xf numFmtId="44" fontId="13" fillId="2" borderId="6" xfId="3" applyFont="1" applyFill="1" applyBorder="1"/>
    <xf numFmtId="44" fontId="9" fillId="2" borderId="11" xfId="7" applyNumberFormat="1" applyFont="1" applyFill="1" applyBorder="1"/>
    <xf numFmtId="44" fontId="9" fillId="2" borderId="11" xfId="7" applyFont="1" applyFill="1" applyBorder="1"/>
    <xf numFmtId="41" fontId="16" fillId="2" borderId="0" xfId="0" applyNumberFormat="1" applyFont="1" applyFill="1" applyBorder="1"/>
    <xf numFmtId="44" fontId="10" fillId="2" borderId="0" xfId="7" applyFont="1" applyFill="1" applyBorder="1"/>
    <xf numFmtId="44" fontId="3" fillId="0" borderId="0" xfId="0" applyNumberFormat="1" applyFont="1"/>
    <xf numFmtId="0" fontId="3" fillId="0" borderId="0" xfId="0" applyFont="1"/>
    <xf numFmtId="0" fontId="10" fillId="2" borderId="6" xfId="0" applyFont="1" applyFill="1" applyBorder="1"/>
    <xf numFmtId="0" fontId="9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41" fontId="10" fillId="2" borderId="0" xfId="0" applyNumberFormat="1" applyFont="1" applyFill="1" applyBorder="1"/>
    <xf numFmtId="44" fontId="12" fillId="2" borderId="0" xfId="3" applyFont="1" applyFill="1" applyBorder="1"/>
    <xf numFmtId="5" fontId="10" fillId="2" borderId="0" xfId="0" applyNumberFormat="1" applyFont="1" applyFill="1" applyBorder="1"/>
    <xf numFmtId="44" fontId="10" fillId="2" borderId="6" xfId="3" applyNumberFormat="1" applyFont="1" applyFill="1" applyBorder="1"/>
    <xf numFmtId="44" fontId="9" fillId="2" borderId="11" xfId="3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0" fillId="2" borderId="9" xfId="0" applyFont="1" applyFill="1" applyBorder="1"/>
    <xf numFmtId="164" fontId="0" fillId="0" borderId="0" xfId="1" applyNumberFormat="1" applyFont="1" applyFill="1"/>
    <xf numFmtId="44" fontId="0" fillId="0" borderId="0" xfId="3" applyFont="1"/>
    <xf numFmtId="10" fontId="17" fillId="0" borderId="0" xfId="4" applyNumberFormat="1" applyFont="1" applyAlignment="1">
      <alignment horizontal="center"/>
    </xf>
    <xf numFmtId="0" fontId="6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10" fontId="26" fillId="0" borderId="0" xfId="4" applyNumberFormat="1" applyFont="1"/>
    <xf numFmtId="44" fontId="27" fillId="0" borderId="0" xfId="3" applyFont="1"/>
    <xf numFmtId="10" fontId="26" fillId="0" borderId="0" xfId="1" applyNumberFormat="1" applyFont="1"/>
    <xf numFmtId="0" fontId="28" fillId="0" borderId="0" xfId="0" applyFont="1" applyFill="1"/>
    <xf numFmtId="0" fontId="29" fillId="0" borderId="0" xfId="0" applyFont="1"/>
    <xf numFmtId="0" fontId="29" fillId="0" borderId="0" xfId="0" applyFont="1" applyBorder="1"/>
    <xf numFmtId="0" fontId="30" fillId="0" borderId="0" xfId="0" applyFont="1" applyBorder="1"/>
    <xf numFmtId="0" fontId="30" fillId="0" borderId="1" xfId="0" applyFont="1" applyBorder="1" applyAlignment="1">
      <alignment horizontal="center"/>
    </xf>
    <xf numFmtId="43" fontId="31" fillId="0" borderId="0" xfId="1" applyFont="1" applyBorder="1" applyAlignment="1" applyProtection="1">
      <alignment horizontal="right"/>
      <protection locked="0"/>
    </xf>
    <xf numFmtId="166" fontId="29" fillId="0" borderId="0" xfId="4" applyNumberFormat="1" applyFont="1" applyBorder="1"/>
    <xf numFmtId="0" fontId="28" fillId="0" borderId="0" xfId="0" applyFont="1" applyBorder="1"/>
    <xf numFmtId="43" fontId="28" fillId="0" borderId="12" xfId="1" applyFont="1" applyBorder="1"/>
    <xf numFmtId="0" fontId="30" fillId="0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30" fillId="2" borderId="1" xfId="0" applyFont="1" applyFill="1" applyBorder="1" applyAlignment="1" applyProtection="1">
      <alignment horizontal="center"/>
    </xf>
    <xf numFmtId="0" fontId="30" fillId="2" borderId="1" xfId="0" applyFont="1" applyFill="1" applyBorder="1" applyAlignment="1">
      <alignment horizontal="center"/>
    </xf>
    <xf numFmtId="17" fontId="30" fillId="0" borderId="0" xfId="0" applyNumberFormat="1" applyFont="1" applyFill="1" applyBorder="1" applyAlignment="1">
      <alignment horizontal="right"/>
    </xf>
    <xf numFmtId="44" fontId="31" fillId="0" borderId="0" xfId="3" applyFont="1" applyFill="1" applyBorder="1" applyProtection="1">
      <protection locked="0"/>
    </xf>
    <xf numFmtId="0" fontId="4" fillId="0" borderId="0" xfId="5" applyFont="1" applyFill="1" applyAlignment="1">
      <alignment horizontal="center"/>
    </xf>
    <xf numFmtId="166" fontId="32" fillId="0" borderId="0" xfId="4" applyNumberFormat="1" applyFont="1"/>
    <xf numFmtId="0" fontId="5" fillId="0" borderId="0" xfId="0" applyFont="1" applyAlignment="1">
      <alignment horizontal="center"/>
    </xf>
    <xf numFmtId="166" fontId="28" fillId="0" borderId="12" xfId="4" applyNumberFormat="1" applyFont="1" applyBorder="1"/>
    <xf numFmtId="0" fontId="0" fillId="0" borderId="0" xfId="0" applyFill="1"/>
    <xf numFmtId="0" fontId="4" fillId="0" borderId="0" xfId="0" applyFont="1" applyFill="1"/>
    <xf numFmtId="0" fontId="3" fillId="0" borderId="0" xfId="0" applyFont="1" applyFill="1"/>
    <xf numFmtId="17" fontId="5" fillId="0" borderId="0" xfId="0" applyNumberFormat="1" applyFont="1"/>
    <xf numFmtId="0" fontId="6" fillId="0" borderId="0" xfId="0" applyFont="1"/>
    <xf numFmtId="164" fontId="7" fillId="0" borderId="0" xfId="1" applyNumberFormat="1" applyFont="1" applyFill="1"/>
    <xf numFmtId="164" fontId="4" fillId="0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164" fontId="21" fillId="0" borderId="0" xfId="0" applyNumberFormat="1" applyFont="1" applyFill="1"/>
    <xf numFmtId="166" fontId="0" fillId="0" borderId="0" xfId="4" applyNumberFormat="1" applyFont="1"/>
    <xf numFmtId="166" fontId="32" fillId="0" borderId="0" xfId="0" applyNumberFormat="1" applyFont="1"/>
    <xf numFmtId="44" fontId="21" fillId="0" borderId="0" xfId="0" applyNumberFormat="1" applyFont="1"/>
    <xf numFmtId="0" fontId="32" fillId="0" borderId="0" xfId="0" applyFont="1"/>
    <xf numFmtId="164" fontId="32" fillId="0" borderId="0" xfId="1" applyNumberFormat="1" applyFont="1"/>
    <xf numFmtId="164" fontId="32" fillId="0" borderId="0" xfId="0" applyNumberFormat="1" applyFont="1"/>
    <xf numFmtId="41" fontId="0" fillId="0" borderId="0" xfId="0" applyNumberFormat="1"/>
    <xf numFmtId="44" fontId="4" fillId="0" borderId="0" xfId="3" applyFont="1"/>
    <xf numFmtId="44" fontId="21" fillId="0" borderId="0" xfId="3" applyFont="1"/>
    <xf numFmtId="10" fontId="0" fillId="0" borderId="0" xfId="4" applyNumberFormat="1" applyFont="1"/>
    <xf numFmtId="10" fontId="31" fillId="0" borderId="0" xfId="4" applyNumberFormat="1" applyFont="1" applyBorder="1" applyAlignment="1">
      <alignment horizontal="right"/>
    </xf>
    <xf numFmtId="43" fontId="31" fillId="0" borderId="0" xfId="1" applyFont="1" applyBorder="1" applyProtection="1">
      <protection locked="0"/>
    </xf>
    <xf numFmtId="0" fontId="28" fillId="0" borderId="0" xfId="0" applyFont="1"/>
    <xf numFmtId="0" fontId="0" fillId="0" borderId="0" xfId="0" applyNumberFormat="1"/>
    <xf numFmtId="43" fontId="34" fillId="0" borderId="0" xfId="0" applyNumberFormat="1" applyFont="1" applyBorder="1"/>
    <xf numFmtId="43" fontId="35" fillId="0" borderId="0" xfId="1" applyFont="1" applyBorder="1" applyAlignment="1" applyProtection="1">
      <alignment horizontal="right"/>
      <protection locked="0"/>
    </xf>
    <xf numFmtId="166" fontId="33" fillId="0" borderId="0" xfId="4" applyNumberFormat="1" applyFont="1" applyBorder="1"/>
    <xf numFmtId="44" fontId="4" fillId="0" borderId="0" xfId="0" applyNumberFormat="1" applyFont="1"/>
    <xf numFmtId="0" fontId="36" fillId="0" borderId="0" xfId="0" applyFont="1"/>
    <xf numFmtId="0" fontId="37" fillId="0" borderId="0" xfId="0" applyFont="1"/>
    <xf numFmtId="44" fontId="38" fillId="0" borderId="0" xfId="3" applyFont="1"/>
    <xf numFmtId="44" fontId="38" fillId="0" borderId="0" xfId="5" applyNumberFormat="1" applyFont="1" applyAlignment="1">
      <alignment horizontal="center"/>
    </xf>
    <xf numFmtId="44" fontId="18" fillId="2" borderId="0" xfId="3" applyFont="1" applyFill="1" applyBorder="1"/>
    <xf numFmtId="165" fontId="18" fillId="2" borderId="0" xfId="3" applyNumberFormat="1" applyFont="1" applyFill="1" applyBorder="1"/>
    <xf numFmtId="165" fontId="13" fillId="2" borderId="0" xfId="3" applyNumberFormat="1" applyFont="1" applyFill="1" applyBorder="1"/>
    <xf numFmtId="165" fontId="39" fillId="2" borderId="0" xfId="3" applyNumberFormat="1" applyFont="1" applyFill="1" applyBorder="1"/>
    <xf numFmtId="0" fontId="18" fillId="2" borderId="5" xfId="0" applyFont="1" applyFill="1" applyBorder="1" applyAlignment="1">
      <alignment horizontal="center"/>
    </xf>
    <xf numFmtId="44" fontId="10" fillId="2" borderId="0" xfId="3" applyFont="1" applyFill="1" applyBorder="1"/>
    <xf numFmtId="17" fontId="30" fillId="2" borderId="0" xfId="0" applyNumberFormat="1" applyFont="1" applyFill="1" applyBorder="1" applyAlignment="1">
      <alignment horizontal="center"/>
    </xf>
    <xf numFmtId="0" fontId="33" fillId="0" borderId="0" xfId="0" applyFont="1"/>
    <xf numFmtId="43" fontId="29" fillId="0" borderId="0" xfId="1" applyFont="1"/>
    <xf numFmtId="43" fontId="28" fillId="0" borderId="0" xfId="0" applyNumberFormat="1" applyFont="1"/>
    <xf numFmtId="9" fontId="16" fillId="2" borderId="0" xfId="4" applyFont="1" applyFill="1" applyBorder="1"/>
    <xf numFmtId="0" fontId="42" fillId="0" borderId="0" xfId="0" applyFont="1" applyBorder="1"/>
    <xf numFmtId="0" fontId="0" fillId="0" borderId="0" xfId="0" applyBorder="1"/>
    <xf numFmtId="0" fontId="43" fillId="0" borderId="0" xfId="0" quotePrefix="1" applyFont="1" applyAlignment="1">
      <alignment wrapText="1"/>
    </xf>
    <xf numFmtId="0" fontId="44" fillId="0" borderId="0" xfId="0" applyFont="1" applyAlignment="1">
      <alignment horizontal="right" wrapText="1"/>
    </xf>
    <xf numFmtId="0" fontId="45" fillId="0" borderId="0" xfId="0" applyFont="1" applyAlignment="1">
      <alignment horizontal="center" wrapText="1"/>
    </xf>
    <xf numFmtId="0" fontId="44" fillId="0" borderId="0" xfId="0" applyFont="1" applyAlignment="1">
      <alignment wrapText="1"/>
    </xf>
    <xf numFmtId="44" fontId="46" fillId="0" borderId="0" xfId="3" applyFont="1" applyAlignment="1">
      <alignment horizontal="center"/>
    </xf>
    <xf numFmtId="44" fontId="47" fillId="0" borderId="0" xfId="3" applyFont="1" applyAlignment="1">
      <alignment horizontal="center"/>
    </xf>
    <xf numFmtId="0" fontId="48" fillId="0" borderId="0" xfId="0" applyFont="1" applyBorder="1"/>
    <xf numFmtId="0" fontId="49" fillId="0" borderId="0" xfId="0" applyFont="1" applyBorder="1" applyAlignment="1">
      <alignment horizontal="center"/>
    </xf>
    <xf numFmtId="164" fontId="50" fillId="0" borderId="0" xfId="0" applyNumberFormat="1" applyFont="1" applyBorder="1" applyAlignment="1">
      <alignment horizontal="center"/>
    </xf>
    <xf numFmtId="166" fontId="51" fillId="0" borderId="0" xfId="4" applyNumberFormat="1" applyFont="1" applyAlignment="1"/>
    <xf numFmtId="0" fontId="41" fillId="0" borderId="0" xfId="0" applyFont="1" applyFill="1" applyBorder="1"/>
    <xf numFmtId="164" fontId="50" fillId="0" borderId="0" xfId="0" applyNumberFormat="1" applyFont="1" applyBorder="1" applyAlignment="1"/>
    <xf numFmtId="0" fontId="0" fillId="0" borderId="0" xfId="0" applyFill="1" applyBorder="1"/>
    <xf numFmtId="0" fontId="52" fillId="0" borderId="0" xfId="0" applyFont="1" applyBorder="1"/>
    <xf numFmtId="0" fontId="41" fillId="0" borderId="0" xfId="0" applyFont="1" applyAlignment="1">
      <alignment wrapText="1"/>
    </xf>
    <xf numFmtId="0" fontId="53" fillId="0" borderId="0" xfId="0" applyFont="1" applyAlignment="1">
      <alignment horizontal="right" wrapText="1"/>
    </xf>
    <xf numFmtId="165" fontId="50" fillId="0" borderId="0" xfId="0" applyNumberFormat="1" applyFont="1" applyAlignment="1">
      <alignment horizontal="right"/>
    </xf>
    <xf numFmtId="0" fontId="54" fillId="0" borderId="0" xfId="0" applyFont="1" applyAlignment="1">
      <alignment horizontal="right"/>
    </xf>
    <xf numFmtId="166" fontId="44" fillId="0" borderId="0" xfId="4" applyNumberFormat="1" applyFont="1" applyAlignment="1">
      <alignment horizontal="center" wrapText="1"/>
    </xf>
    <xf numFmtId="165" fontId="55" fillId="0" borderId="0" xfId="3" applyNumberFormat="1" applyFont="1" applyAlignment="1">
      <alignment horizontal="right"/>
    </xf>
    <xf numFmtId="0" fontId="56" fillId="0" borderId="0" xfId="0" applyFont="1" applyBorder="1"/>
    <xf numFmtId="0" fontId="57" fillId="0" borderId="0" xfId="0" applyFont="1" applyAlignment="1">
      <alignment wrapText="1"/>
    </xf>
    <xf numFmtId="165" fontId="58" fillId="0" borderId="0" xfId="3" applyNumberFormat="1" applyFont="1" applyAlignment="1">
      <alignment horizontal="right"/>
    </xf>
    <xf numFmtId="0" fontId="57" fillId="0" borderId="0" xfId="0" applyFont="1" applyAlignment="1">
      <alignment horizontal="right" wrapText="1"/>
    </xf>
    <xf numFmtId="165" fontId="59" fillId="0" borderId="0" xfId="3" applyNumberFormat="1" applyFont="1" applyAlignment="1">
      <alignment horizontal="right"/>
    </xf>
    <xf numFmtId="0" fontId="48" fillId="0" borderId="0" xfId="0" applyFont="1" applyBorder="1" applyAlignment="1"/>
    <xf numFmtId="0" fontId="0" fillId="0" borderId="0" xfId="0" applyBorder="1" applyAlignment="1"/>
    <xf numFmtId="0" fontId="53" fillId="0" borderId="0" xfId="0" applyFont="1" applyAlignment="1">
      <alignment wrapText="1"/>
    </xf>
    <xf numFmtId="0" fontId="40" fillId="0" borderId="0" xfId="0" applyFont="1" applyAlignment="1">
      <alignment horizontal="right" wrapText="1"/>
    </xf>
    <xf numFmtId="165" fontId="54" fillId="0" borderId="0" xfId="3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44" fillId="0" borderId="0" xfId="0" applyFont="1" applyBorder="1" applyAlignment="1">
      <alignment horizontal="right" wrapText="1"/>
    </xf>
    <xf numFmtId="165" fontId="60" fillId="0" borderId="0" xfId="3" applyNumberFormat="1" applyFont="1" applyAlignment="1">
      <alignment horizontal="right"/>
    </xf>
    <xf numFmtId="165" fontId="47" fillId="0" borderId="0" xfId="3" applyNumberFormat="1" applyFont="1" applyAlignment="1">
      <alignment horizontal="right"/>
    </xf>
    <xf numFmtId="6" fontId="57" fillId="0" borderId="0" xfId="3" applyNumberFormat="1" applyFont="1" applyAlignment="1">
      <alignment horizontal="right" wrapText="1"/>
    </xf>
    <xf numFmtId="6" fontId="46" fillId="0" borderId="0" xfId="3" applyNumberFormat="1" applyFont="1" applyAlignment="1">
      <alignment horizontal="right"/>
    </xf>
    <xf numFmtId="165" fontId="61" fillId="0" borderId="0" xfId="3" applyNumberFormat="1" applyFont="1" applyAlignment="1">
      <alignment horizontal="right"/>
    </xf>
    <xf numFmtId="6" fontId="44" fillId="0" borderId="0" xfId="3" applyNumberFormat="1" applyFont="1" applyAlignment="1">
      <alignment horizontal="right" wrapText="1"/>
    </xf>
    <xf numFmtId="6" fontId="57" fillId="0" borderId="0" xfId="3" applyNumberFormat="1" applyFont="1" applyAlignment="1">
      <alignment horizontal="center" wrapText="1"/>
    </xf>
    <xf numFmtId="166" fontId="61" fillId="0" borderId="0" xfId="4" applyNumberFormat="1" applyFont="1" applyAlignment="1">
      <alignment horizontal="center"/>
    </xf>
    <xf numFmtId="43" fontId="61" fillId="0" borderId="0" xfId="1" applyFont="1" applyAlignment="1">
      <alignment horizontal="center"/>
    </xf>
    <xf numFmtId="44" fontId="61" fillId="0" borderId="0" xfId="3" applyFont="1" applyAlignment="1">
      <alignment horizontal="center"/>
    </xf>
    <xf numFmtId="0" fontId="0" fillId="0" borderId="0" xfId="0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horizontal="right" wrapText="1"/>
    </xf>
    <xf numFmtId="0" fontId="0" fillId="4" borderId="4" xfId="0" applyFill="1" applyBorder="1" applyAlignment="1">
      <alignment horizontal="right" wrapText="1"/>
    </xf>
    <xf numFmtId="0" fontId="48" fillId="4" borderId="5" xfId="0" applyFont="1" applyFill="1" applyBorder="1" applyAlignment="1">
      <alignment wrapText="1"/>
    </xf>
    <xf numFmtId="0" fontId="48" fillId="4" borderId="0" xfId="0" applyFont="1" applyFill="1" applyBorder="1" applyAlignment="1">
      <alignment horizontal="center" wrapText="1"/>
    </xf>
    <xf numFmtId="0" fontId="48" fillId="4" borderId="0" xfId="0" applyFont="1" applyFill="1" applyBorder="1"/>
    <xf numFmtId="0" fontId="48" fillId="4" borderId="6" xfId="0" applyFont="1" applyFill="1" applyBorder="1" applyAlignment="1">
      <alignment horizontal="center"/>
    </xf>
    <xf numFmtId="0" fontId="0" fillId="4" borderId="5" xfId="0" applyFill="1" applyBorder="1" applyAlignment="1">
      <alignment wrapText="1"/>
    </xf>
    <xf numFmtId="164" fontId="1" fillId="4" borderId="0" xfId="1" applyNumberFormat="1" applyFont="1" applyFill="1" applyBorder="1" applyAlignment="1">
      <alignment horizontal="center" wrapText="1"/>
    </xf>
    <xf numFmtId="165" fontId="1" fillId="4" borderId="0" xfId="3" applyNumberFormat="1" applyFont="1" applyFill="1" applyBorder="1"/>
    <xf numFmtId="165" fontId="1" fillId="4" borderId="6" xfId="3" applyNumberFormat="1" applyFont="1" applyFill="1" applyBorder="1"/>
    <xf numFmtId="0" fontId="3" fillId="4" borderId="5" xfId="0" applyFont="1" applyFill="1" applyBorder="1" applyAlignment="1">
      <alignment wrapText="1"/>
    </xf>
    <xf numFmtId="164" fontId="62" fillId="4" borderId="0" xfId="1" applyNumberFormat="1" applyFont="1" applyFill="1" applyBorder="1" applyAlignment="1">
      <alignment horizontal="center" wrapText="1"/>
    </xf>
    <xf numFmtId="165" fontId="62" fillId="4" borderId="6" xfId="3" applyNumberFormat="1" applyFont="1" applyFill="1" applyBorder="1"/>
    <xf numFmtId="0" fontId="57" fillId="4" borderId="5" xfId="0" applyFont="1" applyFill="1" applyBorder="1" applyAlignment="1">
      <alignment wrapText="1"/>
    </xf>
    <xf numFmtId="164" fontId="63" fillId="4" borderId="0" xfId="1" applyNumberFormat="1" applyFont="1" applyFill="1" applyBorder="1" applyAlignment="1">
      <alignment horizontal="center" wrapText="1"/>
    </xf>
    <xf numFmtId="165" fontId="64" fillId="4" borderId="6" xfId="3" applyNumberFormat="1" applyFont="1" applyFill="1" applyBorder="1"/>
    <xf numFmtId="0" fontId="0" fillId="4" borderId="7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8" xfId="0" applyFill="1" applyBorder="1" applyAlignment="1">
      <alignment horizontal="right" wrapText="1"/>
    </xf>
    <xf numFmtId="0" fontId="0" fillId="4" borderId="9" xfId="0" applyFill="1" applyBorder="1" applyAlignment="1">
      <alignment horizontal="right" wrapText="1"/>
    </xf>
    <xf numFmtId="43" fontId="3" fillId="0" borderId="0" xfId="0" applyNumberFormat="1" applyFont="1"/>
    <xf numFmtId="166" fontId="3" fillId="0" borderId="0" xfId="4" applyNumberFormat="1" applyFont="1"/>
    <xf numFmtId="164" fontId="3" fillId="0" borderId="0" xfId="1" applyNumberFormat="1" applyFont="1" applyFill="1"/>
    <xf numFmtId="0" fontId="11" fillId="2" borderId="0" xfId="0" applyFont="1" applyFill="1" applyBorder="1"/>
    <xf numFmtId="10" fontId="3" fillId="0" borderId="0" xfId="0" applyNumberFormat="1" applyFont="1"/>
    <xf numFmtId="43" fontId="33" fillId="0" borderId="0" xfId="1" applyFont="1"/>
    <xf numFmtId="43" fontId="66" fillId="0" borderId="0" xfId="0" applyNumberFormat="1" applyFont="1"/>
    <xf numFmtId="166" fontId="6" fillId="0" borderId="0" xfId="4" applyNumberFormat="1" applyFont="1"/>
    <xf numFmtId="43" fontId="6" fillId="0" borderId="0" xfId="0" applyNumberFormat="1" applyFont="1"/>
    <xf numFmtId="44" fontId="9" fillId="2" borderId="6" xfId="7" applyNumberFormat="1" applyFont="1" applyFill="1" applyBorder="1"/>
    <xf numFmtId="41" fontId="39" fillId="2" borderId="0" xfId="0" applyNumberFormat="1" applyFont="1" applyFill="1" applyBorder="1"/>
    <xf numFmtId="0" fontId="11" fillId="2" borderId="5" xfId="0" applyFont="1" applyFill="1" applyBorder="1"/>
    <xf numFmtId="44" fontId="65" fillId="2" borderId="6" xfId="7" applyNumberFormat="1" applyFont="1" applyFill="1" applyBorder="1"/>
    <xf numFmtId="44" fontId="67" fillId="2" borderId="6" xfId="7" applyNumberFormat="1" applyFont="1" applyFill="1" applyBorder="1"/>
    <xf numFmtId="44" fontId="28" fillId="0" borderId="0" xfId="0" applyNumberFormat="1" applyFont="1" applyBorder="1"/>
    <xf numFmtId="164" fontId="0" fillId="0" borderId="0" xfId="1" applyNumberFormat="1" applyFont="1"/>
    <xf numFmtId="164" fontId="7" fillId="0" borderId="0" xfId="1" applyNumberFormat="1" applyFont="1"/>
    <xf numFmtId="164" fontId="8" fillId="0" borderId="0" xfId="1" applyNumberFormat="1" applyFont="1"/>
    <xf numFmtId="164" fontId="13" fillId="2" borderId="0" xfId="1" applyNumberFormat="1" applyFont="1" applyFill="1" applyBorder="1"/>
    <xf numFmtId="0" fontId="41" fillId="0" borderId="0" xfId="0" applyFont="1" applyBorder="1" applyAlignment="1">
      <alignment wrapText="1"/>
    </xf>
    <xf numFmtId="9" fontId="44" fillId="0" borderId="0" xfId="4" applyFont="1" applyAlignment="1">
      <alignment horizontal="center" wrapText="1"/>
    </xf>
    <xf numFmtId="165" fontId="49" fillId="0" borderId="0" xfId="3" applyNumberFormat="1" applyFont="1" applyBorder="1" applyAlignment="1">
      <alignment horizontal="center"/>
    </xf>
    <xf numFmtId="165" fontId="50" fillId="0" borderId="0" xfId="4" applyNumberFormat="1" applyFont="1" applyBorder="1" applyAlignment="1">
      <alignment horizontal="center"/>
    </xf>
    <xf numFmtId="165" fontId="0" fillId="0" borderId="0" xfId="0" applyNumberFormat="1"/>
    <xf numFmtId="9" fontId="0" fillId="0" borderId="0" xfId="4" applyFont="1"/>
    <xf numFmtId="0" fontId="20" fillId="2" borderId="5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4" fillId="0" borderId="1" xfId="5" applyFont="1" applyBorder="1" applyAlignment="1">
      <alignment horizontal="center"/>
    </xf>
    <xf numFmtId="17" fontId="30" fillId="2" borderId="0" xfId="0" applyNumberFormat="1" applyFont="1" applyFill="1" applyBorder="1" applyAlignment="1">
      <alignment horizontal="center"/>
    </xf>
  </cellXfs>
  <cellStyles count="17">
    <cellStyle name="Comma" xfId="1" builtinId="3"/>
    <cellStyle name="Comma 10" xfId="15"/>
    <cellStyle name="Comma 3" xfId="2"/>
    <cellStyle name="Currency" xfId="3" builtinId="4"/>
    <cellStyle name="Currency 2" xfId="7"/>
    <cellStyle name="Normal" xfId="0" builtinId="0"/>
    <cellStyle name="Normal 21" xfId="14"/>
    <cellStyle name="Normal 3" xfId="5"/>
    <cellStyle name="Percent" xfId="4" builtinId="5"/>
    <cellStyle name="Percent 13" xfId="16"/>
    <cellStyle name="Percent 4" xfId="6"/>
    <cellStyle name="PSChar" xfId="8"/>
    <cellStyle name="PSDate" xfId="9"/>
    <cellStyle name="PSDec" xfId="10"/>
    <cellStyle name="PSHeading" xfId="11"/>
    <cellStyle name="PSInt" xfId="12"/>
    <cellStyle name="PSSpacer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11</xdr:row>
      <xdr:rowOff>133350</xdr:rowOff>
    </xdr:from>
    <xdr:to>
      <xdr:col>2</xdr:col>
      <xdr:colOff>409575</xdr:colOff>
      <xdr:row>21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209675" y="40957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2</xdr:row>
      <xdr:rowOff>133350</xdr:rowOff>
    </xdr:from>
    <xdr:to>
      <xdr:col>2</xdr:col>
      <xdr:colOff>409575</xdr:colOff>
      <xdr:row>13</xdr:row>
      <xdr:rowOff>85725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209675" y="27241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104775</xdr:rowOff>
    </xdr:from>
    <xdr:to>
      <xdr:col>2</xdr:col>
      <xdr:colOff>409575</xdr:colOff>
      <xdr:row>21</xdr:row>
      <xdr:rowOff>123825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181100" y="1933575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2</xdr:row>
      <xdr:rowOff>133350</xdr:rowOff>
    </xdr:from>
    <xdr:to>
      <xdr:col>2</xdr:col>
      <xdr:colOff>409575</xdr:colOff>
      <xdr:row>13</xdr:row>
      <xdr:rowOff>85725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1209675" y="27241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8</xdr:col>
      <xdr:colOff>647700</xdr:colOff>
      <xdr:row>9</xdr:row>
      <xdr:rowOff>123825</xdr:rowOff>
    </xdr:from>
    <xdr:to>
      <xdr:col>9</xdr:col>
      <xdr:colOff>457200</xdr:colOff>
      <xdr:row>20</xdr:row>
      <xdr:rowOff>76200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8124825" y="1495425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mgmt-my.sharepoint.com/Users/mweinst/OneDrive%20-%20Waste%20Management/Documents/WUTC%20Rate%20Cases/WM%20Spokane/Commodity%20Credit/2017/WM%20of%20Spokane%20Commodity%20Credit%20Analysis_0801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bate Calculation"/>
      <sheetName val="Tons &amp; Revenue"/>
      <sheetName val="Composition"/>
      <sheetName val="Prices"/>
      <sheetName val="Res'l &amp; MF Customers"/>
      <sheetName val="Sheet1"/>
    </sheetNames>
    <sheetDataSet>
      <sheetData sheetId="0"/>
      <sheetData sheetId="1">
        <row r="9">
          <cell r="C9">
            <v>1172.8299999999997</v>
          </cell>
        </row>
        <row r="141">
          <cell r="C141">
            <v>103.2692617038372</v>
          </cell>
          <cell r="D141">
            <v>53.207795055128827</v>
          </cell>
          <cell r="E141">
            <v>137.63136791044892</v>
          </cell>
          <cell r="F141">
            <v>1206.1803886084779</v>
          </cell>
          <cell r="G141">
            <v>108.19721580275454</v>
          </cell>
          <cell r="H141">
            <v>-53.339999999999996</v>
          </cell>
          <cell r="I141">
            <v>157.59766151380219</v>
          </cell>
          <cell r="J141">
            <v>574.66797754719494</v>
          </cell>
          <cell r="K141">
            <v>395.08028469955417</v>
          </cell>
          <cell r="L141">
            <v>-62.003141906945714</v>
          </cell>
          <cell r="M141">
            <v>109.06892608540637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5"/>
  <sheetViews>
    <sheetView zoomScale="80" zoomScaleNormal="80" workbookViewId="0">
      <selection activeCell="H17" sqref="H17"/>
    </sheetView>
  </sheetViews>
  <sheetFormatPr defaultRowHeight="12.75" x14ac:dyDescent="0.2"/>
  <cols>
    <col min="1" max="1" width="73.140625" bestFit="1" customWidth="1"/>
    <col min="3" max="3" width="13.42578125" bestFit="1" customWidth="1"/>
    <col min="5" max="5" width="14.28515625" bestFit="1" customWidth="1"/>
    <col min="6" max="6" width="15.5703125" bestFit="1" customWidth="1"/>
    <col min="7" max="7" width="9.140625" bestFit="1" customWidth="1"/>
    <col min="8" max="8" width="30.42578125" customWidth="1"/>
    <col min="9" max="9" width="8.42578125" bestFit="1" customWidth="1"/>
    <col min="10" max="10" width="63.42578125" customWidth="1"/>
    <col min="11" max="11" width="2.42578125" customWidth="1"/>
    <col min="12" max="12" width="13.42578125" bestFit="1" customWidth="1"/>
    <col min="13" max="13" width="13.42578125" customWidth="1"/>
    <col min="14" max="14" width="14" bestFit="1" customWidth="1"/>
    <col min="15" max="15" width="14.28515625" bestFit="1" customWidth="1"/>
    <col min="16" max="16" width="8.42578125" bestFit="1" customWidth="1"/>
    <col min="17" max="17" width="63.42578125" customWidth="1"/>
    <col min="18" max="18" width="3.28515625" customWidth="1"/>
    <col min="19" max="19" width="13.42578125" bestFit="1" customWidth="1"/>
    <col min="20" max="20" width="13.42578125" customWidth="1"/>
    <col min="21" max="21" width="14" bestFit="1" customWidth="1"/>
    <col min="22" max="22" width="12.28515625" bestFit="1" customWidth="1"/>
    <col min="23" max="23" width="11.5703125" bestFit="1" customWidth="1"/>
  </cols>
  <sheetData>
    <row r="1" spans="1:7" ht="23.25" x14ac:dyDescent="0.35">
      <c r="A1" s="31" t="s">
        <v>63</v>
      </c>
      <c r="B1" s="32"/>
      <c r="C1" s="33"/>
      <c r="D1" s="33"/>
      <c r="E1" s="33"/>
      <c r="F1" s="33"/>
      <c r="G1" s="34"/>
    </row>
    <row r="2" spans="1:7" ht="15.75" x14ac:dyDescent="0.25">
      <c r="A2" s="35" t="s">
        <v>112</v>
      </c>
      <c r="B2" s="36"/>
      <c r="C2" s="37"/>
      <c r="D2" s="37"/>
      <c r="E2" s="38"/>
      <c r="F2" s="38"/>
      <c r="G2" s="39"/>
    </row>
    <row r="3" spans="1:7" ht="15.75" x14ac:dyDescent="0.25">
      <c r="A3" s="40"/>
      <c r="B3" s="41"/>
      <c r="C3" s="38"/>
      <c r="D3" s="38"/>
      <c r="E3" s="38"/>
      <c r="F3" s="38"/>
      <c r="G3" s="39"/>
    </row>
    <row r="4" spans="1:7" ht="15" x14ac:dyDescent="0.2">
      <c r="A4" s="238" t="s">
        <v>26</v>
      </c>
      <c r="B4" s="239"/>
      <c r="C4" s="239"/>
      <c r="D4" s="239"/>
      <c r="E4" s="239"/>
      <c r="F4" s="239"/>
      <c r="G4" s="240"/>
    </row>
    <row r="5" spans="1:7" ht="15" x14ac:dyDescent="0.2">
      <c r="A5" s="42"/>
      <c r="B5" s="38"/>
      <c r="C5" s="38"/>
      <c r="D5" s="38"/>
      <c r="E5" s="38"/>
      <c r="F5" s="38"/>
      <c r="G5" s="39"/>
    </row>
    <row r="6" spans="1:7" ht="15.75" x14ac:dyDescent="0.25">
      <c r="A6" s="42"/>
      <c r="B6" s="38"/>
      <c r="C6" s="43"/>
      <c r="D6" s="43"/>
      <c r="E6" s="43" t="s">
        <v>18</v>
      </c>
      <c r="F6" s="43" t="s">
        <v>3</v>
      </c>
      <c r="G6" s="39"/>
    </row>
    <row r="7" spans="1:7" ht="15.75" x14ac:dyDescent="0.25">
      <c r="A7" s="42"/>
      <c r="B7" s="38"/>
      <c r="C7" s="44" t="s">
        <v>5</v>
      </c>
      <c r="D7" s="44"/>
      <c r="E7" s="44" t="s">
        <v>27</v>
      </c>
      <c r="F7" s="44" t="s">
        <v>6</v>
      </c>
      <c r="G7" s="39"/>
    </row>
    <row r="8" spans="1:7" ht="15.75" x14ac:dyDescent="0.25">
      <c r="A8" s="45" t="s">
        <v>104</v>
      </c>
      <c r="B8" s="36"/>
      <c r="C8" s="46"/>
      <c r="D8" s="46"/>
      <c r="E8" s="46"/>
      <c r="F8" s="46"/>
      <c r="G8" s="39"/>
    </row>
    <row r="9" spans="1:7" ht="15.75" x14ac:dyDescent="0.25">
      <c r="A9" s="42" t="s">
        <v>64</v>
      </c>
      <c r="B9" s="38"/>
      <c r="C9" s="47">
        <f>+'Res''l &amp; MF Customers'!C12+'Res''l &amp; MF Customers'!D12</f>
        <v>44693</v>
      </c>
      <c r="D9" s="47"/>
      <c r="E9" s="48">
        <f>+E71</f>
        <v>1.71</v>
      </c>
      <c r="F9" s="136">
        <f>C9*E9</f>
        <v>76425.03</v>
      </c>
      <c r="G9" s="39"/>
    </row>
    <row r="10" spans="1:7" ht="17.25" x14ac:dyDescent="0.35">
      <c r="A10" s="49" t="s">
        <v>65</v>
      </c>
      <c r="B10" s="50"/>
      <c r="C10" s="51">
        <f>SUM('Res''l &amp; MF Customers'!E12:N12)</f>
        <v>225967</v>
      </c>
      <c r="D10" s="51"/>
      <c r="E10" s="48">
        <f>+G88</f>
        <v>2.23</v>
      </c>
      <c r="F10" s="137">
        <f>C10*E10</f>
        <v>503906.41</v>
      </c>
      <c r="G10" s="39"/>
    </row>
    <row r="11" spans="1:7" ht="17.25" x14ac:dyDescent="0.35">
      <c r="A11" s="42" t="s">
        <v>3</v>
      </c>
      <c r="B11" s="38"/>
      <c r="C11" s="47">
        <f>SUM(C9:C10)</f>
        <v>270660</v>
      </c>
      <c r="D11" s="51"/>
      <c r="E11" s="38"/>
      <c r="F11" s="136">
        <f>SUM(F9:F10)</f>
        <v>580331.43999999994</v>
      </c>
      <c r="G11" s="39"/>
    </row>
    <row r="12" spans="1:7" ht="15" x14ac:dyDescent="0.2">
      <c r="A12" s="42"/>
      <c r="B12" s="38"/>
      <c r="C12" s="38"/>
      <c r="D12" s="38"/>
      <c r="E12" s="38"/>
      <c r="F12" s="38"/>
      <c r="G12" s="39"/>
    </row>
    <row r="13" spans="1:7" ht="15.75" x14ac:dyDescent="0.25">
      <c r="A13" s="35" t="s">
        <v>28</v>
      </c>
      <c r="B13" s="38"/>
      <c r="C13" s="38"/>
      <c r="D13" s="38"/>
      <c r="E13" s="38"/>
      <c r="F13" s="136">
        <f>+'Tons &amp; Revenue'!M139</f>
        <v>519430.42617697746</v>
      </c>
      <c r="G13" s="39"/>
    </row>
    <row r="14" spans="1:7" ht="15" x14ac:dyDescent="0.2">
      <c r="A14" s="42"/>
      <c r="B14" s="38"/>
      <c r="C14" s="38"/>
      <c r="D14" s="38"/>
      <c r="E14" s="38"/>
      <c r="F14" s="136"/>
      <c r="G14" s="39"/>
    </row>
    <row r="15" spans="1:7" ht="15" x14ac:dyDescent="0.2">
      <c r="A15" s="42" t="s">
        <v>29</v>
      </c>
      <c r="B15" s="38"/>
      <c r="C15" s="38"/>
      <c r="D15" s="38"/>
      <c r="E15" s="38"/>
      <c r="F15" s="47">
        <f>F13-F11</f>
        <v>-60901.013823022484</v>
      </c>
      <c r="G15" s="39"/>
    </row>
    <row r="16" spans="1:7" ht="17.25" x14ac:dyDescent="0.35">
      <c r="A16" s="42"/>
      <c r="B16" s="38"/>
      <c r="C16" s="135"/>
      <c r="D16" s="38"/>
      <c r="E16" s="38"/>
      <c r="F16" s="138"/>
      <c r="G16" s="39"/>
    </row>
    <row r="17" spans="1:8" ht="15" x14ac:dyDescent="0.2">
      <c r="A17" s="42" t="s">
        <v>30</v>
      </c>
      <c r="B17" s="38"/>
      <c r="C17" s="38"/>
      <c r="D17" s="38"/>
      <c r="E17" s="38"/>
      <c r="F17" s="47">
        <f>+C11</f>
        <v>270660</v>
      </c>
      <c r="G17" s="39"/>
    </row>
    <row r="18" spans="1:8" ht="15" x14ac:dyDescent="0.2">
      <c r="A18" s="42"/>
      <c r="B18" s="38"/>
      <c r="C18" s="38"/>
      <c r="D18" s="38"/>
      <c r="E18" s="38"/>
      <c r="F18" s="38"/>
      <c r="G18" s="39"/>
    </row>
    <row r="19" spans="1:8" ht="15" x14ac:dyDescent="0.2">
      <c r="A19" s="42" t="s">
        <v>31</v>
      </c>
      <c r="B19" s="38"/>
      <c r="C19" s="38"/>
      <c r="D19" s="38"/>
      <c r="E19" s="38"/>
      <c r="F19" s="61"/>
      <c r="G19" s="52">
        <f>ROUND(F15/F17,2)</f>
        <v>-0.23</v>
      </c>
    </row>
    <row r="20" spans="1:8" ht="15" x14ac:dyDescent="0.2">
      <c r="A20" s="42"/>
      <c r="B20" s="38"/>
      <c r="C20" s="38"/>
      <c r="D20" s="38"/>
      <c r="E20" s="38"/>
      <c r="F20" s="38"/>
      <c r="G20" s="52"/>
    </row>
    <row r="21" spans="1:8" ht="15" x14ac:dyDescent="0.2">
      <c r="A21" s="42"/>
      <c r="B21" s="38"/>
      <c r="C21" s="38"/>
      <c r="D21" s="38"/>
      <c r="E21" s="38"/>
      <c r="F21" s="38"/>
      <c r="G21" s="52"/>
    </row>
    <row r="22" spans="1:8" ht="15" x14ac:dyDescent="0.2">
      <c r="A22" s="42"/>
      <c r="B22" s="38"/>
      <c r="C22" s="38"/>
      <c r="D22" s="38"/>
      <c r="E22" s="38"/>
      <c r="F22" s="38"/>
      <c r="G22" s="52"/>
    </row>
    <row r="23" spans="1:8" ht="15.75" x14ac:dyDescent="0.25">
      <c r="A23" s="224" t="s">
        <v>139</v>
      </c>
      <c r="B23" s="36"/>
      <c r="C23" s="38"/>
      <c r="D23" s="38"/>
      <c r="E23" s="38"/>
      <c r="F23" s="53">
        <f>ROUND(+'Tons &amp; Revenue'!O139/5*12,-2)</f>
        <v>442300</v>
      </c>
      <c r="G23" s="52"/>
    </row>
    <row r="24" spans="1:8" ht="17.25" x14ac:dyDescent="0.35">
      <c r="A24" s="42" t="s">
        <v>30</v>
      </c>
      <c r="B24" s="38"/>
      <c r="C24" s="38"/>
      <c r="D24" s="38"/>
      <c r="E24" s="38"/>
      <c r="F24" s="223">
        <f>+C11</f>
        <v>270660</v>
      </c>
      <c r="G24" s="52"/>
    </row>
    <row r="25" spans="1:8" ht="17.25" x14ac:dyDescent="0.35">
      <c r="A25" s="42" t="s">
        <v>113</v>
      </c>
      <c r="B25" s="38"/>
      <c r="C25" s="38"/>
      <c r="D25" s="38"/>
      <c r="E25" s="38"/>
      <c r="F25" s="38"/>
      <c r="G25" s="55">
        <f>ROUND(+F23/F24,2)</f>
        <v>1.63</v>
      </c>
    </row>
    <row r="26" spans="1:8" ht="15" x14ac:dyDescent="0.2">
      <c r="A26" s="42"/>
      <c r="B26" s="38"/>
      <c r="C26" s="38"/>
      <c r="D26" s="38"/>
      <c r="E26" s="38"/>
      <c r="F26" s="38"/>
      <c r="G26" s="52"/>
    </row>
    <row r="27" spans="1:8" ht="15.75" x14ac:dyDescent="0.25">
      <c r="A27" s="35" t="s">
        <v>33</v>
      </c>
      <c r="B27" s="36"/>
      <c r="C27" s="38"/>
      <c r="D27" s="38"/>
      <c r="E27" s="38"/>
      <c r="F27" s="38"/>
      <c r="G27" s="222">
        <f>SUM(G19:G25)</f>
        <v>1.4</v>
      </c>
      <c r="H27" s="237">
        <f>+G27/G91</f>
        <v>0.52830188679245282</v>
      </c>
    </row>
    <row r="28" spans="1:8" ht="15.75" x14ac:dyDescent="0.25">
      <c r="A28" s="35"/>
      <c r="B28" s="36"/>
      <c r="C28" s="38"/>
      <c r="D28" s="38"/>
      <c r="E28" s="38"/>
      <c r="F28" s="38"/>
      <c r="G28" s="222"/>
    </row>
    <row r="29" spans="1:8" ht="20.25" x14ac:dyDescent="0.55000000000000004">
      <c r="A29" s="49" t="s">
        <v>146</v>
      </c>
      <c r="B29" s="38"/>
      <c r="C29" s="38"/>
      <c r="D29" s="38"/>
      <c r="E29" s="145">
        <v>0.5</v>
      </c>
      <c r="F29" s="38"/>
      <c r="G29" s="225">
        <f>-G27*E29</f>
        <v>-0.7</v>
      </c>
      <c r="H29" s="119"/>
    </row>
    <row r="30" spans="1:8" ht="20.25" x14ac:dyDescent="0.55000000000000004">
      <c r="A30" s="49"/>
      <c r="B30" s="38"/>
      <c r="C30" s="38"/>
      <c r="D30" s="38"/>
      <c r="E30" s="145"/>
      <c r="F30" s="38"/>
      <c r="G30" s="225"/>
      <c r="H30" s="119"/>
    </row>
    <row r="31" spans="1:8" ht="18" x14ac:dyDescent="0.4">
      <c r="A31" s="35" t="s">
        <v>140</v>
      </c>
      <c r="B31" s="38"/>
      <c r="C31" s="38"/>
      <c r="D31" s="38"/>
      <c r="E31" s="145"/>
      <c r="F31" s="38"/>
      <c r="G31" s="226">
        <f>+G27+G29</f>
        <v>0.7</v>
      </c>
      <c r="H31" s="237">
        <f>+G31/G91</f>
        <v>0.26415094339622641</v>
      </c>
    </row>
    <row r="32" spans="1:8" ht="13.5" thickBot="1" x14ac:dyDescent="0.25">
      <c r="A32" s="19"/>
      <c r="B32" s="20"/>
      <c r="C32" s="20"/>
      <c r="D32" s="20"/>
      <c r="E32" s="20"/>
      <c r="F32" s="20"/>
      <c r="G32" s="21"/>
    </row>
    <row r="33" spans="1:7" ht="15" x14ac:dyDescent="0.2">
      <c r="A33" s="238" t="s">
        <v>34</v>
      </c>
      <c r="B33" s="239"/>
      <c r="C33" s="239"/>
      <c r="D33" s="239"/>
      <c r="E33" s="239"/>
      <c r="F33" s="239"/>
      <c r="G33" s="240"/>
    </row>
    <row r="34" spans="1:7" ht="15" x14ac:dyDescent="0.2">
      <c r="A34" s="49"/>
      <c r="B34" s="50"/>
      <c r="C34" s="50"/>
      <c r="D34" s="50"/>
      <c r="E34" s="50"/>
      <c r="F34" s="50"/>
      <c r="G34" s="64"/>
    </row>
    <row r="35" spans="1:7" ht="15.75" x14ac:dyDescent="0.25">
      <c r="A35" s="49"/>
      <c r="B35" s="50"/>
      <c r="C35" s="43"/>
      <c r="D35" s="43"/>
      <c r="E35" s="43" t="s">
        <v>18</v>
      </c>
      <c r="F35" s="43" t="s">
        <v>3</v>
      </c>
      <c r="G35" s="64"/>
    </row>
    <row r="36" spans="1:7" ht="15.75" x14ac:dyDescent="0.25">
      <c r="A36" s="49"/>
      <c r="B36" s="50"/>
      <c r="C36" s="65" t="s">
        <v>25</v>
      </c>
      <c r="D36" s="65"/>
      <c r="E36" s="65" t="s">
        <v>27</v>
      </c>
      <c r="F36" s="65" t="s">
        <v>6</v>
      </c>
      <c r="G36" s="64"/>
    </row>
    <row r="37" spans="1:7" ht="15.75" x14ac:dyDescent="0.25">
      <c r="A37" s="45" t="s">
        <v>104</v>
      </c>
      <c r="B37" s="36"/>
      <c r="C37" s="66"/>
      <c r="D37" s="66"/>
      <c r="E37" s="66"/>
      <c r="F37" s="66"/>
      <c r="G37" s="64"/>
    </row>
    <row r="38" spans="1:7" ht="15.75" x14ac:dyDescent="0.25">
      <c r="A38" s="42" t="s">
        <v>64</v>
      </c>
      <c r="B38" s="50"/>
      <c r="C38" s="67">
        <f>+'Res''l &amp; MF Customers'!C25+'Res''l &amp; MF Customers'!D25</f>
        <v>3063.6521739130435</v>
      </c>
      <c r="D38" s="67"/>
      <c r="E38" s="68">
        <f>+E99</f>
        <v>0.24</v>
      </c>
      <c r="F38" s="54">
        <f>E38*C38</f>
        <v>735.27652173913043</v>
      </c>
      <c r="G38" s="64"/>
    </row>
    <row r="39" spans="1:7" ht="17.25" x14ac:dyDescent="0.35">
      <c r="A39" s="49" t="s">
        <v>65</v>
      </c>
      <c r="B39" s="50"/>
      <c r="C39" s="51">
        <f>SUM('Res''l &amp; MF Customers'!E25:N25)</f>
        <v>17387.860465116282</v>
      </c>
      <c r="D39" s="51"/>
      <c r="E39" s="68">
        <f>+G116</f>
        <v>0.34</v>
      </c>
      <c r="F39" s="137">
        <f>E39*C39</f>
        <v>5911.8725581395365</v>
      </c>
      <c r="G39" s="64"/>
    </row>
    <row r="40" spans="1:7" ht="15" x14ac:dyDescent="0.2">
      <c r="A40" s="42" t="s">
        <v>3</v>
      </c>
      <c r="B40" s="50"/>
      <c r="C40" s="67">
        <f>SUM(C38:C39)</f>
        <v>20451.512639029326</v>
      </c>
      <c r="D40" s="67"/>
      <c r="E40" s="50"/>
      <c r="F40" s="54">
        <f>SUM(F38:F39)</f>
        <v>6647.1490798786672</v>
      </c>
      <c r="G40" s="64"/>
    </row>
    <row r="41" spans="1:7" ht="15" x14ac:dyDescent="0.2">
      <c r="A41" s="42"/>
      <c r="B41" s="50"/>
      <c r="C41" s="50"/>
      <c r="D41" s="50"/>
      <c r="E41" s="50"/>
      <c r="F41" s="54"/>
      <c r="G41" s="64"/>
    </row>
    <row r="42" spans="1:7" ht="15.75" x14ac:dyDescent="0.25">
      <c r="A42" s="35" t="s">
        <v>28</v>
      </c>
      <c r="B42" s="50"/>
      <c r="C42" s="50"/>
      <c r="D42" s="50"/>
      <c r="E42" s="50"/>
      <c r="F42" s="54">
        <f>+'Tons &amp; Revenue'!M123</f>
        <v>7108.2724312105383</v>
      </c>
      <c r="G42" s="64"/>
    </row>
    <row r="43" spans="1:7" ht="15" x14ac:dyDescent="0.2">
      <c r="A43" s="42"/>
      <c r="B43" s="50"/>
      <c r="C43" s="50"/>
      <c r="D43" s="50"/>
      <c r="E43" s="50"/>
      <c r="F43" s="54"/>
      <c r="G43" s="64"/>
    </row>
    <row r="44" spans="1:7" ht="15" x14ac:dyDescent="0.2">
      <c r="A44" s="42" t="s">
        <v>109</v>
      </c>
      <c r="B44" s="50"/>
      <c r="C44" s="50"/>
      <c r="D44" s="50"/>
      <c r="E44" s="50"/>
      <c r="F44" s="136">
        <f>F42-F40</f>
        <v>461.12335133187116</v>
      </c>
      <c r="G44" s="64"/>
    </row>
    <row r="45" spans="1:7" ht="17.25" x14ac:dyDescent="0.35">
      <c r="A45" s="42"/>
      <c r="B45" s="50"/>
      <c r="C45" s="140"/>
      <c r="D45" s="50"/>
      <c r="E45" s="50"/>
      <c r="F45" s="138"/>
      <c r="G45" s="64"/>
    </row>
    <row r="46" spans="1:7" ht="15" x14ac:dyDescent="0.2">
      <c r="A46" s="42" t="s">
        <v>30</v>
      </c>
      <c r="B46" s="50"/>
      <c r="C46" s="50"/>
      <c r="D46" s="50"/>
      <c r="E46" s="50"/>
      <c r="F46" s="67">
        <f>+C40</f>
        <v>20451.512639029326</v>
      </c>
      <c r="G46" s="64"/>
    </row>
    <row r="47" spans="1:7" ht="15" x14ac:dyDescent="0.2">
      <c r="A47" s="42"/>
      <c r="B47" s="50"/>
      <c r="C47" s="50"/>
      <c r="D47" s="50"/>
      <c r="E47" s="50"/>
      <c r="F47" s="50"/>
      <c r="G47" s="64"/>
    </row>
    <row r="48" spans="1:7" ht="15" x14ac:dyDescent="0.2">
      <c r="A48" s="42" t="s">
        <v>31</v>
      </c>
      <c r="B48" s="50"/>
      <c r="C48" s="50"/>
      <c r="D48" s="50"/>
      <c r="E48" s="50"/>
      <c r="F48" s="50"/>
      <c r="G48" s="70">
        <f>ROUND(F44/F46,2)</f>
        <v>0.02</v>
      </c>
    </row>
    <row r="49" spans="1:8" ht="15" x14ac:dyDescent="0.2">
      <c r="A49" s="42"/>
      <c r="B49" s="50"/>
      <c r="C49" s="50"/>
      <c r="D49" s="50"/>
      <c r="E49" s="50"/>
      <c r="F49" s="50"/>
      <c r="G49" s="70"/>
    </row>
    <row r="50" spans="1:8" ht="15" x14ac:dyDescent="0.2">
      <c r="A50" s="42"/>
      <c r="B50" s="50"/>
      <c r="C50" s="50"/>
      <c r="D50" s="50"/>
      <c r="E50" s="50"/>
      <c r="F50" s="67"/>
      <c r="G50" s="64"/>
    </row>
    <row r="51" spans="1:8" ht="15.75" x14ac:dyDescent="0.25">
      <c r="A51" s="42"/>
      <c r="B51" s="36"/>
      <c r="C51" s="50"/>
      <c r="D51" s="50"/>
      <c r="E51" s="50"/>
      <c r="F51" s="67"/>
      <c r="G51" s="64"/>
    </row>
    <row r="52" spans="1:8" ht="15.75" x14ac:dyDescent="0.25">
      <c r="A52" s="216" t="s">
        <v>139</v>
      </c>
      <c r="B52" s="50"/>
      <c r="C52" s="50"/>
      <c r="D52" s="50"/>
      <c r="E52" s="50"/>
      <c r="F52" s="54">
        <f>ROUND(+'Tons &amp; Revenue'!O123/5*12,-2)</f>
        <v>6100</v>
      </c>
      <c r="G52" s="64"/>
      <c r="H52" s="236"/>
    </row>
    <row r="53" spans="1:8" ht="17.25" x14ac:dyDescent="0.35">
      <c r="A53" s="49" t="s">
        <v>30</v>
      </c>
      <c r="B53" s="36"/>
      <c r="C53" s="145"/>
      <c r="D53" s="38"/>
      <c r="E53" s="38"/>
      <c r="F53" s="231">
        <f>+C40</f>
        <v>20451.512639029326</v>
      </c>
      <c r="G53" s="64"/>
    </row>
    <row r="54" spans="1:8" ht="17.25" x14ac:dyDescent="0.35">
      <c r="A54" s="42" t="s">
        <v>113</v>
      </c>
      <c r="B54" s="38"/>
      <c r="C54" s="38"/>
      <c r="D54" s="38"/>
      <c r="E54" s="38"/>
      <c r="F54" s="38"/>
      <c r="G54" s="55">
        <f>ROUND(+F52/F53,2)</f>
        <v>0.3</v>
      </c>
    </row>
    <row r="55" spans="1:8" ht="15" x14ac:dyDescent="0.2">
      <c r="A55" s="42"/>
      <c r="B55" s="50"/>
      <c r="C55" s="50"/>
      <c r="D55" s="50"/>
      <c r="E55" s="50"/>
      <c r="F55" s="67"/>
      <c r="G55" s="64"/>
    </row>
    <row r="56" spans="1:8" ht="15.75" x14ac:dyDescent="0.25">
      <c r="A56" s="35" t="s">
        <v>147</v>
      </c>
      <c r="B56" s="36"/>
      <c r="C56" s="38"/>
      <c r="D56" s="38"/>
      <c r="E56" s="38"/>
      <c r="F56" s="38"/>
      <c r="G56" s="222">
        <f>SUM(G48:G54)</f>
        <v>0.32</v>
      </c>
      <c r="H56" s="237">
        <f>+G56/G118</f>
        <v>0.74418604651162779</v>
      </c>
    </row>
    <row r="57" spans="1:8" ht="17.25" x14ac:dyDescent="0.35">
      <c r="A57" s="42"/>
      <c r="B57" s="50"/>
      <c r="C57" s="50"/>
      <c r="D57" s="50"/>
      <c r="E57" s="50"/>
      <c r="F57" s="50"/>
      <c r="G57" s="55"/>
    </row>
    <row r="58" spans="1:8" ht="20.25" x14ac:dyDescent="0.55000000000000004">
      <c r="A58" s="49" t="s">
        <v>146</v>
      </c>
      <c r="B58" s="38"/>
      <c r="C58" s="38"/>
      <c r="D58" s="38"/>
      <c r="E58" s="145">
        <v>0.5</v>
      </c>
      <c r="F58" s="38"/>
      <c r="G58" s="225">
        <f>-G56*E58</f>
        <v>-0.16</v>
      </c>
    </row>
    <row r="59" spans="1:8" ht="20.25" x14ac:dyDescent="0.55000000000000004">
      <c r="A59" s="49"/>
      <c r="B59" s="38"/>
      <c r="C59" s="38"/>
      <c r="D59" s="38"/>
      <c r="E59" s="145"/>
      <c r="F59" s="38"/>
      <c r="G59" s="225"/>
      <c r="H59" s="119"/>
    </row>
    <row r="60" spans="1:8" ht="18" x14ac:dyDescent="0.4">
      <c r="A60" s="35" t="s">
        <v>140</v>
      </c>
      <c r="B60" s="38"/>
      <c r="C60" s="38"/>
      <c r="D60" s="38"/>
      <c r="E60" s="145"/>
      <c r="F60" s="38"/>
      <c r="G60" s="226">
        <f>+G56+G58</f>
        <v>0.16</v>
      </c>
      <c r="H60" s="237">
        <f>+G60/G118</f>
        <v>0.37209302325581389</v>
      </c>
    </row>
    <row r="61" spans="1:8" ht="15.75" thickBot="1" x14ac:dyDescent="0.25">
      <c r="A61" s="72"/>
      <c r="B61" s="73"/>
      <c r="C61" s="73"/>
      <c r="D61" s="73"/>
      <c r="E61" s="73"/>
      <c r="F61" s="73"/>
      <c r="G61" s="74"/>
    </row>
    <row r="62" spans="1:8" ht="23.25" x14ac:dyDescent="0.35">
      <c r="A62" s="31" t="s">
        <v>63</v>
      </c>
      <c r="B62" s="32"/>
      <c r="C62" s="33"/>
      <c r="D62" s="33"/>
      <c r="E62" s="33"/>
      <c r="F62" s="33"/>
      <c r="G62" s="34"/>
    </row>
    <row r="63" spans="1:8" ht="15.75" x14ac:dyDescent="0.25">
      <c r="A63" s="35" t="s">
        <v>102</v>
      </c>
      <c r="B63" s="36"/>
      <c r="C63" s="37"/>
      <c r="D63" s="37"/>
      <c r="E63" s="38"/>
      <c r="F63" s="38"/>
      <c r="G63" s="39"/>
    </row>
    <row r="64" spans="1:8" ht="15.75" x14ac:dyDescent="0.25">
      <c r="A64" s="40"/>
      <c r="B64" s="41"/>
      <c r="C64" s="38"/>
      <c r="D64" s="38"/>
      <c r="E64" s="38"/>
      <c r="F64" s="38"/>
      <c r="G64" s="39"/>
    </row>
    <row r="65" spans="1:7" ht="15" x14ac:dyDescent="0.2">
      <c r="A65" s="238" t="s">
        <v>26</v>
      </c>
      <c r="B65" s="239"/>
      <c r="C65" s="239"/>
      <c r="D65" s="239"/>
      <c r="E65" s="239"/>
      <c r="F65" s="239"/>
      <c r="G65" s="240"/>
    </row>
    <row r="66" spans="1:7" ht="15" x14ac:dyDescent="0.2">
      <c r="A66" s="42"/>
      <c r="B66" s="38"/>
      <c r="C66" s="38"/>
      <c r="D66" s="38"/>
      <c r="E66" s="38"/>
      <c r="F66" s="38"/>
      <c r="G66" s="39"/>
    </row>
    <row r="67" spans="1:7" ht="15.75" x14ac:dyDescent="0.25">
      <c r="A67" s="42"/>
      <c r="B67" s="38"/>
      <c r="C67" s="43"/>
      <c r="D67" s="43"/>
      <c r="E67" s="43" t="s">
        <v>18</v>
      </c>
      <c r="F67" s="43" t="s">
        <v>3</v>
      </c>
      <c r="G67" s="39"/>
    </row>
    <row r="68" spans="1:7" ht="15.75" x14ac:dyDescent="0.25">
      <c r="A68" s="42"/>
      <c r="B68" s="38"/>
      <c r="C68" s="44" t="s">
        <v>5</v>
      </c>
      <c r="D68" s="44"/>
      <c r="E68" s="44" t="s">
        <v>27</v>
      </c>
      <c r="F68" s="44" t="s">
        <v>6</v>
      </c>
      <c r="G68" s="39"/>
    </row>
    <row r="69" spans="1:7" ht="15.75" x14ac:dyDescent="0.25">
      <c r="A69" s="45" t="s">
        <v>91</v>
      </c>
      <c r="B69" s="36"/>
      <c r="C69" s="46"/>
      <c r="D69" s="46"/>
      <c r="E69" s="46"/>
      <c r="F69" s="46"/>
      <c r="G69" s="39"/>
    </row>
    <row r="70" spans="1:7" ht="15.75" x14ac:dyDescent="0.25">
      <c r="A70" s="42" t="s">
        <v>64</v>
      </c>
      <c r="B70" s="38"/>
      <c r="C70" s="47">
        <v>43420</v>
      </c>
      <c r="D70" s="47"/>
      <c r="E70" s="48">
        <f>+E129</f>
        <v>1.99</v>
      </c>
      <c r="F70" s="136">
        <f>C70*E70</f>
        <v>86405.8</v>
      </c>
      <c r="G70" s="39"/>
    </row>
    <row r="71" spans="1:7" ht="17.25" x14ac:dyDescent="0.35">
      <c r="A71" s="49" t="s">
        <v>65</v>
      </c>
      <c r="B71" s="50"/>
      <c r="C71" s="51">
        <v>219122</v>
      </c>
      <c r="D71" s="51"/>
      <c r="E71" s="48">
        <f>+G144</f>
        <v>1.71</v>
      </c>
      <c r="F71" s="137">
        <f>C71*E71</f>
        <v>374698.62</v>
      </c>
      <c r="G71" s="39"/>
    </row>
    <row r="72" spans="1:7" ht="17.25" x14ac:dyDescent="0.35">
      <c r="A72" s="42" t="s">
        <v>3</v>
      </c>
      <c r="B72" s="38"/>
      <c r="C72" s="47">
        <f>SUM(C70:C71)</f>
        <v>262542</v>
      </c>
      <c r="D72" s="51"/>
      <c r="E72" s="38"/>
      <c r="F72" s="136">
        <f>SUM(F70:F71)</f>
        <v>461104.42</v>
      </c>
      <c r="G72" s="39"/>
    </row>
    <row r="73" spans="1:7" ht="15" x14ac:dyDescent="0.2">
      <c r="A73" s="42"/>
      <c r="B73" s="38"/>
      <c r="C73" s="38"/>
      <c r="D73" s="38"/>
      <c r="E73" s="38"/>
      <c r="F73" s="38"/>
      <c r="G73" s="39"/>
    </row>
    <row r="74" spans="1:7" ht="15.75" x14ac:dyDescent="0.25">
      <c r="A74" s="35" t="s">
        <v>28</v>
      </c>
      <c r="B74" s="38"/>
      <c r="C74" s="38"/>
      <c r="D74" s="38"/>
      <c r="E74" s="38"/>
      <c r="F74" s="136">
        <v>585067</v>
      </c>
      <c r="G74" s="39"/>
    </row>
    <row r="75" spans="1:7" ht="15" x14ac:dyDescent="0.2">
      <c r="A75" s="42"/>
      <c r="B75" s="38"/>
      <c r="C75" s="38"/>
      <c r="D75" s="38"/>
      <c r="E75" s="38"/>
      <c r="F75" s="136"/>
      <c r="G75" s="39"/>
    </row>
    <row r="76" spans="1:7" ht="15" x14ac:dyDescent="0.2">
      <c r="A76" s="42" t="s">
        <v>109</v>
      </c>
      <c r="B76" s="38"/>
      <c r="C76" s="38"/>
      <c r="D76" s="38"/>
      <c r="E76" s="38"/>
      <c r="F76" s="136">
        <f>F74-F72</f>
        <v>123962.58000000002</v>
      </c>
      <c r="G76" s="39"/>
    </row>
    <row r="77" spans="1:7" ht="17.25" x14ac:dyDescent="0.35">
      <c r="A77" s="42" t="s">
        <v>110</v>
      </c>
      <c r="B77" s="38"/>
      <c r="C77" s="135">
        <f>-1.78+1.44</f>
        <v>-0.34000000000000008</v>
      </c>
      <c r="D77" s="38"/>
      <c r="E77" s="38"/>
      <c r="F77" s="138">
        <f>C77*C70</f>
        <v>-14762.800000000003</v>
      </c>
      <c r="G77" s="39"/>
    </row>
    <row r="78" spans="1:7" ht="15" x14ac:dyDescent="0.2">
      <c r="A78" s="139" t="s">
        <v>108</v>
      </c>
      <c r="B78" s="38"/>
      <c r="C78" s="38"/>
      <c r="D78" s="38"/>
      <c r="E78" s="38"/>
      <c r="F78" s="136">
        <f>SUM(F76:F77)</f>
        <v>109199.78000000001</v>
      </c>
      <c r="G78" s="39"/>
    </row>
    <row r="79" spans="1:7" ht="15" x14ac:dyDescent="0.2">
      <c r="A79" s="42"/>
      <c r="B79" s="38"/>
      <c r="C79" s="38"/>
      <c r="D79" s="38"/>
      <c r="E79" s="38"/>
      <c r="F79" s="38"/>
      <c r="G79" s="39"/>
    </row>
    <row r="80" spans="1:7" ht="15" x14ac:dyDescent="0.2">
      <c r="A80" s="42" t="s">
        <v>30</v>
      </c>
      <c r="B80" s="38"/>
      <c r="C80" s="38"/>
      <c r="D80" s="38"/>
      <c r="E80" s="38"/>
      <c r="F80" s="47">
        <f>+C72</f>
        <v>262542</v>
      </c>
      <c r="G80" s="39"/>
    </row>
    <row r="81" spans="1:7" ht="15" x14ac:dyDescent="0.2">
      <c r="A81" s="42"/>
      <c r="B81" s="38"/>
      <c r="C81" s="38"/>
      <c r="D81" s="38"/>
      <c r="E81" s="38"/>
      <c r="F81" s="38"/>
      <c r="G81" s="39"/>
    </row>
    <row r="82" spans="1:7" ht="15" x14ac:dyDescent="0.2">
      <c r="A82" s="42" t="s">
        <v>31</v>
      </c>
      <c r="B82" s="38"/>
      <c r="C82" s="38"/>
      <c r="D82" s="38"/>
      <c r="E82" s="38"/>
      <c r="F82" s="61"/>
      <c r="G82" s="52">
        <f>ROUND(F78/F80,2)</f>
        <v>0.42</v>
      </c>
    </row>
    <row r="83" spans="1:7" ht="15" x14ac:dyDescent="0.2">
      <c r="A83" s="42"/>
      <c r="B83" s="38"/>
      <c r="C83" s="38"/>
      <c r="D83" s="38"/>
      <c r="E83" s="38"/>
      <c r="F83" s="38"/>
      <c r="G83" s="52"/>
    </row>
    <row r="84" spans="1:7" ht="15" x14ac:dyDescent="0.2">
      <c r="A84" s="42"/>
      <c r="B84" s="38"/>
      <c r="C84" s="38"/>
      <c r="D84" s="38"/>
      <c r="E84" s="38"/>
      <c r="F84" s="38"/>
      <c r="G84" s="52"/>
    </row>
    <row r="85" spans="1:7" ht="15" x14ac:dyDescent="0.2">
      <c r="A85" s="42"/>
      <c r="B85" s="38"/>
      <c r="C85" s="38"/>
      <c r="D85" s="38"/>
      <c r="E85" s="38"/>
      <c r="F85" s="38"/>
      <c r="G85" s="52"/>
    </row>
    <row r="86" spans="1:7" ht="15.75" x14ac:dyDescent="0.25">
      <c r="A86" s="45" t="s">
        <v>104</v>
      </c>
      <c r="B86" s="36"/>
      <c r="C86" s="38"/>
      <c r="D86" s="38"/>
      <c r="E86" s="38"/>
      <c r="F86" s="53">
        <f>+F74</f>
        <v>585067</v>
      </c>
      <c r="G86" s="52"/>
    </row>
    <row r="87" spans="1:7" ht="15" x14ac:dyDescent="0.2">
      <c r="A87" s="42" t="s">
        <v>30</v>
      </c>
      <c r="B87" s="38"/>
      <c r="C87" s="38"/>
      <c r="D87" s="38"/>
      <c r="E87" s="38"/>
      <c r="F87" s="47">
        <f>+C72</f>
        <v>262542</v>
      </c>
      <c r="G87" s="52"/>
    </row>
    <row r="88" spans="1:7" ht="17.25" x14ac:dyDescent="0.35">
      <c r="A88" s="42" t="s">
        <v>32</v>
      </c>
      <c r="B88" s="38"/>
      <c r="C88" s="38"/>
      <c r="D88" s="38"/>
      <c r="E88" s="38"/>
      <c r="F88" s="38"/>
      <c r="G88" s="55">
        <f>ROUND(+F86/F87,2)</f>
        <v>2.23</v>
      </c>
    </row>
    <row r="89" spans="1:7" ht="15" x14ac:dyDescent="0.2">
      <c r="A89" s="42"/>
      <c r="B89" s="38"/>
      <c r="C89" s="38"/>
      <c r="D89" s="38"/>
      <c r="E89" s="38"/>
      <c r="F89" s="38"/>
      <c r="G89" s="52"/>
    </row>
    <row r="90" spans="1:7" ht="15" x14ac:dyDescent="0.2">
      <c r="A90" s="42"/>
      <c r="B90" s="38"/>
      <c r="C90" s="38"/>
      <c r="D90" s="38"/>
      <c r="E90" s="38"/>
      <c r="F90" s="38"/>
      <c r="G90" s="52"/>
    </row>
    <row r="91" spans="1:7" ht="16.5" thickBot="1" x14ac:dyDescent="0.3">
      <c r="A91" s="35" t="s">
        <v>33</v>
      </c>
      <c r="B91" s="36"/>
      <c r="C91" s="38"/>
      <c r="D91" s="38"/>
      <c r="E91" s="38"/>
      <c r="F91" s="38"/>
      <c r="G91" s="58">
        <f>SUM(G82:G88)</f>
        <v>2.65</v>
      </c>
    </row>
    <row r="92" spans="1:7" ht="14.25" thickTop="1" thickBot="1" x14ac:dyDescent="0.25">
      <c r="A92" s="19"/>
      <c r="B92" s="20"/>
      <c r="C92" s="20"/>
      <c r="D92" s="20"/>
      <c r="E92" s="20"/>
      <c r="F92" s="20"/>
      <c r="G92" s="21"/>
    </row>
    <row r="93" spans="1:7" ht="15" x14ac:dyDescent="0.2">
      <c r="A93" s="238" t="s">
        <v>34</v>
      </c>
      <c r="B93" s="239"/>
      <c r="C93" s="239"/>
      <c r="D93" s="239"/>
      <c r="E93" s="239"/>
      <c r="F93" s="239"/>
      <c r="G93" s="240"/>
    </row>
    <row r="94" spans="1:7" ht="15" x14ac:dyDescent="0.2">
      <c r="A94" s="49"/>
      <c r="B94" s="50"/>
      <c r="C94" s="50"/>
      <c r="D94" s="50"/>
      <c r="E94" s="50"/>
      <c r="F94" s="50"/>
      <c r="G94" s="64"/>
    </row>
    <row r="95" spans="1:7" ht="15.75" x14ac:dyDescent="0.25">
      <c r="A95" s="49"/>
      <c r="B95" s="50"/>
      <c r="C95" s="43"/>
      <c r="D95" s="43"/>
      <c r="E95" s="43" t="s">
        <v>18</v>
      </c>
      <c r="F95" s="43" t="s">
        <v>3</v>
      </c>
      <c r="G95" s="64"/>
    </row>
    <row r="96" spans="1:7" ht="15.75" x14ac:dyDescent="0.25">
      <c r="A96" s="49"/>
      <c r="B96" s="50"/>
      <c r="C96" s="65" t="s">
        <v>25</v>
      </c>
      <c r="D96" s="65"/>
      <c r="E96" s="65" t="s">
        <v>27</v>
      </c>
      <c r="F96" s="65" t="s">
        <v>6</v>
      </c>
      <c r="G96" s="64"/>
    </row>
    <row r="97" spans="1:7" ht="15.75" x14ac:dyDescent="0.25">
      <c r="A97" s="45" t="s">
        <v>91</v>
      </c>
      <c r="B97" s="36"/>
      <c r="C97" s="66"/>
      <c r="D97" s="66"/>
      <c r="E97" s="66"/>
      <c r="F97" s="66"/>
      <c r="G97" s="64"/>
    </row>
    <row r="98" spans="1:7" ht="15.75" x14ac:dyDescent="0.25">
      <c r="A98" s="42" t="s">
        <v>64</v>
      </c>
      <c r="B98" s="50"/>
      <c r="C98" s="67">
        <v>3165.2666666666669</v>
      </c>
      <c r="D98" s="67"/>
      <c r="E98" s="68">
        <f>+E155</f>
        <v>0.26</v>
      </c>
      <c r="F98" s="54">
        <f>E98*C98</f>
        <v>822.96933333333345</v>
      </c>
      <c r="G98" s="64"/>
    </row>
    <row r="99" spans="1:7" ht="17.25" x14ac:dyDescent="0.35">
      <c r="A99" s="49" t="s">
        <v>65</v>
      </c>
      <c r="B99" s="50"/>
      <c r="C99" s="51">
        <v>15187.712732919255</v>
      </c>
      <c r="D99" s="51"/>
      <c r="E99" s="68">
        <f>+G170</f>
        <v>0.24</v>
      </c>
      <c r="F99" s="137">
        <f>E99*C99</f>
        <v>3645.0510559006211</v>
      </c>
      <c r="G99" s="64"/>
    </row>
    <row r="100" spans="1:7" ht="15" x14ac:dyDescent="0.2">
      <c r="A100" s="42" t="s">
        <v>3</v>
      </c>
      <c r="B100" s="50"/>
      <c r="C100" s="67">
        <f>SUM(C98:C99)</f>
        <v>18352.979399585922</v>
      </c>
      <c r="D100" s="67"/>
      <c r="E100" s="50"/>
      <c r="F100" s="54">
        <f>SUM(F98:F99)</f>
        <v>4468.0203892339541</v>
      </c>
      <c r="G100" s="64"/>
    </row>
    <row r="101" spans="1:7" ht="15" x14ac:dyDescent="0.2">
      <c r="A101" s="42"/>
      <c r="B101" s="50"/>
      <c r="C101" s="50"/>
      <c r="D101" s="50"/>
      <c r="E101" s="50"/>
      <c r="F101" s="54"/>
      <c r="G101" s="64"/>
    </row>
    <row r="102" spans="1:7" ht="15.75" x14ac:dyDescent="0.25">
      <c r="A102" s="35" t="s">
        <v>28</v>
      </c>
      <c r="B102" s="50"/>
      <c r="C102" s="50"/>
      <c r="D102" s="50"/>
      <c r="E102" s="50"/>
      <c r="F102" s="54">
        <v>6208.3877211296831</v>
      </c>
      <c r="G102" s="64"/>
    </row>
    <row r="103" spans="1:7" ht="15" x14ac:dyDescent="0.2">
      <c r="A103" s="42"/>
      <c r="B103" s="50"/>
      <c r="C103" s="50"/>
      <c r="D103" s="50"/>
      <c r="E103" s="50"/>
      <c r="F103" s="54"/>
      <c r="G103" s="64"/>
    </row>
    <row r="104" spans="1:7" ht="15" x14ac:dyDescent="0.2">
      <c r="A104" s="42" t="s">
        <v>109</v>
      </c>
      <c r="B104" s="50"/>
      <c r="C104" s="50"/>
      <c r="D104" s="50"/>
      <c r="E104" s="50"/>
      <c r="F104" s="136">
        <f>F102-F100</f>
        <v>1740.367331895729</v>
      </c>
      <c r="G104" s="64"/>
    </row>
    <row r="105" spans="1:7" ht="17.25" x14ac:dyDescent="0.35">
      <c r="A105" s="42" t="s">
        <v>111</v>
      </c>
      <c r="B105" s="50"/>
      <c r="C105" s="140">
        <f>-0.28+0.23</f>
        <v>-5.0000000000000017E-2</v>
      </c>
      <c r="D105" s="50"/>
      <c r="E105" s="50"/>
      <c r="F105" s="138">
        <f>C105*C98</f>
        <v>-158.26333333333341</v>
      </c>
      <c r="G105" s="64"/>
    </row>
    <row r="106" spans="1:7" ht="15" x14ac:dyDescent="0.2">
      <c r="A106" s="139" t="s">
        <v>108</v>
      </c>
      <c r="B106" s="50"/>
      <c r="C106" s="50"/>
      <c r="D106" s="50"/>
      <c r="E106" s="50"/>
      <c r="F106" s="136">
        <f>SUM(F104:F105)</f>
        <v>1582.1039985623956</v>
      </c>
      <c r="G106" s="64"/>
    </row>
    <row r="107" spans="1:7" ht="15" x14ac:dyDescent="0.2">
      <c r="A107" s="42"/>
      <c r="B107" s="50"/>
      <c r="C107" s="50"/>
      <c r="D107" s="50"/>
      <c r="E107" s="50"/>
      <c r="F107" s="50"/>
      <c r="G107" s="64"/>
    </row>
    <row r="108" spans="1:7" ht="15" x14ac:dyDescent="0.2">
      <c r="A108" s="42" t="s">
        <v>30</v>
      </c>
      <c r="B108" s="50"/>
      <c r="C108" s="50"/>
      <c r="D108" s="50"/>
      <c r="E108" s="50"/>
      <c r="F108" s="67">
        <f>+C100</f>
        <v>18352.979399585922</v>
      </c>
      <c r="G108" s="64"/>
    </row>
    <row r="109" spans="1:7" ht="15" x14ac:dyDescent="0.2">
      <c r="A109" s="42"/>
      <c r="B109" s="50"/>
      <c r="C109" s="50"/>
      <c r="D109" s="50"/>
      <c r="E109" s="50"/>
      <c r="F109" s="50"/>
      <c r="G109" s="64"/>
    </row>
    <row r="110" spans="1:7" ht="15" x14ac:dyDescent="0.2">
      <c r="A110" s="42" t="s">
        <v>31</v>
      </c>
      <c r="B110" s="50"/>
      <c r="C110" s="50"/>
      <c r="D110" s="50"/>
      <c r="E110" s="50"/>
      <c r="F110" s="50"/>
      <c r="G110" s="70">
        <f>ROUND(F106/F108,2)</f>
        <v>0.09</v>
      </c>
    </row>
    <row r="111" spans="1:7" ht="15" x14ac:dyDescent="0.2">
      <c r="A111" s="42"/>
      <c r="B111" s="50"/>
      <c r="C111" s="50"/>
      <c r="D111" s="50"/>
      <c r="E111" s="50"/>
      <c r="F111" s="50"/>
      <c r="G111" s="70"/>
    </row>
    <row r="112" spans="1:7" ht="15" x14ac:dyDescent="0.2">
      <c r="A112" s="42"/>
      <c r="B112" s="50"/>
      <c r="C112" s="50"/>
      <c r="D112" s="50"/>
      <c r="E112" s="50"/>
      <c r="F112" s="67"/>
      <c r="G112" s="64"/>
    </row>
    <row r="113" spans="1:7" ht="15.75" x14ac:dyDescent="0.25">
      <c r="A113" s="42"/>
      <c r="B113" s="36"/>
      <c r="C113" s="50"/>
      <c r="D113" s="50"/>
      <c r="E113" s="50"/>
      <c r="F113" s="67"/>
      <c r="G113" s="64"/>
    </row>
    <row r="114" spans="1:7" ht="15.75" x14ac:dyDescent="0.25">
      <c r="A114" s="45" t="s">
        <v>104</v>
      </c>
      <c r="B114" s="50"/>
      <c r="C114" s="50"/>
      <c r="D114" s="50"/>
      <c r="E114" s="50"/>
      <c r="F114" s="54">
        <f>+F102</f>
        <v>6208.3877211296831</v>
      </c>
      <c r="G114" s="64"/>
    </row>
    <row r="115" spans="1:7" ht="15" x14ac:dyDescent="0.2">
      <c r="A115" s="42" t="s">
        <v>30</v>
      </c>
      <c r="B115" s="50"/>
      <c r="C115" s="50"/>
      <c r="D115" s="50"/>
      <c r="E115" s="50"/>
      <c r="F115" s="67">
        <f>+C100</f>
        <v>18352.979399585922</v>
      </c>
      <c r="G115" s="64"/>
    </row>
    <row r="116" spans="1:7" ht="17.25" x14ac:dyDescent="0.35">
      <c r="A116" s="42" t="s">
        <v>32</v>
      </c>
      <c r="B116" s="50"/>
      <c r="C116" s="50"/>
      <c r="D116" s="50"/>
      <c r="E116" s="50"/>
      <c r="F116" s="50"/>
      <c r="G116" s="57">
        <f>ROUND(+F114/F115,2)</f>
        <v>0.34</v>
      </c>
    </row>
    <row r="117" spans="1:7" ht="17.25" x14ac:dyDescent="0.35">
      <c r="A117" s="42"/>
      <c r="B117" s="50"/>
      <c r="C117" s="50"/>
      <c r="D117" s="50"/>
      <c r="E117" s="50"/>
      <c r="F117" s="50"/>
      <c r="G117" s="57"/>
    </row>
    <row r="118" spans="1:7" ht="16.5" thickBot="1" x14ac:dyDescent="0.3">
      <c r="A118" s="35" t="s">
        <v>35</v>
      </c>
      <c r="B118" s="36"/>
      <c r="C118" s="50"/>
      <c r="D118" s="50"/>
      <c r="E118" s="50"/>
      <c r="F118" s="50"/>
      <c r="G118" s="71">
        <f>+G116+G110+G111</f>
        <v>0.43000000000000005</v>
      </c>
    </row>
    <row r="119" spans="1:7" ht="16.5" thickTop="1" thickBot="1" x14ac:dyDescent="0.25">
      <c r="A119" s="72"/>
      <c r="B119" s="73"/>
      <c r="C119" s="73"/>
      <c r="D119" s="73"/>
      <c r="E119" s="73"/>
      <c r="F119" s="73"/>
      <c r="G119" s="74"/>
    </row>
    <row r="120" spans="1:7" ht="23.25" x14ac:dyDescent="0.35">
      <c r="A120" s="31" t="s">
        <v>63</v>
      </c>
      <c r="B120" s="32"/>
      <c r="C120" s="33"/>
      <c r="D120" s="33"/>
      <c r="E120" s="33"/>
      <c r="F120" s="33"/>
      <c r="G120" s="34"/>
    </row>
    <row r="121" spans="1:7" ht="15.75" x14ac:dyDescent="0.25">
      <c r="A121" s="35" t="s">
        <v>90</v>
      </c>
      <c r="B121" s="36"/>
      <c r="C121" s="37"/>
      <c r="D121" s="37"/>
      <c r="E121" s="38"/>
      <c r="F121" s="38"/>
      <c r="G121" s="39"/>
    </row>
    <row r="122" spans="1:7" ht="15.75" x14ac:dyDescent="0.25">
      <c r="A122" s="40"/>
      <c r="B122" s="41"/>
      <c r="C122" s="38"/>
      <c r="D122" s="38"/>
      <c r="E122" s="38"/>
      <c r="F122" s="38"/>
      <c r="G122" s="39"/>
    </row>
    <row r="123" spans="1:7" ht="15" x14ac:dyDescent="0.2">
      <c r="A123" s="238" t="s">
        <v>26</v>
      </c>
      <c r="B123" s="239"/>
      <c r="C123" s="239"/>
      <c r="D123" s="239"/>
      <c r="E123" s="239"/>
      <c r="F123" s="239"/>
      <c r="G123" s="240"/>
    </row>
    <row r="124" spans="1:7" ht="15" x14ac:dyDescent="0.2">
      <c r="A124" s="42"/>
      <c r="B124" s="38"/>
      <c r="C124" s="38"/>
      <c r="D124" s="38"/>
      <c r="E124" s="38"/>
      <c r="F124" s="38"/>
      <c r="G124" s="39"/>
    </row>
    <row r="125" spans="1:7" ht="15.75" x14ac:dyDescent="0.25">
      <c r="A125" s="42"/>
      <c r="B125" s="38"/>
      <c r="C125" s="43"/>
      <c r="D125" s="43"/>
      <c r="E125" s="43" t="s">
        <v>18</v>
      </c>
      <c r="F125" s="43" t="s">
        <v>3</v>
      </c>
      <c r="G125" s="39"/>
    </row>
    <row r="126" spans="1:7" ht="15.75" x14ac:dyDescent="0.25">
      <c r="A126" s="42"/>
      <c r="B126" s="38"/>
      <c r="C126" s="44" t="s">
        <v>5</v>
      </c>
      <c r="D126" s="44"/>
      <c r="E126" s="44" t="s">
        <v>27</v>
      </c>
      <c r="F126" s="44" t="s">
        <v>6</v>
      </c>
      <c r="G126" s="39"/>
    </row>
    <row r="127" spans="1:7" ht="15.75" x14ac:dyDescent="0.25">
      <c r="A127" s="45" t="s">
        <v>84</v>
      </c>
      <c r="B127" s="36"/>
      <c r="C127" s="46"/>
      <c r="D127" s="46"/>
      <c r="E127" s="46"/>
      <c r="F127" s="46"/>
      <c r="G127" s="39"/>
    </row>
    <row r="128" spans="1:7" ht="15.75" x14ac:dyDescent="0.25">
      <c r="A128" s="42" t="s">
        <v>64</v>
      </c>
      <c r="B128" s="38"/>
      <c r="C128" s="47">
        <v>42479</v>
      </c>
      <c r="D128" s="47"/>
      <c r="E128" s="48">
        <f>+E183</f>
        <v>1.96</v>
      </c>
      <c r="F128" s="47">
        <f>C128*E128</f>
        <v>83258.84</v>
      </c>
      <c r="G128" s="39"/>
    </row>
    <row r="129" spans="1:7" ht="17.25" x14ac:dyDescent="0.35">
      <c r="A129" s="49" t="s">
        <v>65</v>
      </c>
      <c r="B129" s="50"/>
      <c r="C129" s="51">
        <v>213820</v>
      </c>
      <c r="D129" s="51"/>
      <c r="E129" s="48">
        <f>+G198</f>
        <v>1.99</v>
      </c>
      <c r="F129" s="51">
        <f>C129*E129</f>
        <v>425501.8</v>
      </c>
      <c r="G129" s="39"/>
    </row>
    <row r="130" spans="1:7" ht="17.25" x14ac:dyDescent="0.35">
      <c r="A130" s="42" t="s">
        <v>3</v>
      </c>
      <c r="B130" s="38"/>
      <c r="C130" s="47">
        <f>SUM(C128:C129)</f>
        <v>256299</v>
      </c>
      <c r="D130" s="51"/>
      <c r="E130" s="38"/>
      <c r="F130" s="47">
        <f>SUM(F128:F129)</f>
        <v>508760.64</v>
      </c>
      <c r="G130" s="39"/>
    </row>
    <row r="131" spans="1:7" ht="15" x14ac:dyDescent="0.2">
      <c r="A131" s="42"/>
      <c r="B131" s="38"/>
      <c r="C131" s="38"/>
      <c r="D131" s="38"/>
      <c r="E131" s="38"/>
      <c r="F131" s="38"/>
      <c r="G131" s="39"/>
    </row>
    <row r="132" spans="1:7" ht="15.75" x14ac:dyDescent="0.25">
      <c r="A132" s="35" t="s">
        <v>28</v>
      </c>
      <c r="B132" s="38"/>
      <c r="C132" s="38"/>
      <c r="D132" s="38"/>
      <c r="E132" s="38"/>
      <c r="F132" s="47">
        <v>438426</v>
      </c>
      <c r="G132" s="39"/>
    </row>
    <row r="133" spans="1:7" ht="15" x14ac:dyDescent="0.2">
      <c r="A133" s="42"/>
      <c r="B133" s="38"/>
      <c r="C133" s="38"/>
      <c r="D133" s="38"/>
      <c r="E133" s="38"/>
      <c r="F133" s="38"/>
      <c r="G133" s="39"/>
    </row>
    <row r="134" spans="1:7" ht="15" x14ac:dyDescent="0.2">
      <c r="A134" s="42" t="s">
        <v>29</v>
      </c>
      <c r="B134" s="38"/>
      <c r="C134" s="38"/>
      <c r="D134" s="38"/>
      <c r="E134" s="38"/>
      <c r="F134" s="47">
        <f>F132-F130</f>
        <v>-70334.640000000014</v>
      </c>
      <c r="G134" s="39"/>
    </row>
    <row r="135" spans="1:7" ht="15" x14ac:dyDescent="0.2">
      <c r="A135" s="42"/>
      <c r="B135" s="38"/>
      <c r="C135" s="38"/>
      <c r="D135" s="38"/>
      <c r="E135" s="38"/>
      <c r="F135" s="38"/>
      <c r="G135" s="39"/>
    </row>
    <row r="136" spans="1:7" ht="15" x14ac:dyDescent="0.2">
      <c r="A136" s="42" t="s">
        <v>30</v>
      </c>
      <c r="B136" s="38"/>
      <c r="C136" s="38"/>
      <c r="D136" s="38"/>
      <c r="E136" s="38"/>
      <c r="F136" s="47">
        <f>+C130</f>
        <v>256299</v>
      </c>
      <c r="G136" s="39"/>
    </row>
    <row r="137" spans="1:7" ht="15" x14ac:dyDescent="0.2">
      <c r="A137" s="42"/>
      <c r="B137" s="38"/>
      <c r="C137" s="38"/>
      <c r="D137" s="38"/>
      <c r="E137" s="38"/>
      <c r="F137" s="38"/>
      <c r="G137" s="39"/>
    </row>
    <row r="138" spans="1:7" ht="15" x14ac:dyDescent="0.2">
      <c r="A138" s="42" t="s">
        <v>31</v>
      </c>
      <c r="B138" s="38"/>
      <c r="C138" s="38"/>
      <c r="D138" s="38"/>
      <c r="E138" s="38"/>
      <c r="F138" s="61"/>
      <c r="G138" s="52">
        <f>ROUND(F134/F136,2)</f>
        <v>-0.27</v>
      </c>
    </row>
    <row r="139" spans="1:7" ht="15" x14ac:dyDescent="0.2">
      <c r="A139" s="42"/>
      <c r="B139" s="38"/>
      <c r="C139" s="38"/>
      <c r="D139" s="38"/>
      <c r="E139" s="38"/>
      <c r="F139" s="38"/>
      <c r="G139" s="52"/>
    </row>
    <row r="140" spans="1:7" ht="15" x14ac:dyDescent="0.2">
      <c r="A140" s="42"/>
      <c r="B140" s="38"/>
      <c r="C140" s="38"/>
      <c r="D140" s="38"/>
      <c r="E140" s="38"/>
      <c r="F140" s="38"/>
      <c r="G140" s="52"/>
    </row>
    <row r="141" spans="1:7" ht="15" x14ac:dyDescent="0.2">
      <c r="A141" s="42"/>
      <c r="B141" s="38"/>
      <c r="C141" s="38"/>
      <c r="D141" s="38"/>
      <c r="E141" s="38"/>
      <c r="F141" s="38"/>
      <c r="G141" s="52"/>
    </row>
    <row r="142" spans="1:7" ht="15.75" x14ac:dyDescent="0.25">
      <c r="A142" s="45" t="s">
        <v>91</v>
      </c>
      <c r="B142" s="36"/>
      <c r="C142" s="38"/>
      <c r="D142" s="38"/>
      <c r="E142" s="38"/>
      <c r="F142" s="53">
        <f>+F132</f>
        <v>438426</v>
      </c>
      <c r="G142" s="52"/>
    </row>
    <row r="143" spans="1:7" ht="15" x14ac:dyDescent="0.2">
      <c r="A143" s="42" t="s">
        <v>30</v>
      </c>
      <c r="B143" s="38"/>
      <c r="C143" s="38"/>
      <c r="D143" s="38"/>
      <c r="E143" s="38"/>
      <c r="F143" s="47">
        <f>+C130</f>
        <v>256299</v>
      </c>
      <c r="G143" s="52"/>
    </row>
    <row r="144" spans="1:7" ht="17.25" x14ac:dyDescent="0.35">
      <c r="A144" s="42" t="s">
        <v>32</v>
      </c>
      <c r="B144" s="38"/>
      <c r="C144" s="38"/>
      <c r="D144" s="38"/>
      <c r="E144" s="38"/>
      <c r="F144" s="38"/>
      <c r="G144" s="55">
        <f>ROUND(+F142/F143,2)</f>
        <v>1.71</v>
      </c>
    </row>
    <row r="145" spans="1:8" ht="15" x14ac:dyDescent="0.2">
      <c r="A145" s="42"/>
      <c r="B145" s="38"/>
      <c r="C145" s="38"/>
      <c r="D145" s="38"/>
      <c r="E145" s="38"/>
      <c r="F145" s="38"/>
      <c r="G145" s="52"/>
    </row>
    <row r="146" spans="1:8" ht="15" x14ac:dyDescent="0.2">
      <c r="A146" s="42"/>
      <c r="B146" s="38"/>
      <c r="C146" s="38"/>
      <c r="D146" s="38"/>
      <c r="E146" s="38"/>
      <c r="F146" s="38"/>
      <c r="G146" s="52"/>
    </row>
    <row r="147" spans="1:8" ht="16.5" thickBot="1" x14ac:dyDescent="0.3">
      <c r="A147" s="35" t="s">
        <v>33</v>
      </c>
      <c r="B147" s="36"/>
      <c r="C147" s="38"/>
      <c r="D147" s="38"/>
      <c r="E147" s="38"/>
      <c r="F147" s="38"/>
      <c r="G147" s="58">
        <f>SUM(G138:G144)</f>
        <v>1.44</v>
      </c>
      <c r="H147" s="18"/>
    </row>
    <row r="148" spans="1:8" ht="14.25" thickTop="1" thickBot="1" x14ac:dyDescent="0.25">
      <c r="A148" s="19"/>
      <c r="B148" s="20"/>
      <c r="C148" s="20"/>
      <c r="D148" s="20"/>
      <c r="E148" s="20"/>
      <c r="F148" s="20"/>
      <c r="G148" s="21"/>
    </row>
    <row r="149" spans="1:8" ht="15" x14ac:dyDescent="0.2">
      <c r="A149" s="238" t="s">
        <v>34</v>
      </c>
      <c r="B149" s="239"/>
      <c r="C149" s="239"/>
      <c r="D149" s="239"/>
      <c r="E149" s="239"/>
      <c r="F149" s="239"/>
      <c r="G149" s="240"/>
    </row>
    <row r="150" spans="1:8" ht="15" x14ac:dyDescent="0.2">
      <c r="A150" s="49"/>
      <c r="B150" s="50"/>
      <c r="C150" s="50"/>
      <c r="D150" s="50"/>
      <c r="E150" s="50"/>
      <c r="F150" s="50"/>
      <c r="G150" s="64"/>
    </row>
    <row r="151" spans="1:8" ht="15.75" x14ac:dyDescent="0.25">
      <c r="A151" s="49"/>
      <c r="B151" s="50"/>
      <c r="C151" s="43"/>
      <c r="D151" s="43"/>
      <c r="E151" s="43" t="s">
        <v>18</v>
      </c>
      <c r="F151" s="43" t="s">
        <v>3</v>
      </c>
      <c r="G151" s="64"/>
    </row>
    <row r="152" spans="1:8" ht="15.75" x14ac:dyDescent="0.25">
      <c r="A152" s="49"/>
      <c r="B152" s="50"/>
      <c r="C152" s="65" t="s">
        <v>25</v>
      </c>
      <c r="D152" s="65"/>
      <c r="E152" s="65" t="s">
        <v>27</v>
      </c>
      <c r="F152" s="65" t="s">
        <v>6</v>
      </c>
      <c r="G152" s="64"/>
    </row>
    <row r="153" spans="1:8" ht="15.75" x14ac:dyDescent="0.25">
      <c r="A153" s="45" t="s">
        <v>84</v>
      </c>
      <c r="B153" s="36"/>
      <c r="C153" s="66"/>
      <c r="D153" s="66"/>
      <c r="E153" s="66"/>
      <c r="F153" s="66"/>
      <c r="G153" s="64"/>
    </row>
    <row r="154" spans="1:8" ht="15.75" x14ac:dyDescent="0.25">
      <c r="A154" s="42" t="s">
        <v>64</v>
      </c>
      <c r="B154" s="50"/>
      <c r="C154" s="67">
        <v>3158</v>
      </c>
      <c r="D154" s="67"/>
      <c r="E154" s="68">
        <f>+E209</f>
        <v>0.23</v>
      </c>
      <c r="F154" s="67">
        <f>E154*C154</f>
        <v>726.34</v>
      </c>
      <c r="G154" s="64"/>
    </row>
    <row r="155" spans="1:8" ht="17.25" x14ac:dyDescent="0.35">
      <c r="A155" s="49" t="s">
        <v>65</v>
      </c>
      <c r="B155" s="50"/>
      <c r="C155" s="51">
        <v>15916</v>
      </c>
      <c r="D155" s="51"/>
      <c r="E155" s="68">
        <f>+G224</f>
        <v>0.26</v>
      </c>
      <c r="F155" s="51">
        <f>E155*C155</f>
        <v>4138.16</v>
      </c>
      <c r="G155" s="64"/>
    </row>
    <row r="156" spans="1:8" ht="15" x14ac:dyDescent="0.2">
      <c r="A156" s="42" t="s">
        <v>3</v>
      </c>
      <c r="B156" s="50"/>
      <c r="C156" s="67">
        <f>SUM(C154:C155)</f>
        <v>19074</v>
      </c>
      <c r="D156" s="67"/>
      <c r="E156" s="50"/>
      <c r="F156" s="67">
        <f>SUM(F154:F155)</f>
        <v>4864.5</v>
      </c>
      <c r="G156" s="64"/>
    </row>
    <row r="157" spans="1:8" ht="15" x14ac:dyDescent="0.2">
      <c r="A157" s="42"/>
      <c r="B157" s="50"/>
      <c r="C157" s="50"/>
      <c r="D157" s="50"/>
      <c r="E157" s="50"/>
      <c r="F157" s="50"/>
      <c r="G157" s="64"/>
    </row>
    <row r="158" spans="1:8" ht="15.75" x14ac:dyDescent="0.25">
      <c r="A158" s="35" t="s">
        <v>28</v>
      </c>
      <c r="B158" s="50"/>
      <c r="C158" s="50"/>
      <c r="D158" s="50"/>
      <c r="E158" s="50"/>
      <c r="F158" s="69">
        <v>4652</v>
      </c>
      <c r="G158" s="64"/>
    </row>
    <row r="159" spans="1:8" ht="15" x14ac:dyDescent="0.2">
      <c r="A159" s="42"/>
      <c r="B159" s="50"/>
      <c r="C159" s="50"/>
      <c r="D159" s="50"/>
      <c r="E159" s="50"/>
      <c r="F159" s="50"/>
      <c r="G159" s="64"/>
    </row>
    <row r="160" spans="1:8" ht="15" x14ac:dyDescent="0.2">
      <c r="A160" s="42" t="s">
        <v>29</v>
      </c>
      <c r="B160" s="50"/>
      <c r="C160" s="50"/>
      <c r="D160" s="50"/>
      <c r="E160" s="50"/>
      <c r="F160" s="47">
        <f>F158-F156</f>
        <v>-212.5</v>
      </c>
      <c r="G160" s="64"/>
    </row>
    <row r="161" spans="1:8" ht="15" x14ac:dyDescent="0.2">
      <c r="A161" s="42"/>
      <c r="B161" s="50"/>
      <c r="C161" s="50"/>
      <c r="D161" s="50"/>
      <c r="E161" s="50"/>
      <c r="F161" s="50"/>
      <c r="G161" s="64"/>
    </row>
    <row r="162" spans="1:8" ht="15" x14ac:dyDescent="0.2">
      <c r="A162" s="42" t="s">
        <v>30</v>
      </c>
      <c r="B162" s="50"/>
      <c r="C162" s="50"/>
      <c r="D162" s="50"/>
      <c r="E162" s="50"/>
      <c r="F162" s="67">
        <f>+C156</f>
        <v>19074</v>
      </c>
      <c r="G162" s="64"/>
    </row>
    <row r="163" spans="1:8" ht="15" x14ac:dyDescent="0.2">
      <c r="A163" s="42"/>
      <c r="B163" s="50"/>
      <c r="C163" s="50"/>
      <c r="D163" s="50"/>
      <c r="E163" s="50"/>
      <c r="F163" s="50"/>
      <c r="G163" s="64"/>
    </row>
    <row r="164" spans="1:8" ht="15" x14ac:dyDescent="0.2">
      <c r="A164" s="42" t="s">
        <v>31</v>
      </c>
      <c r="B164" s="50"/>
      <c r="C164" s="50"/>
      <c r="D164" s="50"/>
      <c r="E164" s="50"/>
      <c r="F164" s="50"/>
      <c r="G164" s="70">
        <f>ROUND(F160/F162,2)</f>
        <v>-0.01</v>
      </c>
    </row>
    <row r="165" spans="1:8" ht="15" x14ac:dyDescent="0.2">
      <c r="A165" s="42"/>
      <c r="B165" s="50"/>
      <c r="C165" s="50"/>
      <c r="D165" s="50"/>
      <c r="E165" s="50"/>
      <c r="F165" s="50"/>
      <c r="G165" s="70"/>
    </row>
    <row r="166" spans="1:8" ht="15" x14ac:dyDescent="0.2">
      <c r="A166" s="42"/>
      <c r="B166" s="50"/>
      <c r="C166" s="50"/>
      <c r="D166" s="50"/>
      <c r="E166" s="50"/>
      <c r="F166" s="67"/>
      <c r="G166" s="64"/>
    </row>
    <row r="167" spans="1:8" ht="15.75" x14ac:dyDescent="0.25">
      <c r="A167" s="42"/>
      <c r="B167" s="36"/>
      <c r="C167" s="50"/>
      <c r="D167" s="50"/>
      <c r="E167" s="50"/>
      <c r="F167" s="67"/>
      <c r="G167" s="64"/>
    </row>
    <row r="168" spans="1:8" ht="15.75" x14ac:dyDescent="0.25">
      <c r="A168" s="45" t="s">
        <v>91</v>
      </c>
      <c r="B168" s="50"/>
      <c r="C168" s="50"/>
      <c r="D168" s="50"/>
      <c r="E168" s="50"/>
      <c r="F168" s="54">
        <f>+F158</f>
        <v>4652</v>
      </c>
      <c r="G168" s="64"/>
    </row>
    <row r="169" spans="1:8" ht="15" x14ac:dyDescent="0.2">
      <c r="A169" s="42" t="s">
        <v>30</v>
      </c>
      <c r="B169" s="50"/>
      <c r="C169" s="50"/>
      <c r="D169" s="50"/>
      <c r="E169" s="50"/>
      <c r="F169" s="67">
        <f>+C156</f>
        <v>19074</v>
      </c>
      <c r="G169" s="64"/>
    </row>
    <row r="170" spans="1:8" ht="17.25" x14ac:dyDescent="0.35">
      <c r="A170" s="42" t="s">
        <v>32</v>
      </c>
      <c r="B170" s="50"/>
      <c r="C170" s="50"/>
      <c r="D170" s="50"/>
      <c r="E170" s="50"/>
      <c r="F170" s="50"/>
      <c r="G170" s="57">
        <f>ROUND(+F168/F169,2)</f>
        <v>0.24</v>
      </c>
      <c r="H170" s="18"/>
    </row>
    <row r="171" spans="1:8" ht="17.25" x14ac:dyDescent="0.35">
      <c r="A171" s="42"/>
      <c r="B171" s="50"/>
      <c r="C171" s="50"/>
      <c r="D171" s="50"/>
      <c r="E171" s="50"/>
      <c r="F171" s="50"/>
      <c r="G171" s="57"/>
    </row>
    <row r="172" spans="1:8" ht="16.5" thickBot="1" x14ac:dyDescent="0.3">
      <c r="A172" s="35" t="s">
        <v>35</v>
      </c>
      <c r="B172" s="36"/>
      <c r="C172" s="50"/>
      <c r="D172" s="50"/>
      <c r="E172" s="50"/>
      <c r="F172" s="50"/>
      <c r="G172" s="71">
        <f>+G170+G164+G165</f>
        <v>0.22999999999999998</v>
      </c>
    </row>
    <row r="173" spans="1:8" ht="16.5" thickTop="1" thickBot="1" x14ac:dyDescent="0.25">
      <c r="A173" s="72"/>
      <c r="B173" s="73"/>
      <c r="C173" s="73"/>
      <c r="D173" s="73"/>
      <c r="E173" s="73"/>
      <c r="F173" s="73"/>
      <c r="G173" s="74"/>
    </row>
    <row r="174" spans="1:8" ht="23.25" x14ac:dyDescent="0.35">
      <c r="A174" s="31" t="s">
        <v>63</v>
      </c>
      <c r="B174" s="32"/>
      <c r="C174" s="33"/>
      <c r="D174" s="33"/>
      <c r="E174" s="33"/>
      <c r="F174" s="33"/>
      <c r="G174" s="34"/>
    </row>
    <row r="175" spans="1:8" ht="15.75" x14ac:dyDescent="0.25">
      <c r="A175" s="35" t="s">
        <v>85</v>
      </c>
      <c r="B175" s="36"/>
      <c r="C175" s="37"/>
      <c r="D175" s="37"/>
      <c r="E175" s="38"/>
      <c r="F175" s="38"/>
      <c r="G175" s="39"/>
    </row>
    <row r="176" spans="1:8" ht="15.75" x14ac:dyDescent="0.25">
      <c r="A176" s="40"/>
      <c r="B176" s="41"/>
      <c r="C176" s="38"/>
      <c r="D176" s="38"/>
      <c r="E176" s="38"/>
      <c r="F176" s="38"/>
      <c r="G176" s="39"/>
    </row>
    <row r="177" spans="1:7" ht="15" x14ac:dyDescent="0.2">
      <c r="A177" s="238" t="s">
        <v>26</v>
      </c>
      <c r="B177" s="239"/>
      <c r="C177" s="239"/>
      <c r="D177" s="239"/>
      <c r="E177" s="239"/>
      <c r="F177" s="239"/>
      <c r="G177" s="240"/>
    </row>
    <row r="178" spans="1:7" ht="15" x14ac:dyDescent="0.2">
      <c r="A178" s="42"/>
      <c r="B178" s="38"/>
      <c r="C178" s="38"/>
      <c r="D178" s="38"/>
      <c r="E178" s="38"/>
      <c r="F178" s="38"/>
      <c r="G178" s="39"/>
    </row>
    <row r="179" spans="1:7" ht="15.75" x14ac:dyDescent="0.25">
      <c r="A179" s="42"/>
      <c r="B179" s="38"/>
      <c r="C179" s="43"/>
      <c r="D179" s="43"/>
      <c r="E179" s="43" t="s">
        <v>18</v>
      </c>
      <c r="F179" s="43" t="s">
        <v>3</v>
      </c>
      <c r="G179" s="39"/>
    </row>
    <row r="180" spans="1:7" ht="15.75" x14ac:dyDescent="0.25">
      <c r="A180" s="42"/>
      <c r="B180" s="38"/>
      <c r="C180" s="44" t="s">
        <v>5</v>
      </c>
      <c r="D180" s="44"/>
      <c r="E180" s="44" t="s">
        <v>27</v>
      </c>
      <c r="F180" s="44" t="s">
        <v>6</v>
      </c>
      <c r="G180" s="39"/>
    </row>
    <row r="181" spans="1:7" ht="15.75" x14ac:dyDescent="0.25">
      <c r="A181" s="45" t="s">
        <v>67</v>
      </c>
      <c r="B181" s="36"/>
      <c r="C181" s="46"/>
      <c r="D181" s="46"/>
      <c r="E181" s="46"/>
      <c r="F181" s="46"/>
      <c r="G181" s="39"/>
    </row>
    <row r="182" spans="1:7" ht="15.75" x14ac:dyDescent="0.25">
      <c r="A182" s="42" t="s">
        <v>64</v>
      </c>
      <c r="B182" s="38"/>
      <c r="C182" s="47">
        <v>41334</v>
      </c>
      <c r="D182" s="47"/>
      <c r="E182" s="48">
        <f>+E237</f>
        <v>1.6641107756753206</v>
      </c>
      <c r="F182" s="47">
        <f>C182*E182</f>
        <v>68784.354801763708</v>
      </c>
      <c r="G182" s="39"/>
    </row>
    <row r="183" spans="1:7" ht="17.25" x14ac:dyDescent="0.35">
      <c r="A183" s="49" t="s">
        <v>65</v>
      </c>
      <c r="B183" s="50"/>
      <c r="C183" s="51">
        <v>206670</v>
      </c>
      <c r="D183" s="51"/>
      <c r="E183" s="48">
        <f>+G252</f>
        <v>1.96</v>
      </c>
      <c r="F183" s="51">
        <f>C183*E183</f>
        <v>405073.2</v>
      </c>
      <c r="G183" s="39"/>
    </row>
    <row r="184" spans="1:7" ht="17.25" x14ac:dyDescent="0.35">
      <c r="A184" s="42" t="s">
        <v>3</v>
      </c>
      <c r="B184" s="38"/>
      <c r="C184" s="47">
        <f>SUM(C182:C183)</f>
        <v>248004</v>
      </c>
      <c r="D184" s="51"/>
      <c r="E184" s="38"/>
      <c r="F184" s="47">
        <f>SUM(F182:F183)</f>
        <v>473857.55480176373</v>
      </c>
      <c r="G184" s="39"/>
    </row>
    <row r="185" spans="1:7" ht="15" x14ac:dyDescent="0.2">
      <c r="A185" s="42"/>
      <c r="B185" s="38"/>
      <c r="C185" s="38"/>
      <c r="D185" s="38"/>
      <c r="E185" s="38"/>
      <c r="F185" s="38"/>
      <c r="G185" s="39"/>
    </row>
    <row r="186" spans="1:7" ht="15.75" x14ac:dyDescent="0.25">
      <c r="A186" s="35" t="s">
        <v>28</v>
      </c>
      <c r="B186" s="38"/>
      <c r="C186" s="38"/>
      <c r="D186" s="38"/>
      <c r="E186" s="38"/>
      <c r="F186" s="47">
        <v>494632</v>
      </c>
      <c r="G186" s="39"/>
    </row>
    <row r="187" spans="1:7" ht="15" x14ac:dyDescent="0.2">
      <c r="A187" s="42"/>
      <c r="B187" s="38"/>
      <c r="C187" s="38"/>
      <c r="D187" s="38"/>
      <c r="E187" s="38"/>
      <c r="F187" s="38"/>
      <c r="G187" s="39"/>
    </row>
    <row r="188" spans="1:7" ht="15" x14ac:dyDescent="0.2">
      <c r="A188" s="42" t="s">
        <v>29</v>
      </c>
      <c r="B188" s="38"/>
      <c r="C188" s="38"/>
      <c r="D188" s="38"/>
      <c r="E188" s="38"/>
      <c r="F188" s="47">
        <v>20775</v>
      </c>
      <c r="G188" s="39"/>
    </row>
    <row r="189" spans="1:7" ht="15" x14ac:dyDescent="0.2">
      <c r="A189" s="42"/>
      <c r="B189" s="38"/>
      <c r="C189" s="38"/>
      <c r="D189" s="38"/>
      <c r="E189" s="38"/>
      <c r="F189" s="38"/>
      <c r="G189" s="39"/>
    </row>
    <row r="190" spans="1:7" ht="15" x14ac:dyDescent="0.2">
      <c r="A190" s="42" t="s">
        <v>30</v>
      </c>
      <c r="B190" s="38"/>
      <c r="C190" s="38"/>
      <c r="D190" s="38"/>
      <c r="E190" s="38"/>
      <c r="F190" s="47">
        <f>+C184</f>
        <v>248004</v>
      </c>
      <c r="G190" s="39"/>
    </row>
    <row r="191" spans="1:7" ht="15" x14ac:dyDescent="0.2">
      <c r="A191" s="42"/>
      <c r="B191" s="38"/>
      <c r="C191" s="38"/>
      <c r="D191" s="38"/>
      <c r="E191" s="38"/>
      <c r="F191" s="38"/>
      <c r="G191" s="39"/>
    </row>
    <row r="192" spans="1:7" ht="15" x14ac:dyDescent="0.2">
      <c r="A192" s="42" t="s">
        <v>31</v>
      </c>
      <c r="B192" s="38"/>
      <c r="C192" s="38"/>
      <c r="D192" s="38"/>
      <c r="E192" s="38"/>
      <c r="F192" s="61"/>
      <c r="G192" s="52">
        <f>ROUND(F188/F190,2)</f>
        <v>0.08</v>
      </c>
    </row>
    <row r="193" spans="1:7" ht="15" x14ac:dyDescent="0.2">
      <c r="A193" s="42"/>
      <c r="B193" s="38"/>
      <c r="C193" s="38"/>
      <c r="D193" s="38"/>
      <c r="E193" s="38"/>
      <c r="F193" s="38"/>
      <c r="G193" s="52"/>
    </row>
    <row r="194" spans="1:7" ht="15" x14ac:dyDescent="0.2">
      <c r="A194" s="42"/>
      <c r="B194" s="38"/>
      <c r="C194" s="38"/>
      <c r="D194" s="38"/>
      <c r="E194" s="38"/>
      <c r="F194" s="38"/>
      <c r="G194" s="52"/>
    </row>
    <row r="195" spans="1:7" ht="15" x14ac:dyDescent="0.2">
      <c r="A195" s="42"/>
      <c r="B195" s="38"/>
      <c r="C195" s="38"/>
      <c r="D195" s="38"/>
      <c r="E195" s="38"/>
      <c r="F195" s="38"/>
      <c r="G195" s="52"/>
    </row>
    <row r="196" spans="1:7" ht="15.75" x14ac:dyDescent="0.25">
      <c r="A196" s="45" t="s">
        <v>84</v>
      </c>
      <c r="B196" s="36"/>
      <c r="C196" s="38"/>
      <c r="D196" s="38"/>
      <c r="E196" s="38"/>
      <c r="F196" s="53">
        <f>+F186</f>
        <v>494632</v>
      </c>
      <c r="G196" s="52"/>
    </row>
    <row r="197" spans="1:7" ht="15" x14ac:dyDescent="0.2">
      <c r="A197" s="42" t="s">
        <v>30</v>
      </c>
      <c r="B197" s="38"/>
      <c r="C197" s="38"/>
      <c r="D197" s="38"/>
      <c r="E197" s="38"/>
      <c r="F197" s="47">
        <f>+C184</f>
        <v>248004</v>
      </c>
      <c r="G197" s="52"/>
    </row>
    <row r="198" spans="1:7" ht="17.25" x14ac:dyDescent="0.35">
      <c r="A198" s="42" t="s">
        <v>32</v>
      </c>
      <c r="B198" s="38"/>
      <c r="C198" s="38"/>
      <c r="D198" s="38"/>
      <c r="E198" s="38"/>
      <c r="F198" s="38"/>
      <c r="G198" s="55">
        <f>ROUND(+F196/F197,2)</f>
        <v>1.99</v>
      </c>
    </row>
    <row r="199" spans="1:7" ht="15" x14ac:dyDescent="0.2">
      <c r="A199" s="42"/>
      <c r="B199" s="38"/>
      <c r="C199" s="38"/>
      <c r="D199" s="38"/>
      <c r="E199" s="38"/>
      <c r="F199" s="38"/>
      <c r="G199" s="52"/>
    </row>
    <row r="200" spans="1:7" ht="15" x14ac:dyDescent="0.2">
      <c r="A200" s="42"/>
      <c r="B200" s="38"/>
      <c r="C200" s="38"/>
      <c r="D200" s="38"/>
      <c r="E200" s="38"/>
      <c r="F200" s="38"/>
      <c r="G200" s="52"/>
    </row>
    <row r="201" spans="1:7" ht="16.5" thickBot="1" x14ac:dyDescent="0.3">
      <c r="A201" s="35" t="s">
        <v>33</v>
      </c>
      <c r="B201" s="36"/>
      <c r="C201" s="38"/>
      <c r="D201" s="38"/>
      <c r="E201" s="38"/>
      <c r="F201" s="38"/>
      <c r="G201" s="58">
        <f>SUM(G192:G198)</f>
        <v>2.0699999999999998</v>
      </c>
    </row>
    <row r="202" spans="1:7" ht="14.25" thickTop="1" thickBot="1" x14ac:dyDescent="0.25">
      <c r="A202" s="19"/>
      <c r="B202" s="20"/>
      <c r="C202" s="20"/>
      <c r="D202" s="20"/>
      <c r="E202" s="20"/>
      <c r="F202" s="20"/>
      <c r="G202" s="21"/>
    </row>
    <row r="203" spans="1:7" ht="15" x14ac:dyDescent="0.2">
      <c r="A203" s="238" t="s">
        <v>34</v>
      </c>
      <c r="B203" s="239"/>
      <c r="C203" s="239"/>
      <c r="D203" s="239"/>
      <c r="E203" s="239"/>
      <c r="F203" s="239"/>
      <c r="G203" s="240"/>
    </row>
    <row r="204" spans="1:7" ht="15" x14ac:dyDescent="0.2">
      <c r="A204" s="49"/>
      <c r="B204" s="50"/>
      <c r="C204" s="50"/>
      <c r="D204" s="50"/>
      <c r="E204" s="50"/>
      <c r="F204" s="50"/>
      <c r="G204" s="64"/>
    </row>
    <row r="205" spans="1:7" ht="15.75" x14ac:dyDescent="0.25">
      <c r="A205" s="49"/>
      <c r="B205" s="50"/>
      <c r="C205" s="43"/>
      <c r="D205" s="43"/>
      <c r="E205" s="43" t="s">
        <v>18</v>
      </c>
      <c r="F205" s="43" t="s">
        <v>3</v>
      </c>
      <c r="G205" s="64"/>
    </row>
    <row r="206" spans="1:7" ht="15.75" x14ac:dyDescent="0.25">
      <c r="A206" s="49"/>
      <c r="B206" s="50"/>
      <c r="C206" s="65" t="s">
        <v>25</v>
      </c>
      <c r="D206" s="65"/>
      <c r="E206" s="65" t="s">
        <v>27</v>
      </c>
      <c r="F206" s="65" t="s">
        <v>6</v>
      </c>
      <c r="G206" s="64"/>
    </row>
    <row r="207" spans="1:7" ht="15.75" x14ac:dyDescent="0.25">
      <c r="A207" s="45" t="s">
        <v>67</v>
      </c>
      <c r="B207" s="36"/>
      <c r="C207" s="66"/>
      <c r="D207" s="66"/>
      <c r="E207" s="66"/>
      <c r="F207" s="66"/>
      <c r="G207" s="64"/>
    </row>
    <row r="208" spans="1:7" ht="15.75" x14ac:dyDescent="0.25">
      <c r="A208" s="42" t="s">
        <v>64</v>
      </c>
      <c r="B208" s="50"/>
      <c r="C208" s="67">
        <v>3534</v>
      </c>
      <c r="D208" s="67"/>
      <c r="E208" s="68">
        <f>+E263</f>
        <v>0.19</v>
      </c>
      <c r="F208" s="67">
        <f>E208*C208</f>
        <v>671.46</v>
      </c>
      <c r="G208" s="64"/>
    </row>
    <row r="209" spans="1:7" ht="17.25" x14ac:dyDescent="0.35">
      <c r="A209" s="49" t="s">
        <v>65</v>
      </c>
      <c r="B209" s="50"/>
      <c r="C209" s="51">
        <v>17099</v>
      </c>
      <c r="D209" s="51"/>
      <c r="E209" s="68">
        <f>+G278</f>
        <v>0.23</v>
      </c>
      <c r="F209" s="51">
        <f>E209*C209</f>
        <v>3932.77</v>
      </c>
      <c r="G209" s="64"/>
    </row>
    <row r="210" spans="1:7" ht="15" x14ac:dyDescent="0.2">
      <c r="A210" s="42" t="s">
        <v>3</v>
      </c>
      <c r="B210" s="50"/>
      <c r="C210" s="67">
        <f>SUM(C208:C209)</f>
        <v>20633</v>
      </c>
      <c r="D210" s="67"/>
      <c r="E210" s="50"/>
      <c r="F210" s="67">
        <f>SUM(F208:F209)</f>
        <v>4604.2299999999996</v>
      </c>
      <c r="G210" s="64"/>
    </row>
    <row r="211" spans="1:7" ht="15" x14ac:dyDescent="0.2">
      <c r="A211" s="42"/>
      <c r="B211" s="50"/>
      <c r="C211" s="50"/>
      <c r="D211" s="50"/>
      <c r="E211" s="50"/>
      <c r="F211" s="50"/>
      <c r="G211" s="64"/>
    </row>
    <row r="212" spans="1:7" ht="15.75" x14ac:dyDescent="0.25">
      <c r="A212" s="35" t="s">
        <v>28</v>
      </c>
      <c r="B212" s="50"/>
      <c r="C212" s="50"/>
      <c r="D212" s="50"/>
      <c r="E212" s="50"/>
      <c r="F212" s="69">
        <v>5419</v>
      </c>
      <c r="G212" s="64"/>
    </row>
    <row r="213" spans="1:7" ht="15" x14ac:dyDescent="0.2">
      <c r="A213" s="42"/>
      <c r="B213" s="50"/>
      <c r="C213" s="50"/>
      <c r="D213" s="50"/>
      <c r="E213" s="50"/>
      <c r="F213" s="50"/>
      <c r="G213" s="64"/>
    </row>
    <row r="214" spans="1:7" ht="15" x14ac:dyDescent="0.2">
      <c r="A214" s="42" t="s">
        <v>29</v>
      </c>
      <c r="B214" s="50"/>
      <c r="C214" s="50"/>
      <c r="D214" s="50"/>
      <c r="E214" s="50"/>
      <c r="F214" s="67">
        <v>814</v>
      </c>
      <c r="G214" s="64"/>
    </row>
    <row r="215" spans="1:7" ht="15" x14ac:dyDescent="0.2">
      <c r="A215" s="42"/>
      <c r="B215" s="50"/>
      <c r="C215" s="50"/>
      <c r="D215" s="50"/>
      <c r="E215" s="50"/>
      <c r="F215" s="50"/>
      <c r="G215" s="64"/>
    </row>
    <row r="216" spans="1:7" ht="15" x14ac:dyDescent="0.2">
      <c r="A216" s="42" t="s">
        <v>30</v>
      </c>
      <c r="B216" s="50"/>
      <c r="C216" s="50"/>
      <c r="D216" s="50"/>
      <c r="E216" s="50"/>
      <c r="F216" s="67">
        <f>+C210</f>
        <v>20633</v>
      </c>
      <c r="G216" s="64"/>
    </row>
    <row r="217" spans="1:7" ht="15" x14ac:dyDescent="0.2">
      <c r="A217" s="42"/>
      <c r="B217" s="50"/>
      <c r="C217" s="50"/>
      <c r="D217" s="50"/>
      <c r="E217" s="50"/>
      <c r="F217" s="50"/>
      <c r="G217" s="64"/>
    </row>
    <row r="218" spans="1:7" ht="15" x14ac:dyDescent="0.2">
      <c r="A218" s="42" t="s">
        <v>31</v>
      </c>
      <c r="B218" s="50"/>
      <c r="C218" s="50"/>
      <c r="D218" s="50"/>
      <c r="E218" s="50"/>
      <c r="F218" s="50"/>
      <c r="G218" s="70">
        <f>ROUND(F214/F216,2)</f>
        <v>0.04</v>
      </c>
    </row>
    <row r="219" spans="1:7" ht="15" x14ac:dyDescent="0.2">
      <c r="A219" s="42"/>
      <c r="B219" s="50"/>
      <c r="C219" s="50"/>
      <c r="D219" s="50"/>
      <c r="E219" s="50"/>
      <c r="F219" s="50"/>
      <c r="G219" s="70"/>
    </row>
    <row r="220" spans="1:7" ht="15" x14ac:dyDescent="0.2">
      <c r="A220" s="42"/>
      <c r="B220" s="50"/>
      <c r="C220" s="50"/>
      <c r="D220" s="50"/>
      <c r="E220" s="50"/>
      <c r="F220" s="67"/>
      <c r="G220" s="64"/>
    </row>
    <row r="221" spans="1:7" ht="15.75" x14ac:dyDescent="0.25">
      <c r="A221" s="42"/>
      <c r="B221" s="36"/>
      <c r="C221" s="50"/>
      <c r="D221" s="50"/>
      <c r="E221" s="50"/>
      <c r="F221" s="67"/>
      <c r="G221" s="64"/>
    </row>
    <row r="222" spans="1:7" ht="15.75" x14ac:dyDescent="0.25">
      <c r="A222" s="45" t="s">
        <v>84</v>
      </c>
      <c r="B222" s="50"/>
      <c r="C222" s="50"/>
      <c r="D222" s="50"/>
      <c r="E222" s="50"/>
      <c r="F222" s="54">
        <f>+F212</f>
        <v>5419</v>
      </c>
      <c r="G222" s="64"/>
    </row>
    <row r="223" spans="1:7" ht="15" x14ac:dyDescent="0.2">
      <c r="A223" s="42" t="s">
        <v>30</v>
      </c>
      <c r="B223" s="50"/>
      <c r="C223" s="50"/>
      <c r="D223" s="50"/>
      <c r="E223" s="50"/>
      <c r="F223" s="67">
        <f>+C210</f>
        <v>20633</v>
      </c>
      <c r="G223" s="64"/>
    </row>
    <row r="224" spans="1:7" ht="17.25" x14ac:dyDescent="0.35">
      <c r="A224" s="42" t="s">
        <v>32</v>
      </c>
      <c r="B224" s="50"/>
      <c r="C224" s="50"/>
      <c r="D224" s="50"/>
      <c r="E224" s="50"/>
      <c r="F224" s="50"/>
      <c r="G224" s="57">
        <f>ROUND(+F222/F223,2)</f>
        <v>0.26</v>
      </c>
    </row>
    <row r="225" spans="1:7" ht="17.25" x14ac:dyDescent="0.35">
      <c r="A225" s="42"/>
      <c r="B225" s="50"/>
      <c r="C225" s="50"/>
      <c r="D225" s="50"/>
      <c r="E225" s="50"/>
      <c r="F225" s="50"/>
      <c r="G225" s="57"/>
    </row>
    <row r="226" spans="1:7" ht="16.5" thickBot="1" x14ac:dyDescent="0.3">
      <c r="A226" s="35" t="s">
        <v>35</v>
      </c>
      <c r="B226" s="36"/>
      <c r="C226" s="50"/>
      <c r="D226" s="50"/>
      <c r="E226" s="50"/>
      <c r="F226" s="50"/>
      <c r="G226" s="71">
        <f>+G224+G218+G219</f>
        <v>0.3</v>
      </c>
    </row>
    <row r="227" spans="1:7" ht="16.5" thickTop="1" thickBot="1" x14ac:dyDescent="0.25">
      <c r="A227" s="72"/>
      <c r="B227" s="73"/>
      <c r="C227" s="73"/>
      <c r="D227" s="73"/>
      <c r="E227" s="73"/>
      <c r="F227" s="73"/>
      <c r="G227" s="74"/>
    </row>
    <row r="228" spans="1:7" ht="23.25" x14ac:dyDescent="0.35">
      <c r="A228" s="31" t="s">
        <v>63</v>
      </c>
      <c r="B228" s="32"/>
      <c r="C228" s="33"/>
      <c r="D228" s="33"/>
      <c r="E228" s="33"/>
      <c r="F228" s="33"/>
      <c r="G228" s="34"/>
    </row>
    <row r="229" spans="1:7" ht="15.75" x14ac:dyDescent="0.25">
      <c r="A229" s="35" t="s">
        <v>61</v>
      </c>
      <c r="B229" s="36"/>
      <c r="C229" s="37"/>
      <c r="D229" s="37"/>
      <c r="E229" s="38"/>
      <c r="F229" s="38"/>
      <c r="G229" s="39"/>
    </row>
    <row r="230" spans="1:7" ht="15.75" x14ac:dyDescent="0.25">
      <c r="A230" s="40"/>
      <c r="B230" s="41"/>
      <c r="C230" s="38"/>
      <c r="D230" s="38"/>
      <c r="E230" s="38"/>
      <c r="F230" s="38"/>
      <c r="G230" s="39"/>
    </row>
    <row r="231" spans="1:7" ht="15" x14ac:dyDescent="0.2">
      <c r="A231" s="238" t="s">
        <v>26</v>
      </c>
      <c r="B231" s="239"/>
      <c r="C231" s="239"/>
      <c r="D231" s="239"/>
      <c r="E231" s="239"/>
      <c r="F231" s="239"/>
      <c r="G231" s="240"/>
    </row>
    <row r="232" spans="1:7" ht="15" x14ac:dyDescent="0.2">
      <c r="A232" s="42"/>
      <c r="B232" s="38"/>
      <c r="C232" s="38"/>
      <c r="D232" s="38"/>
      <c r="E232" s="38"/>
      <c r="F232" s="38"/>
      <c r="G232" s="39"/>
    </row>
    <row r="233" spans="1:7" ht="15.75" x14ac:dyDescent="0.25">
      <c r="A233" s="42"/>
      <c r="B233" s="38"/>
      <c r="C233" s="43"/>
      <c r="D233" s="43"/>
      <c r="E233" s="43" t="s">
        <v>18</v>
      </c>
      <c r="F233" s="43" t="s">
        <v>3</v>
      </c>
      <c r="G233" s="39"/>
    </row>
    <row r="234" spans="1:7" ht="15.75" x14ac:dyDescent="0.25">
      <c r="A234" s="42"/>
      <c r="B234" s="38"/>
      <c r="C234" s="44" t="s">
        <v>5</v>
      </c>
      <c r="D234" s="44"/>
      <c r="E234" s="44" t="s">
        <v>27</v>
      </c>
      <c r="F234" s="44" t="s">
        <v>6</v>
      </c>
      <c r="G234" s="39"/>
    </row>
    <row r="235" spans="1:7" ht="15.75" x14ac:dyDescent="0.25">
      <c r="A235" s="45" t="s">
        <v>66</v>
      </c>
      <c r="B235" s="36"/>
      <c r="C235" s="46"/>
      <c r="D235" s="46"/>
      <c r="E235" s="46"/>
      <c r="F235" s="46"/>
      <c r="G235" s="39"/>
    </row>
    <row r="236" spans="1:7" ht="15.75" x14ac:dyDescent="0.25">
      <c r="A236" s="42" t="s">
        <v>64</v>
      </c>
      <c r="B236" s="38"/>
      <c r="C236" s="47">
        <v>90954</v>
      </c>
      <c r="D236" s="47"/>
      <c r="E236" s="48">
        <f>+E291</f>
        <v>0.91</v>
      </c>
      <c r="F236" s="47">
        <f>C236*E236</f>
        <v>82768.14</v>
      </c>
      <c r="G236" s="39"/>
    </row>
    <row r="237" spans="1:7" ht="17.25" x14ac:dyDescent="0.35">
      <c r="A237" s="49" t="s">
        <v>65</v>
      </c>
      <c r="B237" s="50"/>
      <c r="C237" s="51">
        <v>454770</v>
      </c>
      <c r="D237" s="51"/>
      <c r="E237" s="48">
        <f>+G306</f>
        <v>1.6641107756753206</v>
      </c>
      <c r="F237" s="51">
        <f>C237*E237</f>
        <v>756787.65745386551</v>
      </c>
      <c r="G237" s="39"/>
    </row>
    <row r="238" spans="1:7" ht="15" x14ac:dyDescent="0.2">
      <c r="A238" s="42" t="s">
        <v>3</v>
      </c>
      <c r="B238" s="38"/>
      <c r="C238" s="47">
        <f>SUM(C236:C237)</f>
        <v>545724</v>
      </c>
      <c r="D238" s="47"/>
      <c r="E238" s="38"/>
      <c r="F238" s="47">
        <f>SUM(F236:F237)</f>
        <v>839555.79745386553</v>
      </c>
      <c r="G238" s="39"/>
    </row>
    <row r="239" spans="1:7" ht="15" x14ac:dyDescent="0.2">
      <c r="A239" s="42"/>
      <c r="B239" s="38"/>
      <c r="C239" s="38"/>
      <c r="D239" s="38"/>
      <c r="E239" s="38"/>
      <c r="F239" s="38"/>
      <c r="G239" s="39"/>
    </row>
    <row r="240" spans="1:7" ht="15.75" x14ac:dyDescent="0.25">
      <c r="A240" s="35" t="s">
        <v>28</v>
      </c>
      <c r="B240" s="38"/>
      <c r="C240" s="38"/>
      <c r="D240" s="38"/>
      <c r="E240" s="38"/>
      <c r="F240" s="47">
        <v>1070318.8014882323</v>
      </c>
      <c r="G240" s="39"/>
    </row>
    <row r="241" spans="1:7" ht="15" x14ac:dyDescent="0.2">
      <c r="A241" s="42"/>
      <c r="B241" s="38"/>
      <c r="C241" s="38"/>
      <c r="D241" s="38"/>
      <c r="E241" s="38"/>
      <c r="F241" s="38"/>
      <c r="G241" s="39"/>
    </row>
    <row r="242" spans="1:7" ht="15" x14ac:dyDescent="0.2">
      <c r="A242" s="42" t="s">
        <v>29</v>
      </c>
      <c r="B242" s="38"/>
      <c r="C242" s="38"/>
      <c r="D242" s="38"/>
      <c r="E242" s="38"/>
      <c r="F242" s="47">
        <f>F240-F238</f>
        <v>230763.00403436681</v>
      </c>
      <c r="G242" s="39"/>
    </row>
    <row r="243" spans="1:7" ht="15" x14ac:dyDescent="0.2">
      <c r="A243" s="42"/>
      <c r="B243" s="38"/>
      <c r="C243" s="38"/>
      <c r="D243" s="38"/>
      <c r="E243" s="38"/>
      <c r="F243" s="38"/>
      <c r="G243" s="39"/>
    </row>
    <row r="244" spans="1:7" ht="15" x14ac:dyDescent="0.2">
      <c r="A244" s="42" t="s">
        <v>30</v>
      </c>
      <c r="B244" s="38"/>
      <c r="C244" s="38"/>
      <c r="D244" s="38"/>
      <c r="E244" s="38"/>
      <c r="F244" s="47">
        <f>+C238</f>
        <v>545724</v>
      </c>
      <c r="G244" s="39"/>
    </row>
    <row r="245" spans="1:7" ht="15" x14ac:dyDescent="0.2">
      <c r="A245" s="42"/>
      <c r="B245" s="38"/>
      <c r="C245" s="38"/>
      <c r="D245" s="38"/>
      <c r="E245" s="38"/>
      <c r="F245" s="38"/>
      <c r="G245" s="39"/>
    </row>
    <row r="246" spans="1:7" ht="15" x14ac:dyDescent="0.2">
      <c r="A246" s="42" t="s">
        <v>31</v>
      </c>
      <c r="B246" s="38"/>
      <c r="C246" s="38"/>
      <c r="D246" s="38"/>
      <c r="E246" s="38"/>
      <c r="F246" s="61"/>
      <c r="G246" s="52">
        <f>ROUND(F242/F244,2)</f>
        <v>0.42</v>
      </c>
    </row>
    <row r="247" spans="1:7" ht="15" x14ac:dyDescent="0.2">
      <c r="A247" s="42"/>
      <c r="B247" s="38"/>
      <c r="C247" s="38"/>
      <c r="D247" s="38"/>
      <c r="E247" s="38"/>
      <c r="F247" s="38"/>
      <c r="G247" s="52"/>
    </row>
    <row r="248" spans="1:7" ht="15" x14ac:dyDescent="0.2">
      <c r="A248" s="42"/>
      <c r="B248" s="38"/>
      <c r="C248" s="38"/>
      <c r="D248" s="38"/>
      <c r="E248" s="38"/>
      <c r="F248" s="38"/>
      <c r="G248" s="52"/>
    </row>
    <row r="249" spans="1:7" ht="15" x14ac:dyDescent="0.2">
      <c r="A249" s="42"/>
      <c r="B249" s="38"/>
      <c r="C249" s="38"/>
      <c r="D249" s="38"/>
      <c r="E249" s="38"/>
      <c r="F249" s="38"/>
      <c r="G249" s="52"/>
    </row>
    <row r="250" spans="1:7" ht="15.75" x14ac:dyDescent="0.25">
      <c r="A250" s="45" t="s">
        <v>67</v>
      </c>
      <c r="B250" s="36"/>
      <c r="C250" s="38"/>
      <c r="D250" s="38"/>
      <c r="E250" s="38"/>
      <c r="F250" s="53">
        <f>+F240</f>
        <v>1070318.8014882323</v>
      </c>
      <c r="G250" s="52"/>
    </row>
    <row r="251" spans="1:7" ht="15" x14ac:dyDescent="0.2">
      <c r="A251" s="42" t="s">
        <v>30</v>
      </c>
      <c r="B251" s="38"/>
      <c r="C251" s="38"/>
      <c r="D251" s="38"/>
      <c r="E251" s="38"/>
      <c r="F251" s="47">
        <f>+C238</f>
        <v>545724</v>
      </c>
      <c r="G251" s="52"/>
    </row>
    <row r="252" spans="1:7" ht="17.25" x14ac:dyDescent="0.35">
      <c r="A252" s="42" t="s">
        <v>32</v>
      </c>
      <c r="B252" s="38"/>
      <c r="C252" s="38"/>
      <c r="D252" s="38"/>
      <c r="E252" s="38"/>
      <c r="F252" s="38"/>
      <c r="G252" s="55">
        <f>ROUND(+F250/F251,2)</f>
        <v>1.96</v>
      </c>
    </row>
    <row r="253" spans="1:7" ht="15" x14ac:dyDescent="0.2">
      <c r="A253" s="42"/>
      <c r="B253" s="38"/>
      <c r="C253" s="38"/>
      <c r="D253" s="38"/>
      <c r="E253" s="38"/>
      <c r="F253" s="38"/>
      <c r="G253" s="52"/>
    </row>
    <row r="254" spans="1:7" ht="15" x14ac:dyDescent="0.2">
      <c r="A254" s="42"/>
      <c r="B254" s="38"/>
      <c r="C254" s="38"/>
      <c r="D254" s="38"/>
      <c r="E254" s="38"/>
      <c r="F254" s="38"/>
      <c r="G254" s="52"/>
    </row>
    <row r="255" spans="1:7" ht="16.5" thickBot="1" x14ac:dyDescent="0.3">
      <c r="A255" s="35" t="s">
        <v>33</v>
      </c>
      <c r="B255" s="36"/>
      <c r="C255" s="38"/>
      <c r="D255" s="38"/>
      <c r="E255" s="38"/>
      <c r="F255" s="38"/>
      <c r="G255" s="58">
        <f>SUM(G246:G252)</f>
        <v>2.38</v>
      </c>
    </row>
    <row r="256" spans="1:7" ht="14.25" thickTop="1" thickBot="1" x14ac:dyDescent="0.25">
      <c r="A256" s="19"/>
      <c r="B256" s="20"/>
      <c r="C256" s="20"/>
      <c r="D256" s="20"/>
      <c r="E256" s="20"/>
      <c r="F256" s="20"/>
      <c r="G256" s="21"/>
    </row>
    <row r="257" spans="1:7" ht="15" x14ac:dyDescent="0.2">
      <c r="A257" s="238" t="s">
        <v>34</v>
      </c>
      <c r="B257" s="239"/>
      <c r="C257" s="239"/>
      <c r="D257" s="239"/>
      <c r="E257" s="239"/>
      <c r="F257" s="239"/>
      <c r="G257" s="240"/>
    </row>
    <row r="258" spans="1:7" ht="15" x14ac:dyDescent="0.2">
      <c r="A258" s="49"/>
      <c r="B258" s="50"/>
      <c r="C258" s="50"/>
      <c r="D258" s="50"/>
      <c r="E258" s="50"/>
      <c r="F258" s="50"/>
      <c r="G258" s="64"/>
    </row>
    <row r="259" spans="1:7" ht="15.75" x14ac:dyDescent="0.25">
      <c r="A259" s="49"/>
      <c r="B259" s="50"/>
      <c r="C259" s="43"/>
      <c r="D259" s="43"/>
      <c r="E259" s="43" t="s">
        <v>18</v>
      </c>
      <c r="F259" s="43" t="s">
        <v>3</v>
      </c>
      <c r="G259" s="64"/>
    </row>
    <row r="260" spans="1:7" ht="15.75" x14ac:dyDescent="0.25">
      <c r="A260" s="49"/>
      <c r="B260" s="50"/>
      <c r="C260" s="65" t="s">
        <v>25</v>
      </c>
      <c r="D260" s="65"/>
      <c r="E260" s="65" t="s">
        <v>27</v>
      </c>
      <c r="F260" s="65" t="s">
        <v>6</v>
      </c>
      <c r="G260" s="64"/>
    </row>
    <row r="261" spans="1:7" ht="15.75" x14ac:dyDescent="0.25">
      <c r="A261" s="45" t="s">
        <v>66</v>
      </c>
      <c r="B261" s="36"/>
      <c r="C261" s="66"/>
      <c r="D261" s="66"/>
      <c r="E261" s="66"/>
      <c r="F261" s="66"/>
      <c r="G261" s="64"/>
    </row>
    <row r="262" spans="1:7" ht="15.75" x14ac:dyDescent="0.25">
      <c r="A262" s="42" t="s">
        <v>64</v>
      </c>
      <c r="B262" s="50"/>
      <c r="C262" s="67">
        <v>15544.573148514854</v>
      </c>
      <c r="D262" s="67"/>
      <c r="E262" s="68">
        <f>+E317</f>
        <v>0.23</v>
      </c>
      <c r="F262" s="67">
        <f>E262*C262</f>
        <v>3575.2518241584166</v>
      </c>
      <c r="G262" s="64"/>
    </row>
    <row r="263" spans="1:7" ht="17.25" x14ac:dyDescent="0.35">
      <c r="A263" s="49" t="s">
        <v>65</v>
      </c>
      <c r="B263" s="50"/>
      <c r="C263" s="51">
        <v>77722.865742574271</v>
      </c>
      <c r="D263" s="51"/>
      <c r="E263" s="68">
        <f>+G332</f>
        <v>0.19</v>
      </c>
      <c r="F263" s="51">
        <f>E263*C263</f>
        <v>14767.344491089112</v>
      </c>
      <c r="G263" s="64"/>
    </row>
    <row r="264" spans="1:7" ht="15" x14ac:dyDescent="0.2">
      <c r="A264" s="42" t="s">
        <v>3</v>
      </c>
      <c r="B264" s="50"/>
      <c r="C264" s="67">
        <f>SUM(C262:C263)</f>
        <v>93267.438891089128</v>
      </c>
      <c r="D264" s="67"/>
      <c r="E264" s="50"/>
      <c r="F264" s="67">
        <f>SUM(F262:F263)</f>
        <v>18342.596315247531</v>
      </c>
      <c r="G264" s="64"/>
    </row>
    <row r="265" spans="1:7" ht="15" x14ac:dyDescent="0.2">
      <c r="A265" s="42"/>
      <c r="B265" s="50"/>
      <c r="C265" s="50"/>
      <c r="D265" s="50"/>
      <c r="E265" s="50"/>
      <c r="F265" s="50"/>
      <c r="G265" s="64"/>
    </row>
    <row r="266" spans="1:7" ht="15.75" x14ac:dyDescent="0.25">
      <c r="A266" s="35" t="s">
        <v>28</v>
      </c>
      <c r="B266" s="50"/>
      <c r="C266" s="50"/>
      <c r="D266" s="50"/>
      <c r="E266" s="50"/>
      <c r="F266" s="69">
        <v>21605.51866847141</v>
      </c>
      <c r="G266" s="64"/>
    </row>
    <row r="267" spans="1:7" ht="15" x14ac:dyDescent="0.2">
      <c r="A267" s="42"/>
      <c r="B267" s="50"/>
      <c r="C267" s="50"/>
      <c r="D267" s="50"/>
      <c r="E267" s="50"/>
      <c r="F267" s="50"/>
      <c r="G267" s="64"/>
    </row>
    <row r="268" spans="1:7" ht="15" x14ac:dyDescent="0.2">
      <c r="A268" s="42" t="s">
        <v>29</v>
      </c>
      <c r="B268" s="50"/>
      <c r="C268" s="50"/>
      <c r="D268" s="50"/>
      <c r="E268" s="50"/>
      <c r="F268" s="67">
        <f>F266-F264</f>
        <v>3262.9223532238793</v>
      </c>
      <c r="G268" s="64"/>
    </row>
    <row r="269" spans="1:7" ht="15" x14ac:dyDescent="0.2">
      <c r="A269" s="42"/>
      <c r="B269" s="50"/>
      <c r="C269" s="50"/>
      <c r="D269" s="50"/>
      <c r="E269" s="50"/>
      <c r="F269" s="50"/>
      <c r="G269" s="64"/>
    </row>
    <row r="270" spans="1:7" ht="15" x14ac:dyDescent="0.2">
      <c r="A270" s="42" t="s">
        <v>30</v>
      </c>
      <c r="B270" s="50"/>
      <c r="C270" s="50"/>
      <c r="D270" s="50"/>
      <c r="E270" s="50"/>
      <c r="F270" s="67">
        <f>+C264</f>
        <v>93267.438891089128</v>
      </c>
      <c r="G270" s="64"/>
    </row>
    <row r="271" spans="1:7" ht="15" x14ac:dyDescent="0.2">
      <c r="A271" s="42"/>
      <c r="B271" s="50"/>
      <c r="C271" s="50"/>
      <c r="D271" s="50"/>
      <c r="E271" s="50"/>
      <c r="F271" s="50"/>
      <c r="G271" s="64"/>
    </row>
    <row r="272" spans="1:7" ht="15" x14ac:dyDescent="0.2">
      <c r="A272" s="42" t="s">
        <v>31</v>
      </c>
      <c r="B272" s="50"/>
      <c r="C272" s="50"/>
      <c r="D272" s="50"/>
      <c r="E272" s="50"/>
      <c r="F272" s="50"/>
      <c r="G272" s="70">
        <f>ROUND(F268/F270,2)</f>
        <v>0.03</v>
      </c>
    </row>
    <row r="273" spans="1:8" ht="15" x14ac:dyDescent="0.2">
      <c r="A273" s="42"/>
      <c r="B273" s="50"/>
      <c r="C273" s="50"/>
      <c r="D273" s="50"/>
      <c r="E273" s="50"/>
      <c r="F273" s="50"/>
      <c r="G273" s="70"/>
    </row>
    <row r="274" spans="1:8" ht="15" x14ac:dyDescent="0.2">
      <c r="A274" s="42"/>
      <c r="B274" s="50"/>
      <c r="C274" s="50"/>
      <c r="D274" s="50"/>
      <c r="E274" s="50"/>
      <c r="F274" s="67"/>
      <c r="G274" s="64"/>
    </row>
    <row r="275" spans="1:8" ht="15.75" x14ac:dyDescent="0.25">
      <c r="A275" s="42"/>
      <c r="B275" s="36"/>
      <c r="C275" s="50"/>
      <c r="D275" s="50"/>
      <c r="E275" s="50"/>
      <c r="F275" s="67"/>
      <c r="G275" s="64"/>
    </row>
    <row r="276" spans="1:8" ht="15.75" x14ac:dyDescent="0.25">
      <c r="A276" s="45" t="s">
        <v>67</v>
      </c>
      <c r="B276" s="50"/>
      <c r="C276" s="50"/>
      <c r="D276" s="50"/>
      <c r="E276" s="50"/>
      <c r="F276" s="54">
        <f>+F266</f>
        <v>21605.51866847141</v>
      </c>
      <c r="G276" s="64"/>
    </row>
    <row r="277" spans="1:8" ht="15" x14ac:dyDescent="0.2">
      <c r="A277" s="42" t="s">
        <v>30</v>
      </c>
      <c r="B277" s="50"/>
      <c r="C277" s="50"/>
      <c r="D277" s="50"/>
      <c r="E277" s="50"/>
      <c r="F277" s="67">
        <f>+C264</f>
        <v>93267.438891089128</v>
      </c>
      <c r="G277" s="64"/>
      <c r="H277" s="119"/>
    </row>
    <row r="278" spans="1:8" ht="17.25" x14ac:dyDescent="0.35">
      <c r="A278" s="42" t="s">
        <v>32</v>
      </c>
      <c r="B278" s="50"/>
      <c r="C278" s="50"/>
      <c r="D278" s="50"/>
      <c r="E278" s="50"/>
      <c r="F278" s="50"/>
      <c r="G278" s="57">
        <f>ROUND(+F276/F277,2)</f>
        <v>0.23</v>
      </c>
    </row>
    <row r="279" spans="1:8" ht="17.25" x14ac:dyDescent="0.35">
      <c r="A279" s="42"/>
      <c r="B279" s="50"/>
      <c r="C279" s="50"/>
      <c r="D279" s="50"/>
      <c r="E279" s="50"/>
      <c r="F279" s="50"/>
      <c r="G279" s="57"/>
    </row>
    <row r="280" spans="1:8" ht="16.5" thickBot="1" x14ac:dyDescent="0.3">
      <c r="A280" s="35" t="s">
        <v>35</v>
      </c>
      <c r="B280" s="36"/>
      <c r="C280" s="50"/>
      <c r="D280" s="50"/>
      <c r="E280" s="50"/>
      <c r="F280" s="50"/>
      <c r="G280" s="71">
        <f>+G278+G272+G273</f>
        <v>0.26</v>
      </c>
    </row>
    <row r="281" spans="1:8" ht="16.5" thickTop="1" thickBot="1" x14ac:dyDescent="0.25">
      <c r="A281" s="72"/>
      <c r="B281" s="73"/>
      <c r="C281" s="73"/>
      <c r="D281" s="73"/>
      <c r="E281" s="73"/>
      <c r="F281" s="73"/>
      <c r="G281" s="74"/>
    </row>
    <row r="282" spans="1:8" ht="23.25" x14ac:dyDescent="0.35">
      <c r="A282" s="31" t="s">
        <v>63</v>
      </c>
      <c r="B282" s="32"/>
      <c r="C282" s="33"/>
      <c r="D282" s="33"/>
      <c r="E282" s="33"/>
      <c r="F282" s="33"/>
      <c r="G282" s="34"/>
    </row>
    <row r="283" spans="1:8" ht="15.75" x14ac:dyDescent="0.25">
      <c r="A283" s="35" t="s">
        <v>62</v>
      </c>
      <c r="B283" s="36"/>
      <c r="C283" s="37"/>
      <c r="D283" s="37"/>
      <c r="E283" s="38"/>
      <c r="F283" s="38"/>
      <c r="G283" s="39"/>
    </row>
    <row r="284" spans="1:8" ht="15.75" x14ac:dyDescent="0.25">
      <c r="A284" s="40"/>
      <c r="B284" s="41"/>
      <c r="C284" s="38"/>
      <c r="D284" s="38"/>
      <c r="E284" s="38"/>
      <c r="F284" s="38"/>
      <c r="G284" s="39"/>
    </row>
    <row r="285" spans="1:8" ht="15" x14ac:dyDescent="0.2">
      <c r="A285" s="238" t="s">
        <v>26</v>
      </c>
      <c r="B285" s="239"/>
      <c r="C285" s="239"/>
      <c r="D285" s="239"/>
      <c r="E285" s="239"/>
      <c r="F285" s="239"/>
      <c r="G285" s="240"/>
    </row>
    <row r="286" spans="1:8" ht="15" x14ac:dyDescent="0.2">
      <c r="A286" s="42"/>
      <c r="B286" s="38"/>
      <c r="C286" s="38"/>
      <c r="D286" s="38"/>
      <c r="E286" s="38"/>
      <c r="F286" s="38"/>
      <c r="G286" s="39"/>
    </row>
    <row r="287" spans="1:8" ht="15.75" x14ac:dyDescent="0.25">
      <c r="A287" s="42"/>
      <c r="B287" s="38"/>
      <c r="C287" s="43"/>
      <c r="D287" s="43"/>
      <c r="E287" s="43" t="s">
        <v>18</v>
      </c>
      <c r="F287" s="43" t="s">
        <v>3</v>
      </c>
      <c r="G287" s="39"/>
    </row>
    <row r="288" spans="1:8" ht="15.75" x14ac:dyDescent="0.25">
      <c r="A288" s="42"/>
      <c r="B288" s="38"/>
      <c r="C288" s="44" t="s">
        <v>5</v>
      </c>
      <c r="D288" s="44"/>
      <c r="E288" s="44" t="s">
        <v>27</v>
      </c>
      <c r="F288" s="44" t="s">
        <v>6</v>
      </c>
      <c r="G288" s="39"/>
    </row>
    <row r="289" spans="1:7" ht="15.75" x14ac:dyDescent="0.25">
      <c r="A289" s="45" t="s">
        <v>66</v>
      </c>
      <c r="B289" s="36"/>
      <c r="C289" s="46"/>
      <c r="D289" s="46"/>
      <c r="E289" s="46"/>
      <c r="F289" s="46"/>
      <c r="G289" s="39"/>
    </row>
    <row r="290" spans="1:7" ht="15.75" x14ac:dyDescent="0.25">
      <c r="A290" s="42" t="s">
        <v>64</v>
      </c>
      <c r="B290" s="38"/>
      <c r="C290" s="47">
        <v>87362</v>
      </c>
      <c r="D290" s="47"/>
      <c r="E290" s="48">
        <v>0.73</v>
      </c>
      <c r="F290" s="47">
        <f>C290*E290</f>
        <v>63774.26</v>
      </c>
      <c r="G290" s="39"/>
    </row>
    <row r="291" spans="1:7" ht="17.25" x14ac:dyDescent="0.35">
      <c r="A291" s="49" t="s">
        <v>65</v>
      </c>
      <c r="B291" s="50"/>
      <c r="C291" s="51">
        <v>443080</v>
      </c>
      <c r="D291" s="51"/>
      <c r="E291" s="48">
        <v>0.91</v>
      </c>
      <c r="F291" s="51">
        <f>C291*E291</f>
        <v>403202.8</v>
      </c>
      <c r="G291" s="39"/>
    </row>
    <row r="292" spans="1:7" ht="15" x14ac:dyDescent="0.2">
      <c r="A292" s="42" t="s">
        <v>3</v>
      </c>
      <c r="B292" s="38"/>
      <c r="C292" s="47">
        <f>SUM(C290:C291)</f>
        <v>530442</v>
      </c>
      <c r="D292" s="47"/>
      <c r="E292" s="38"/>
      <c r="F292" s="47">
        <f>SUM(F290:F291)</f>
        <v>466977.06</v>
      </c>
      <c r="G292" s="39"/>
    </row>
    <row r="293" spans="1:7" ht="15" x14ac:dyDescent="0.2">
      <c r="A293" s="42"/>
      <c r="B293" s="38"/>
      <c r="C293" s="38"/>
      <c r="D293" s="38"/>
      <c r="E293" s="38"/>
      <c r="F293" s="38"/>
      <c r="G293" s="39"/>
    </row>
    <row r="294" spans="1:7" ht="15.75" x14ac:dyDescent="0.25">
      <c r="A294" s="35" t="s">
        <v>28</v>
      </c>
      <c r="B294" s="38"/>
      <c r="C294" s="38"/>
      <c r="D294" s="38"/>
      <c r="E294" s="38"/>
      <c r="F294" s="47">
        <v>894186.62775827409</v>
      </c>
      <c r="G294" s="39"/>
    </row>
    <row r="295" spans="1:7" ht="15" x14ac:dyDescent="0.2">
      <c r="A295" s="42"/>
      <c r="B295" s="38"/>
      <c r="C295" s="38"/>
      <c r="D295" s="38"/>
      <c r="E295" s="38"/>
      <c r="F295" s="38"/>
      <c r="G295" s="39"/>
    </row>
    <row r="296" spans="1:7" ht="15" x14ac:dyDescent="0.2">
      <c r="A296" s="42" t="s">
        <v>29</v>
      </c>
      <c r="B296" s="38"/>
      <c r="C296" s="38"/>
      <c r="D296" s="38"/>
      <c r="E296" s="38"/>
      <c r="F296" s="60">
        <f>F294-F292</f>
        <v>427209.56775827409</v>
      </c>
      <c r="G296" s="39"/>
    </row>
    <row r="297" spans="1:7" ht="15" x14ac:dyDescent="0.2">
      <c r="A297" s="42"/>
      <c r="B297" s="38"/>
      <c r="C297" s="38"/>
      <c r="D297" s="38"/>
      <c r="E297" s="38"/>
      <c r="F297" s="38"/>
      <c r="G297" s="39"/>
    </row>
    <row r="298" spans="1:7" ht="15" x14ac:dyDescent="0.2">
      <c r="A298" s="49" t="s">
        <v>30</v>
      </c>
      <c r="B298" s="38"/>
      <c r="C298" s="38"/>
      <c r="D298" s="38"/>
      <c r="E298" s="38"/>
      <c r="F298" s="47">
        <f>+C292</f>
        <v>530442</v>
      </c>
      <c r="G298" s="39"/>
    </row>
    <row r="299" spans="1:7" ht="15" x14ac:dyDescent="0.2">
      <c r="A299" s="42"/>
      <c r="B299" s="38"/>
      <c r="C299" s="38"/>
      <c r="D299" s="38"/>
      <c r="E299" s="38"/>
      <c r="F299" s="38"/>
      <c r="G299" s="39"/>
    </row>
    <row r="300" spans="1:7" ht="15" x14ac:dyDescent="0.2">
      <c r="A300" s="42" t="s">
        <v>31</v>
      </c>
      <c r="B300" s="38"/>
      <c r="C300" s="38"/>
      <c r="D300" s="38"/>
      <c r="E300" s="38"/>
      <c r="F300" s="38"/>
      <c r="G300" s="52">
        <f>ROUND(F296/F298,2)</f>
        <v>0.81</v>
      </c>
    </row>
    <row r="301" spans="1:7" ht="15" x14ac:dyDescent="0.2">
      <c r="A301" s="42"/>
      <c r="B301" s="38"/>
      <c r="C301" s="38"/>
      <c r="D301" s="38"/>
      <c r="E301" s="38"/>
      <c r="F301" s="38"/>
      <c r="G301" s="52"/>
    </row>
    <row r="302" spans="1:7" ht="15" x14ac:dyDescent="0.2">
      <c r="A302" s="42"/>
      <c r="B302" s="38"/>
      <c r="C302" s="38"/>
      <c r="D302" s="38"/>
      <c r="E302" s="38"/>
      <c r="F302" s="38"/>
      <c r="G302" s="52"/>
    </row>
    <row r="303" spans="1:7" ht="15" x14ac:dyDescent="0.2">
      <c r="A303" s="42"/>
      <c r="B303" s="38"/>
      <c r="C303" s="38"/>
      <c r="D303" s="38"/>
      <c r="E303" s="38"/>
      <c r="F303" s="38"/>
      <c r="G303" s="52"/>
    </row>
    <row r="304" spans="1:7" ht="15.75" x14ac:dyDescent="0.25">
      <c r="A304" s="45" t="s">
        <v>66</v>
      </c>
      <c r="B304" s="36"/>
      <c r="C304" s="38"/>
      <c r="D304" s="38"/>
      <c r="E304" s="38"/>
      <c r="F304" s="54">
        <f>+F294</f>
        <v>894186.62775827409</v>
      </c>
      <c r="G304" s="52"/>
    </row>
    <row r="305" spans="1:7" ht="15" x14ac:dyDescent="0.2">
      <c r="A305" s="42" t="s">
        <v>30</v>
      </c>
      <c r="B305" s="38"/>
      <c r="C305" s="38"/>
      <c r="D305" s="38"/>
      <c r="E305" s="38"/>
      <c r="F305" s="47">
        <v>537336</v>
      </c>
      <c r="G305" s="52"/>
    </row>
    <row r="306" spans="1:7" ht="17.25" x14ac:dyDescent="0.35">
      <c r="A306" s="42" t="s">
        <v>32</v>
      </c>
      <c r="B306" s="38"/>
      <c r="C306" s="38"/>
      <c r="D306" s="38"/>
      <c r="E306" s="38"/>
      <c r="F306" s="38"/>
      <c r="G306" s="56">
        <f>+F304/F305</f>
        <v>1.6641107756753206</v>
      </c>
    </row>
    <row r="307" spans="1:7" ht="17.25" x14ac:dyDescent="0.35">
      <c r="A307" s="42"/>
      <c r="B307" s="38"/>
      <c r="C307" s="38"/>
      <c r="D307" s="38"/>
      <c r="E307" s="38"/>
      <c r="F307" s="38"/>
      <c r="G307" s="57"/>
    </row>
    <row r="308" spans="1:7" ht="15" x14ac:dyDescent="0.2">
      <c r="A308" s="42"/>
      <c r="B308" s="38"/>
      <c r="C308" s="38"/>
      <c r="D308" s="38"/>
      <c r="E308" s="38"/>
      <c r="F308" s="38"/>
      <c r="G308" s="52"/>
    </row>
    <row r="309" spans="1:7" ht="16.5" thickBot="1" x14ac:dyDescent="0.3">
      <c r="A309" s="35" t="s">
        <v>33</v>
      </c>
      <c r="B309" s="36"/>
      <c r="C309" s="38"/>
      <c r="D309" s="38"/>
      <c r="E309" s="38"/>
      <c r="F309" s="38"/>
      <c r="G309" s="59">
        <f>+G306+G300+G301</f>
        <v>2.4741107756753209</v>
      </c>
    </row>
    <row r="310" spans="1:7" ht="14.25" thickTop="1" thickBot="1" x14ac:dyDescent="0.25">
      <c r="A310" s="19"/>
      <c r="B310" s="20"/>
      <c r="C310" s="20"/>
      <c r="D310" s="20"/>
      <c r="E310" s="20"/>
      <c r="F310" s="20"/>
      <c r="G310" s="21"/>
    </row>
    <row r="311" spans="1:7" ht="15" x14ac:dyDescent="0.2">
      <c r="A311" s="238" t="s">
        <v>34</v>
      </c>
      <c r="B311" s="239"/>
      <c r="C311" s="239"/>
      <c r="D311" s="239"/>
      <c r="E311" s="239"/>
      <c r="F311" s="239"/>
      <c r="G311" s="240"/>
    </row>
    <row r="312" spans="1:7" ht="15" x14ac:dyDescent="0.2">
      <c r="A312" s="49"/>
      <c r="B312" s="50"/>
      <c r="C312" s="50"/>
      <c r="D312" s="50"/>
      <c r="E312" s="50"/>
      <c r="F312" s="50"/>
      <c r="G312" s="64"/>
    </row>
    <row r="313" spans="1:7" ht="15.75" x14ac:dyDescent="0.25">
      <c r="A313" s="49"/>
      <c r="B313" s="50"/>
      <c r="C313" s="43"/>
      <c r="D313" s="43"/>
      <c r="E313" s="43" t="s">
        <v>18</v>
      </c>
      <c r="F313" s="43" t="s">
        <v>3</v>
      </c>
      <c r="G313" s="64"/>
    </row>
    <row r="314" spans="1:7" ht="15.75" x14ac:dyDescent="0.25">
      <c r="A314" s="49"/>
      <c r="B314" s="50"/>
      <c r="C314" s="65" t="s">
        <v>5</v>
      </c>
      <c r="D314" s="65"/>
      <c r="E314" s="65" t="s">
        <v>27</v>
      </c>
      <c r="F314" s="65" t="s">
        <v>6</v>
      </c>
      <c r="G314" s="64"/>
    </row>
    <row r="315" spans="1:7" ht="15.75" x14ac:dyDescent="0.25">
      <c r="A315" s="45" t="s">
        <v>66</v>
      </c>
      <c r="B315" s="36"/>
      <c r="C315" s="66"/>
      <c r="D315" s="66"/>
      <c r="E315" s="66"/>
      <c r="F315" s="66"/>
      <c r="G315" s="64"/>
    </row>
    <row r="316" spans="1:7" ht="15.75" x14ac:dyDescent="0.25">
      <c r="A316" s="42" t="s">
        <v>64</v>
      </c>
      <c r="B316" s="50"/>
      <c r="C316" s="67">
        <v>13606</v>
      </c>
      <c r="D316" s="67"/>
      <c r="E316" s="68">
        <v>0.21</v>
      </c>
      <c r="F316" s="67">
        <f>C316*E316</f>
        <v>2857.2599999999998</v>
      </c>
      <c r="G316" s="64"/>
    </row>
    <row r="317" spans="1:7" ht="17.25" x14ac:dyDescent="0.35">
      <c r="A317" s="49" t="s">
        <v>65</v>
      </c>
      <c r="B317" s="50"/>
      <c r="C317" s="51">
        <v>72828</v>
      </c>
      <c r="D317" s="51"/>
      <c r="E317" s="68">
        <v>0.23</v>
      </c>
      <c r="F317" s="51">
        <f>C317*E317</f>
        <v>16750.440000000002</v>
      </c>
      <c r="G317" s="64"/>
    </row>
    <row r="318" spans="1:7" ht="15" x14ac:dyDescent="0.2">
      <c r="A318" s="42" t="s">
        <v>3</v>
      </c>
      <c r="B318" s="50"/>
      <c r="C318" s="67">
        <f>+C317+C316</f>
        <v>86434</v>
      </c>
      <c r="D318" s="67"/>
      <c r="E318" s="50"/>
      <c r="F318" s="67">
        <f>+F317+F316</f>
        <v>19607.7</v>
      </c>
      <c r="G318" s="64"/>
    </row>
    <row r="319" spans="1:7" ht="15" x14ac:dyDescent="0.2">
      <c r="A319" s="42"/>
      <c r="B319" s="50"/>
      <c r="C319" s="50"/>
      <c r="D319" s="50"/>
      <c r="E319" s="50"/>
      <c r="F319" s="50"/>
      <c r="G319" s="64"/>
    </row>
    <row r="320" spans="1:7" ht="15.75" x14ac:dyDescent="0.25">
      <c r="A320" s="35" t="s">
        <v>28</v>
      </c>
      <c r="B320" s="50"/>
      <c r="C320" s="50"/>
      <c r="D320" s="50"/>
      <c r="E320" s="50"/>
      <c r="F320" s="69">
        <v>17896.735447015508</v>
      </c>
      <c r="G320" s="64"/>
    </row>
    <row r="321" spans="1:7" ht="15" x14ac:dyDescent="0.2">
      <c r="A321" s="42"/>
      <c r="B321" s="50"/>
      <c r="C321" s="50"/>
      <c r="D321" s="50"/>
      <c r="E321" s="50"/>
      <c r="F321" s="50"/>
      <c r="G321" s="64"/>
    </row>
    <row r="322" spans="1:7" ht="15" x14ac:dyDescent="0.2">
      <c r="A322" s="42" t="s">
        <v>29</v>
      </c>
      <c r="B322" s="50"/>
      <c r="C322" s="50"/>
      <c r="D322" s="50"/>
      <c r="E322" s="50"/>
      <c r="F322" s="67">
        <v>-1710.9364485785482</v>
      </c>
      <c r="G322" s="64"/>
    </row>
    <row r="323" spans="1:7" ht="15" x14ac:dyDescent="0.2">
      <c r="A323" s="42"/>
      <c r="B323" s="50"/>
      <c r="C323" s="50"/>
      <c r="D323" s="50"/>
      <c r="E323" s="50"/>
      <c r="F323" s="50"/>
      <c r="G323" s="64"/>
    </row>
    <row r="324" spans="1:7" ht="15" x14ac:dyDescent="0.2">
      <c r="A324" s="49" t="s">
        <v>30</v>
      </c>
      <c r="B324" s="50"/>
      <c r="C324" s="50"/>
      <c r="D324" s="50"/>
      <c r="E324" s="50"/>
      <c r="F324" s="67">
        <f>+C318</f>
        <v>86434</v>
      </c>
      <c r="G324" s="64"/>
    </row>
    <row r="325" spans="1:7" ht="15" x14ac:dyDescent="0.2">
      <c r="A325" s="42"/>
      <c r="B325" s="50"/>
      <c r="C325" s="50"/>
      <c r="D325" s="50"/>
      <c r="E325" s="50"/>
      <c r="F325" s="50"/>
      <c r="G325" s="64"/>
    </row>
    <row r="326" spans="1:7" ht="15" x14ac:dyDescent="0.2">
      <c r="A326" s="42" t="s">
        <v>31</v>
      </c>
      <c r="B326" s="50"/>
      <c r="C326" s="50"/>
      <c r="D326" s="50"/>
      <c r="E326" s="50"/>
      <c r="F326" s="50"/>
      <c r="G326" s="70">
        <f>ROUND(F322/F324,2)</f>
        <v>-0.02</v>
      </c>
    </row>
    <row r="327" spans="1:7" ht="15" x14ac:dyDescent="0.2">
      <c r="A327" s="42"/>
      <c r="B327" s="50"/>
      <c r="C327" s="50"/>
      <c r="D327" s="50"/>
      <c r="E327" s="50"/>
      <c r="F327" s="50"/>
      <c r="G327" s="70"/>
    </row>
    <row r="328" spans="1:7" ht="15" x14ac:dyDescent="0.2">
      <c r="A328" s="42"/>
      <c r="B328" s="50"/>
      <c r="C328" s="50"/>
      <c r="D328" s="50"/>
      <c r="E328" s="50"/>
      <c r="F328" s="67"/>
      <c r="G328" s="64"/>
    </row>
    <row r="329" spans="1:7" ht="15.75" x14ac:dyDescent="0.25">
      <c r="A329" s="42"/>
      <c r="B329" s="36"/>
      <c r="C329" s="50"/>
      <c r="D329" s="50"/>
      <c r="E329" s="50"/>
      <c r="F329" s="67"/>
      <c r="G329" s="64"/>
    </row>
    <row r="330" spans="1:7" ht="15.75" x14ac:dyDescent="0.25">
      <c r="A330" s="45" t="s">
        <v>66</v>
      </c>
      <c r="B330" s="50"/>
      <c r="C330" s="50"/>
      <c r="D330" s="50"/>
      <c r="E330" s="50"/>
      <c r="F330" s="54">
        <f>+F320</f>
        <v>17896.735447015508</v>
      </c>
      <c r="G330" s="64"/>
    </row>
    <row r="331" spans="1:7" ht="15" x14ac:dyDescent="0.2">
      <c r="A331" s="42" t="s">
        <v>30</v>
      </c>
      <c r="B331" s="50"/>
      <c r="C331" s="50"/>
      <c r="D331" s="50"/>
      <c r="E331" s="50"/>
      <c r="F331" s="67">
        <v>91907</v>
      </c>
      <c r="G331" s="64"/>
    </row>
    <row r="332" spans="1:7" ht="17.25" x14ac:dyDescent="0.35">
      <c r="A332" s="42" t="s">
        <v>32</v>
      </c>
      <c r="B332" s="50"/>
      <c r="C332" s="50"/>
      <c r="D332" s="50"/>
      <c r="E332" s="50"/>
      <c r="F332" s="50"/>
      <c r="G332" s="57">
        <f>ROUND(+F330/F331,2)</f>
        <v>0.19</v>
      </c>
    </row>
    <row r="333" spans="1:7" ht="17.25" x14ac:dyDescent="0.35">
      <c r="A333" s="42"/>
      <c r="B333" s="50"/>
      <c r="C333" s="50"/>
      <c r="D333" s="50"/>
      <c r="E333" s="50"/>
      <c r="F333" s="50"/>
      <c r="G333" s="57"/>
    </row>
    <row r="334" spans="1:7" ht="16.5" thickBot="1" x14ac:dyDescent="0.3">
      <c r="A334" s="35" t="s">
        <v>35</v>
      </c>
      <c r="B334" s="36"/>
      <c r="C334" s="50"/>
      <c r="D334" s="50"/>
      <c r="E334" s="50"/>
      <c r="F334" s="50"/>
      <c r="G334" s="71">
        <f>+G332+G326</f>
        <v>0.17</v>
      </c>
    </row>
    <row r="335" spans="1:7" ht="16.5" thickTop="1" thickBot="1" x14ac:dyDescent="0.25">
      <c r="A335" s="72"/>
      <c r="B335" s="73"/>
      <c r="C335" s="73"/>
      <c r="D335" s="73"/>
      <c r="E335" s="73"/>
      <c r="F335" s="73"/>
      <c r="G335" s="74"/>
    </row>
  </sheetData>
  <mergeCells count="12">
    <mergeCell ref="A4:G4"/>
    <mergeCell ref="A33:G33"/>
    <mergeCell ref="A65:G65"/>
    <mergeCell ref="A93:G93"/>
    <mergeCell ref="A311:G311"/>
    <mergeCell ref="A177:G177"/>
    <mergeCell ref="A203:G203"/>
    <mergeCell ref="A123:G123"/>
    <mergeCell ref="A149:G149"/>
    <mergeCell ref="A231:G231"/>
    <mergeCell ref="A285:G285"/>
    <mergeCell ref="A257:G257"/>
  </mergeCells>
  <pageMargins left="0.45" right="0.45" top="0.5" bottom="0.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topLeftCell="A100" zoomScaleNormal="100" workbookViewId="0">
      <selection activeCell="O133" sqref="O133"/>
    </sheetView>
  </sheetViews>
  <sheetFormatPr defaultRowHeight="12.75" x14ac:dyDescent="0.2"/>
  <cols>
    <col min="1" max="1" width="26.140625" customWidth="1"/>
    <col min="2" max="2" width="6.28515625" bestFit="1" customWidth="1"/>
    <col min="3" max="3" width="11.42578125" style="2" bestFit="1" customWidth="1"/>
    <col min="4" max="4" width="9.85546875" bestFit="1" customWidth="1"/>
    <col min="5" max="5" width="10.42578125" bestFit="1" customWidth="1"/>
    <col min="6" max="7" width="10.85546875" bestFit="1" customWidth="1"/>
    <col min="8" max="8" width="10.42578125" bestFit="1" customWidth="1"/>
    <col min="9" max="9" width="11.28515625" bestFit="1" customWidth="1"/>
    <col min="10" max="10" width="9.85546875" bestFit="1" customWidth="1"/>
    <col min="11" max="11" width="10.28515625" bestFit="1" customWidth="1"/>
    <col min="12" max="12" width="9.42578125" bestFit="1" customWidth="1"/>
    <col min="13" max="13" width="12.42578125" bestFit="1" customWidth="1"/>
    <col min="14" max="15" width="12.28515625" bestFit="1" customWidth="1"/>
    <col min="16" max="16" width="10.28515625" bestFit="1" customWidth="1"/>
    <col min="19" max="19" width="10.28515625" bestFit="1" customWidth="1"/>
  </cols>
  <sheetData>
    <row r="1" spans="1:14" s="4" customFormat="1" ht="23.25" x14ac:dyDescent="0.35">
      <c r="A1" s="22" t="s">
        <v>36</v>
      </c>
      <c r="C1" s="27"/>
    </row>
    <row r="2" spans="1:14" s="4" customFormat="1" x14ac:dyDescent="0.2">
      <c r="A2" s="1" t="s">
        <v>70</v>
      </c>
      <c r="C2" s="27"/>
    </row>
    <row r="3" spans="1:14" s="4" customFormat="1" x14ac:dyDescent="0.2">
      <c r="C3" s="27"/>
    </row>
    <row r="4" spans="1:14" s="4" customFormat="1" x14ac:dyDescent="0.2">
      <c r="C4" s="27"/>
    </row>
    <row r="5" spans="1:14" s="4" customFormat="1" x14ac:dyDescent="0.2">
      <c r="C5" s="27" t="s">
        <v>69</v>
      </c>
    </row>
    <row r="6" spans="1:14" s="4" customFormat="1" x14ac:dyDescent="0.2">
      <c r="C6" s="27" t="s">
        <v>40</v>
      </c>
      <c r="G6" s="4" t="s">
        <v>19</v>
      </c>
      <c r="H6" s="4" t="s">
        <v>21</v>
      </c>
      <c r="J6" s="4" t="s">
        <v>142</v>
      </c>
    </row>
    <row r="7" spans="1:14" s="4" customFormat="1" x14ac:dyDescent="0.2">
      <c r="C7" s="27" t="s">
        <v>39</v>
      </c>
      <c r="D7" s="4" t="s">
        <v>19</v>
      </c>
      <c r="E7" s="4" t="s">
        <v>53</v>
      </c>
      <c r="F7" s="4" t="s">
        <v>4</v>
      </c>
      <c r="G7" s="4" t="s">
        <v>20</v>
      </c>
      <c r="H7" s="27" t="s">
        <v>40</v>
      </c>
      <c r="I7" s="4" t="s">
        <v>39</v>
      </c>
      <c r="J7" s="4" t="s">
        <v>143</v>
      </c>
    </row>
    <row r="8" spans="1:14" s="5" customFormat="1" x14ac:dyDescent="0.2">
      <c r="A8" s="5" t="s">
        <v>68</v>
      </c>
      <c r="C8" s="16" t="s">
        <v>17</v>
      </c>
      <c r="D8" s="4" t="s">
        <v>52</v>
      </c>
      <c r="E8" s="5" t="s">
        <v>40</v>
      </c>
      <c r="F8" s="5" t="s">
        <v>20</v>
      </c>
      <c r="G8" s="101" t="s">
        <v>17</v>
      </c>
      <c r="H8" s="5" t="s">
        <v>17</v>
      </c>
      <c r="I8" s="5" t="s">
        <v>5</v>
      </c>
      <c r="J8" s="5" t="s">
        <v>144</v>
      </c>
      <c r="K8" s="101"/>
      <c r="L8" s="4"/>
      <c r="M8" s="4"/>
      <c r="N8" s="4"/>
    </row>
    <row r="9" spans="1:14" x14ac:dyDescent="0.2">
      <c r="A9" s="63" t="s">
        <v>137</v>
      </c>
      <c r="C9" s="2">
        <f>+Composition!B$16-D9</f>
        <v>1267.240785</v>
      </c>
      <c r="D9" s="6">
        <f>-Composition!B$18</f>
        <v>-159.13047</v>
      </c>
      <c r="E9" s="6">
        <f>+D9+C9</f>
        <v>1108.1103149999999</v>
      </c>
      <c r="F9" s="113">
        <f>+'Res''l &amp; MF Customers'!C$18</f>
        <v>0.55903581103794664</v>
      </c>
      <c r="G9" s="6">
        <f>-F9*E9</f>
        <v>-619.47334866553945</v>
      </c>
      <c r="H9" s="6">
        <f t="shared" ref="H9:H20" si="0">+G9+E9</f>
        <v>488.63696633446045</v>
      </c>
      <c r="I9" s="228">
        <f>+'Res''l &amp; MF Customers'!C$12</f>
        <v>22300</v>
      </c>
      <c r="J9" s="6">
        <f>+H9*2000/I9/4.3333</f>
        <v>10.113295448967278</v>
      </c>
      <c r="K9" s="4"/>
      <c r="L9" s="4"/>
      <c r="M9" s="4"/>
      <c r="N9" s="4"/>
    </row>
    <row r="10" spans="1:14" x14ac:dyDescent="0.2">
      <c r="A10" t="s">
        <v>7</v>
      </c>
      <c r="C10" s="2">
        <f>+Composition!D$16-D10</f>
        <v>1101.6715720000002</v>
      </c>
      <c r="D10" s="6">
        <f>-Composition!D$18</f>
        <v>-131.83351400000001</v>
      </c>
      <c r="E10" s="6">
        <f t="shared" ref="E10:E20" si="1">+D10+C10</f>
        <v>969.83805800000016</v>
      </c>
      <c r="F10" s="113">
        <f>+'Res''l &amp; MF Customers'!D$18</f>
        <v>0.55943574407806729</v>
      </c>
      <c r="G10" s="6">
        <f t="shared" ref="G10:G20" si="2">-F10*E10</f>
        <v>-542.56207561245787</v>
      </c>
      <c r="H10" s="6">
        <f t="shared" si="0"/>
        <v>427.27598238754229</v>
      </c>
      <c r="I10" s="228">
        <f>+'Res''l &amp; MF Customers'!D$12</f>
        <v>22393</v>
      </c>
      <c r="J10" s="6">
        <f t="shared" ref="J10:J21" si="3">+H10*2000/I10/4.3333</f>
        <v>8.8065831523824638</v>
      </c>
      <c r="K10" s="4"/>
      <c r="L10" s="4"/>
      <c r="M10" s="4"/>
      <c r="N10" s="4"/>
    </row>
    <row r="11" spans="1:14" x14ac:dyDescent="0.2">
      <c r="A11" t="s">
        <v>8</v>
      </c>
      <c r="C11" s="2">
        <f>+Composition!F$16-D11</f>
        <v>1224.2400000000005</v>
      </c>
      <c r="D11" s="6">
        <f>-Composition!F$18</f>
        <v>-156.19</v>
      </c>
      <c r="E11" s="6">
        <f t="shared" si="1"/>
        <v>1068.0500000000004</v>
      </c>
      <c r="F11" s="113">
        <f>+'Res''l &amp; MF Customers'!E$18</f>
        <v>0.5595757587617165</v>
      </c>
      <c r="G11" s="6">
        <f t="shared" si="2"/>
        <v>-597.65488914545153</v>
      </c>
      <c r="H11" s="6">
        <f t="shared" si="0"/>
        <v>470.39511085454888</v>
      </c>
      <c r="I11" s="228">
        <f>+'Res''l &amp; MF Customers'!E$12</f>
        <v>22507</v>
      </c>
      <c r="J11" s="6">
        <f t="shared" si="3"/>
        <v>9.6462036625797669</v>
      </c>
      <c r="K11" s="4"/>
      <c r="L11" s="4"/>
      <c r="M11" s="4"/>
      <c r="N11" s="4"/>
    </row>
    <row r="12" spans="1:14" x14ac:dyDescent="0.2">
      <c r="A12" t="s">
        <v>9</v>
      </c>
      <c r="C12" s="2">
        <f>+Composition!H$16-D12</f>
        <v>1134.99</v>
      </c>
      <c r="D12" s="6">
        <f>-Composition!H$18</f>
        <v>-139.55000000000001</v>
      </c>
      <c r="E12" s="6">
        <f t="shared" si="1"/>
        <v>995.44</v>
      </c>
      <c r="F12" s="113">
        <f>+'Res''l &amp; MF Customers'!F$18</f>
        <v>0.55841103188905428</v>
      </c>
      <c r="G12" s="6">
        <f t="shared" si="2"/>
        <v>-555.86467758364017</v>
      </c>
      <c r="H12" s="6">
        <f t="shared" si="0"/>
        <v>439.57532241635988</v>
      </c>
      <c r="I12" s="228">
        <f>+'Res''l &amp; MF Customers'!F$12</f>
        <v>22544</v>
      </c>
      <c r="J12" s="6">
        <f t="shared" si="3"/>
        <v>8.9994002250164691</v>
      </c>
      <c r="K12" s="4"/>
      <c r="L12" s="4"/>
      <c r="M12" s="4"/>
      <c r="N12" s="4"/>
    </row>
    <row r="13" spans="1:14" x14ac:dyDescent="0.2">
      <c r="A13" t="s">
        <v>10</v>
      </c>
      <c r="C13" s="2">
        <f>+Composition!J$16-D13</f>
        <v>1104.25</v>
      </c>
      <c r="D13" s="6">
        <f>-Composition!J$18</f>
        <v>-140.16</v>
      </c>
      <c r="E13" s="6">
        <f t="shared" si="1"/>
        <v>964.09</v>
      </c>
      <c r="F13" s="113">
        <f>+'Res''l &amp; MF Customers'!G$18</f>
        <v>0.55925614830152559</v>
      </c>
      <c r="G13" s="6">
        <f t="shared" si="2"/>
        <v>-539.17326001601782</v>
      </c>
      <c r="H13" s="6">
        <f t="shared" si="0"/>
        <v>424.91673998398221</v>
      </c>
      <c r="I13" s="228">
        <f>+'Res''l &amp; MF Customers'!G$12</f>
        <v>22563</v>
      </c>
      <c r="J13" s="6">
        <f t="shared" si="3"/>
        <v>8.6919703517214977</v>
      </c>
      <c r="K13" s="4"/>
      <c r="L13" s="4"/>
      <c r="M13" s="4"/>
      <c r="N13" s="4"/>
    </row>
    <row r="14" spans="1:14" x14ac:dyDescent="0.2">
      <c r="A14" t="s">
        <v>11</v>
      </c>
      <c r="C14" s="2">
        <f>+Composition!L$16-D14</f>
        <v>1231.6700000000003</v>
      </c>
      <c r="D14" s="6">
        <f>-Composition!L$18</f>
        <v>-153.91999999999999</v>
      </c>
      <c r="E14" s="6">
        <f t="shared" si="1"/>
        <v>1077.7500000000002</v>
      </c>
      <c r="F14" s="113">
        <f>+'Res''l &amp; MF Customers'!H$18</f>
        <v>0.55957708768981218</v>
      </c>
      <c r="G14" s="6">
        <f t="shared" si="2"/>
        <v>-603.0842062576952</v>
      </c>
      <c r="H14" s="6">
        <f t="shared" si="0"/>
        <v>474.66579374230503</v>
      </c>
      <c r="I14" s="228">
        <f>+'Res''l &amp; MF Customers'!H$12</f>
        <v>22536</v>
      </c>
      <c r="J14" s="6">
        <f t="shared" si="3"/>
        <v>9.7212551209496265</v>
      </c>
      <c r="K14" s="4"/>
      <c r="L14" s="4"/>
      <c r="M14" s="4"/>
      <c r="N14" s="4"/>
    </row>
    <row r="15" spans="1:14" x14ac:dyDescent="0.2">
      <c r="A15" t="s">
        <v>12</v>
      </c>
      <c r="C15" s="2">
        <f>+Composition!N$16-D15</f>
        <v>1241.3699999999999</v>
      </c>
      <c r="D15" s="6">
        <f>-Composition!N$18</f>
        <v>-153.16999999999999</v>
      </c>
      <c r="E15" s="6">
        <f t="shared" si="1"/>
        <v>1088.1999999999998</v>
      </c>
      <c r="F15" s="113">
        <f>+'Res''l &amp; MF Customers'!I$18</f>
        <v>0.55976060552719598</v>
      </c>
      <c r="G15" s="6">
        <f t="shared" si="2"/>
        <v>-609.13149093469451</v>
      </c>
      <c r="H15" s="6">
        <f t="shared" si="0"/>
        <v>479.06850906530531</v>
      </c>
      <c r="I15" s="228">
        <f>+'Res''l &amp; MF Customers'!I$12</f>
        <v>22509</v>
      </c>
      <c r="J15" s="6">
        <f t="shared" si="3"/>
        <v>9.8231926559843785</v>
      </c>
      <c r="K15" s="4"/>
      <c r="L15" s="4"/>
      <c r="M15" s="4"/>
      <c r="N15" s="4"/>
    </row>
    <row r="16" spans="1:14" x14ac:dyDescent="0.2">
      <c r="A16" s="63" t="s">
        <v>138</v>
      </c>
      <c r="C16" s="2">
        <f>+Composition!P$16-D16</f>
        <v>1288.1300000000001</v>
      </c>
      <c r="D16" s="6">
        <f>-Composition!P$18</f>
        <v>-166.01</v>
      </c>
      <c r="E16" s="213">
        <f t="shared" si="1"/>
        <v>1122.1200000000001</v>
      </c>
      <c r="F16" s="214">
        <f>+'Res''l &amp; MF Customers'!J$18</f>
        <v>0.55959758393473491</v>
      </c>
      <c r="G16" s="213">
        <f t="shared" si="2"/>
        <v>-627.93564088484482</v>
      </c>
      <c r="H16" s="213">
        <f t="shared" si="0"/>
        <v>494.1843591151553</v>
      </c>
      <c r="I16" s="228">
        <f>+'Res''l &amp; MF Customers'!J$12</f>
        <v>22457</v>
      </c>
      <c r="J16" s="6">
        <f t="shared" si="3"/>
        <v>10.156603434855896</v>
      </c>
      <c r="K16" s="4"/>
      <c r="L16" s="4"/>
      <c r="M16" s="4"/>
      <c r="N16" s="4"/>
    </row>
    <row r="17" spans="1:28" x14ac:dyDescent="0.2">
      <c r="A17" t="s">
        <v>15</v>
      </c>
      <c r="C17" s="2">
        <f>+Composition!R$16-D17</f>
        <v>939.05</v>
      </c>
      <c r="D17" s="6">
        <f>-Composition!R$18</f>
        <v>-98.34</v>
      </c>
      <c r="E17" s="213">
        <f t="shared" si="1"/>
        <v>840.70999999999992</v>
      </c>
      <c r="F17" s="214">
        <f>+'Res''l &amp; MF Customers'!K$18</f>
        <v>0.56043439976518927</v>
      </c>
      <c r="G17" s="213">
        <f t="shared" si="2"/>
        <v>-471.16280422659224</v>
      </c>
      <c r="H17" s="213">
        <f t="shared" si="0"/>
        <v>369.54719577340768</v>
      </c>
      <c r="I17" s="228">
        <f>+'Res''l &amp; MF Customers'!K$12</f>
        <v>22464</v>
      </c>
      <c r="J17" s="6">
        <f t="shared" si="3"/>
        <v>7.5926618685488823</v>
      </c>
      <c r="K17" s="4"/>
      <c r="L17" s="4"/>
      <c r="M17" s="4"/>
      <c r="N17" s="4"/>
    </row>
    <row r="18" spans="1:28" x14ac:dyDescent="0.2">
      <c r="A18" t="s">
        <v>13</v>
      </c>
      <c r="C18" s="2">
        <f>+Composition!T$16-D18</f>
        <v>1093.0899999999999</v>
      </c>
      <c r="D18" s="6">
        <f>-Composition!T$18</f>
        <v>-153.34</v>
      </c>
      <c r="E18" s="213">
        <f t="shared" si="1"/>
        <v>939.74999999999989</v>
      </c>
      <c r="F18" s="214">
        <f>+'Res''l &amp; MF Customers'!L$18</f>
        <v>0.56051475448077448</v>
      </c>
      <c r="G18" s="213">
        <f t="shared" ref="G18" si="4">-F18*E18</f>
        <v>-526.74374052330779</v>
      </c>
      <c r="H18" s="213">
        <f t="shared" ref="H18" si="5">+G18+E18</f>
        <v>413.00625947669209</v>
      </c>
      <c r="I18" s="228">
        <f>+'Res''l &amp; MF Customers'!L$12</f>
        <v>22608</v>
      </c>
      <c r="J18" s="6">
        <f t="shared" si="3"/>
        <v>8.4315171580997301</v>
      </c>
      <c r="K18" s="4"/>
      <c r="L18" s="4"/>
      <c r="M18" s="4"/>
      <c r="N18" s="4"/>
    </row>
    <row r="19" spans="1:28" x14ac:dyDescent="0.2">
      <c r="A19" t="s">
        <v>14</v>
      </c>
      <c r="C19" s="2">
        <f>+Composition!V$16-D19</f>
        <v>1060.42</v>
      </c>
      <c r="D19" s="6">
        <f>-Composition!V$18</f>
        <v>-165.76</v>
      </c>
      <c r="E19" s="213">
        <f t="shared" si="1"/>
        <v>894.66000000000008</v>
      </c>
      <c r="F19" s="214">
        <f>+'Res''l &amp; MF Customers'!M$18</f>
        <v>0.55947187584449676</v>
      </c>
      <c r="G19" s="213">
        <f t="shared" si="2"/>
        <v>-500.53710844303754</v>
      </c>
      <c r="H19" s="213">
        <f t="shared" si="0"/>
        <v>394.12289155696254</v>
      </c>
      <c r="I19" s="228">
        <f>+'Res''l &amp; MF Customers'!M$12</f>
        <v>22822</v>
      </c>
      <c r="J19" s="6">
        <f t="shared" si="3"/>
        <v>7.970566658922241</v>
      </c>
      <c r="K19" s="4"/>
      <c r="L19" s="4"/>
      <c r="M19" s="4"/>
      <c r="N19" s="4"/>
    </row>
    <row r="20" spans="1:28" ht="15" x14ac:dyDescent="0.35">
      <c r="A20" t="s">
        <v>2</v>
      </c>
      <c r="C20" s="12">
        <f>+Composition!X$16-D20</f>
        <v>1146.8</v>
      </c>
      <c r="D20" s="7">
        <f>-Composition!X18</f>
        <v>-180.48999999999998</v>
      </c>
      <c r="E20" s="219">
        <f t="shared" si="1"/>
        <v>966.31</v>
      </c>
      <c r="F20" s="220">
        <f>+'Res''l &amp; MF Customers'!N$18</f>
        <v>0.55991565225726059</v>
      </c>
      <c r="G20" s="221">
        <f t="shared" si="2"/>
        <v>-541.05209393271343</v>
      </c>
      <c r="H20" s="221">
        <f t="shared" si="0"/>
        <v>425.25790606728651</v>
      </c>
      <c r="I20" s="229">
        <f>+'Res''l &amp; MF Customers'!N$12</f>
        <v>22957</v>
      </c>
      <c r="J20" s="7">
        <f t="shared" si="3"/>
        <v>8.5496532441677644</v>
      </c>
      <c r="K20" s="4"/>
      <c r="L20" s="4"/>
      <c r="M20" s="4"/>
      <c r="N20" s="4"/>
    </row>
    <row r="21" spans="1:28" ht="15" x14ac:dyDescent="0.35">
      <c r="C21" s="15">
        <f>SUM(C9:C20)</f>
        <v>13832.922357000001</v>
      </c>
      <c r="D21" s="15">
        <f>SUM(D9:D20)</f>
        <v>-1797.8939839999998</v>
      </c>
      <c r="E21" s="15">
        <f>SUM(E9:E20)</f>
        <v>12035.028372999999</v>
      </c>
      <c r="F21" s="100">
        <f>-G21/E21</f>
        <v>0.55956455834655405</v>
      </c>
      <c r="G21" s="15">
        <f>SUM(G9:G20)</f>
        <v>-6734.3753362259913</v>
      </c>
      <c r="H21" s="15">
        <f>SUM(H9:H20)</f>
        <v>5300.6530367740088</v>
      </c>
      <c r="I21" s="230">
        <f>SUM(I9:I20)</f>
        <v>270660</v>
      </c>
      <c r="J21" s="8">
        <f t="shared" si="3"/>
        <v>9.0389199245294201</v>
      </c>
      <c r="K21" s="4"/>
      <c r="L21" s="4"/>
      <c r="M21" s="4"/>
      <c r="N21" s="4"/>
    </row>
    <row r="23" spans="1:28" x14ac:dyDescent="0.2">
      <c r="C23" s="241" t="s">
        <v>41</v>
      </c>
      <c r="D23" s="241"/>
      <c r="E23" s="241"/>
      <c r="F23" s="241"/>
      <c r="G23" s="241"/>
      <c r="H23" s="241"/>
      <c r="I23" s="241"/>
      <c r="J23" s="241"/>
      <c r="K23" s="241"/>
      <c r="L23" s="241"/>
    </row>
    <row r="24" spans="1:28" x14ac:dyDescent="0.2"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8" x14ac:dyDescent="0.2">
      <c r="C25" s="24" t="s">
        <v>42</v>
      </c>
      <c r="D25" s="24" t="s">
        <v>43</v>
      </c>
      <c r="E25" s="24"/>
      <c r="F25" s="24" t="s">
        <v>44</v>
      </c>
      <c r="G25" s="24" t="s">
        <v>45</v>
      </c>
      <c r="H25" s="24"/>
      <c r="I25" s="24"/>
      <c r="J25" s="24" t="s">
        <v>0</v>
      </c>
      <c r="K25" s="24" t="s">
        <v>0</v>
      </c>
      <c r="L25" s="24" t="s">
        <v>46</v>
      </c>
      <c r="N25" s="99"/>
    </row>
    <row r="26" spans="1:28" x14ac:dyDescent="0.2">
      <c r="C26" s="25" t="s">
        <v>47</v>
      </c>
      <c r="D26" s="25" t="s">
        <v>48</v>
      </c>
      <c r="E26" s="25" t="s">
        <v>24</v>
      </c>
      <c r="F26" s="25" t="s">
        <v>22</v>
      </c>
      <c r="G26" s="25" t="s">
        <v>23</v>
      </c>
      <c r="H26" s="25" t="s">
        <v>16</v>
      </c>
      <c r="I26" s="25" t="s">
        <v>1</v>
      </c>
      <c r="J26" s="25" t="s">
        <v>49</v>
      </c>
      <c r="K26" s="25" t="s">
        <v>50</v>
      </c>
      <c r="L26" s="25" t="s">
        <v>51</v>
      </c>
      <c r="M26" s="30"/>
      <c r="N26" s="30"/>
    </row>
    <row r="27" spans="1:28" x14ac:dyDescent="0.2">
      <c r="A27" s="3" t="s">
        <v>54</v>
      </c>
      <c r="B27" s="3"/>
      <c r="C27"/>
    </row>
    <row r="28" spans="1:28" x14ac:dyDescent="0.2">
      <c r="A28" t="s">
        <v>37</v>
      </c>
      <c r="C28" s="26">
        <f>+Composition!C$6</f>
        <v>0.41533806586756666</v>
      </c>
      <c r="D28" s="26">
        <f>+Composition!C$7</f>
        <v>0</v>
      </c>
      <c r="E28" s="26">
        <f>+Composition!C$8</f>
        <v>0.35994414057954155</v>
      </c>
      <c r="F28" s="26">
        <f>+Composition!C$9</f>
        <v>1.1986500640055861E-2</v>
      </c>
      <c r="G28" s="26">
        <f>+Composition!$C$11</f>
        <v>1.9667170953101359E-2</v>
      </c>
      <c r="H28" s="26">
        <f>+Composition!$C$10</f>
        <v>0.14034679390201327</v>
      </c>
      <c r="I28" s="26">
        <f>+Composition!C$12</f>
        <v>3.6192249505411382E-2</v>
      </c>
      <c r="J28" s="26">
        <f>+Composition!C$13</f>
        <v>8.6116606540207145E-3</v>
      </c>
      <c r="K28" s="26">
        <f>+Composition!C$14</f>
        <v>7.9134178982893048E-3</v>
      </c>
      <c r="L28" s="26">
        <f>+Composition!C$15</f>
        <v>0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x14ac:dyDescent="0.2">
      <c r="A29" t="s">
        <v>7</v>
      </c>
      <c r="C29" s="26">
        <f>+Composition!E$6</f>
        <v>0.39706900530810058</v>
      </c>
      <c r="D29" s="26">
        <f>+Composition!E$7</f>
        <v>0</v>
      </c>
      <c r="E29" s="26">
        <f>+Composition!E$8</f>
        <v>0.34744980383106389</v>
      </c>
      <c r="F29" s="26">
        <f>+Composition!E$9</f>
        <v>1.1885529656127394E-2</v>
      </c>
      <c r="G29" s="26">
        <f>+Composition!$E$11</f>
        <v>1.8462958689129932E-2</v>
      </c>
      <c r="H29" s="26">
        <f>+Composition!$E$10</f>
        <v>0.17274405723517194</v>
      </c>
      <c r="I29" s="26">
        <f>+Composition!E$12</f>
        <v>3.5079621509346869E-2</v>
      </c>
      <c r="J29" s="26">
        <f>+Composition!E$13</f>
        <v>8.7699053773367171E-3</v>
      </c>
      <c r="K29" s="26">
        <f>+Composition!E$14</f>
        <v>8.5391183937225928E-3</v>
      </c>
      <c r="L29" s="26">
        <f>+Composition!E$15</f>
        <v>0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x14ac:dyDescent="0.2">
      <c r="A30" t="s">
        <v>8</v>
      </c>
      <c r="C30" s="26">
        <f>+Composition!G$6</f>
        <v>0.3809278591826224</v>
      </c>
      <c r="D30" s="26">
        <f>+Composition!G$7</f>
        <v>0</v>
      </c>
      <c r="E30" s="26">
        <f>+Composition!G$8</f>
        <v>0.3378680773372032</v>
      </c>
      <c r="F30" s="26">
        <f>+Composition!G$9</f>
        <v>1.1778474790506059E-2</v>
      </c>
      <c r="G30" s="26">
        <f>+Composition!$G$11</f>
        <v>1.8126492205421087E-2</v>
      </c>
      <c r="H30" s="26">
        <f>+Composition!$G$10</f>
        <v>0.20269650297270719</v>
      </c>
      <c r="I30" s="26">
        <f>+Composition!G$12</f>
        <v>3.3593932868311395E-2</v>
      </c>
      <c r="J30" s="26">
        <f>+Composition!G$13</f>
        <v>8.0801460605776851E-3</v>
      </c>
      <c r="K30" s="26">
        <f>+Composition!G$14</f>
        <v>6.9285145826506224E-3</v>
      </c>
      <c r="L30" s="26">
        <f>+Composition!G$15</f>
        <v>0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x14ac:dyDescent="0.2">
      <c r="A31" t="s">
        <v>9</v>
      </c>
      <c r="C31" s="26">
        <f>+Composition!I$6</f>
        <v>0.36538616089367515</v>
      </c>
      <c r="D31" s="26">
        <f>+Composition!I$7</f>
        <v>0</v>
      </c>
      <c r="E31" s="26">
        <f>+Composition!I$8</f>
        <v>0.33870449248573498</v>
      </c>
      <c r="F31" s="26">
        <f>+Composition!I$9</f>
        <v>1.2416619786225186E-2</v>
      </c>
      <c r="G31" s="26">
        <f>+Composition!$I$11</f>
        <v>2.2653299043638993E-2</v>
      </c>
      <c r="H31" s="26">
        <f>+Composition!$I$10</f>
        <v>0.21184601784135657</v>
      </c>
      <c r="I31" s="26">
        <f>+Composition!I$12</f>
        <v>3.2658924696616569E-2</v>
      </c>
      <c r="J31" s="26">
        <f>+Composition!I$13</f>
        <v>8.7398537330225824E-3</v>
      </c>
      <c r="K31" s="26">
        <f>+Composition!I$14</f>
        <v>7.5946315197299675E-3</v>
      </c>
      <c r="L31" s="26">
        <f>+Composition!I$15</f>
        <v>0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x14ac:dyDescent="0.2">
      <c r="A32" t="s">
        <v>10</v>
      </c>
      <c r="C32" s="26">
        <f>+Composition!K$6</f>
        <v>0.39836529784563679</v>
      </c>
      <c r="D32" s="26">
        <f>+Composition!K$7</f>
        <v>0</v>
      </c>
      <c r="E32" s="26">
        <f>+Composition!K$8</f>
        <v>0.35764295864493978</v>
      </c>
      <c r="F32" s="26">
        <f>+Composition!K$9</f>
        <v>1.0725139769108693E-2</v>
      </c>
      <c r="G32" s="26">
        <f>+Composition!$K$11</f>
        <v>2.6304598118432925E-2</v>
      </c>
      <c r="H32" s="26">
        <f>+Composition!$K$10</f>
        <v>0.16082523415863664</v>
      </c>
      <c r="I32" s="26">
        <f>+Composition!K$12</f>
        <v>3.0567685589519649E-2</v>
      </c>
      <c r="J32" s="26">
        <f>+Composition!K$13</f>
        <v>8.7647418809447247E-3</v>
      </c>
      <c r="K32" s="26">
        <f>+Composition!K$14</f>
        <v>6.8043439927807561E-3</v>
      </c>
      <c r="L32" s="26">
        <f>+Composition!K$15</f>
        <v>0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x14ac:dyDescent="0.2">
      <c r="A33" t="s">
        <v>11</v>
      </c>
      <c r="C33" s="26">
        <f>+Composition!M$6</f>
        <v>0.42072836928786816</v>
      </c>
      <c r="D33" s="26">
        <f>+Composition!M$7</f>
        <v>0</v>
      </c>
      <c r="E33" s="26">
        <f>+Composition!M$8</f>
        <v>0.33594061702621197</v>
      </c>
      <c r="F33" s="26">
        <f>+Composition!M$9</f>
        <v>1.3324054743678957E-2</v>
      </c>
      <c r="G33" s="26">
        <f>+Composition!$M$11</f>
        <v>2.7000695894224075E-2</v>
      </c>
      <c r="H33" s="26">
        <f>+Composition!$M$10</f>
        <v>0.15073996752493618</v>
      </c>
      <c r="I33" s="26">
        <f>+Composition!M$12</f>
        <v>3.4692646717698901E-2</v>
      </c>
      <c r="J33" s="26">
        <f>+Composition!M$13</f>
        <v>9.9930410577592187E-3</v>
      </c>
      <c r="K33" s="26">
        <f>+Composition!M$14</f>
        <v>7.5806077476223595E-3</v>
      </c>
      <c r="L33" s="26">
        <f>+Composition!M$15</f>
        <v>0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x14ac:dyDescent="0.2">
      <c r="A34" t="s">
        <v>12</v>
      </c>
      <c r="C34" s="26">
        <f>+Composition!O$6</f>
        <v>0.42682411321448271</v>
      </c>
      <c r="D34" s="26">
        <f>+Composition!O$7</f>
        <v>0</v>
      </c>
      <c r="E34" s="26">
        <f>+Composition!O$8</f>
        <v>0.34514795074434851</v>
      </c>
      <c r="F34" s="26">
        <f>+Composition!O$9</f>
        <v>1.2387428781473996E-2</v>
      </c>
      <c r="G34" s="26">
        <f>+Composition!$O$11</f>
        <v>2.6612755008270542E-2</v>
      </c>
      <c r="H34" s="26">
        <f>+Composition!$O$10</f>
        <v>0.14223488329351225</v>
      </c>
      <c r="I34" s="26">
        <f>+Composition!O$12</f>
        <v>3.1198309134350313E-2</v>
      </c>
      <c r="J34" s="26">
        <f>+Composition!O$13</f>
        <v>8.6013600441095395E-3</v>
      </c>
      <c r="K34" s="26">
        <f>+Composition!O$14</f>
        <v>6.9931997794523077E-3</v>
      </c>
      <c r="L34" s="26">
        <f>+Composition!O$15</f>
        <v>0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x14ac:dyDescent="0.2">
      <c r="A35" t="s">
        <v>38</v>
      </c>
      <c r="C35" s="26">
        <f>+Composition!Q$6</f>
        <v>0.38245463943250274</v>
      </c>
      <c r="D35" s="122">
        <f>+Composition!$Q$7</f>
        <v>0</v>
      </c>
      <c r="E35" s="122">
        <f>+Composition!$Q$8</f>
        <v>0.37001390225644309</v>
      </c>
      <c r="F35" s="122">
        <f>+Composition!$Q$9</f>
        <v>1.2217944604855095E-2</v>
      </c>
      <c r="G35" s="122">
        <f>+Composition!$Q$11</f>
        <v>2.7537161800876907E-2</v>
      </c>
      <c r="H35" s="122">
        <f>+Composition!$Q$10</f>
        <v>0.14807685452536268</v>
      </c>
      <c r="I35" s="122">
        <f>+Composition!$Q$12</f>
        <v>4.1831533169357997E-2</v>
      </c>
      <c r="J35" s="122">
        <f>+Composition!$Q$13</f>
        <v>9.1077603108401951E-3</v>
      </c>
      <c r="K35" s="122">
        <f>+Composition!$Q$14</f>
        <v>6.9154814101878579E-3</v>
      </c>
      <c r="L35" s="122">
        <f>+Composition!$Q$15</f>
        <v>1.8447224895733073E-3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x14ac:dyDescent="0.2">
      <c r="A36" t="s">
        <v>15</v>
      </c>
      <c r="C36" s="26">
        <f>+Composition!S$6</f>
        <v>0.38597138133244524</v>
      </c>
      <c r="D36" s="122">
        <f>+Composition!$S$7</f>
        <v>0</v>
      </c>
      <c r="E36" s="122">
        <f>+Composition!$S$8</f>
        <v>0.33426508546347733</v>
      </c>
      <c r="F36" s="122">
        <f>+Composition!$S$9</f>
        <v>1.2227759869634E-2</v>
      </c>
      <c r="G36" s="122">
        <f>+Composition!$S$11</f>
        <v>2.7262670837744293E-2</v>
      </c>
      <c r="H36" s="122">
        <f>+Composition!$S$10</f>
        <v>0.18923291027821723</v>
      </c>
      <c r="I36" s="122">
        <f>+Composition!$S$12</f>
        <v>3.0509926133863045E-2</v>
      </c>
      <c r="J36" s="122">
        <f>+Composition!$S$13</f>
        <v>9.5395558516016225E-3</v>
      </c>
      <c r="K36" s="122">
        <f>+Composition!$S$14</f>
        <v>7.5174554840551451E-3</v>
      </c>
      <c r="L36" s="122">
        <f>+Composition!$S$15</f>
        <v>3.4732547489621868E-3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x14ac:dyDescent="0.2">
      <c r="A37" t="s">
        <v>13</v>
      </c>
      <c r="C37" s="26">
        <f>+Composition!U$6</f>
        <v>0.34665602553870706</v>
      </c>
      <c r="D37" s="122">
        <f>+Composition!$U$7</f>
        <v>0</v>
      </c>
      <c r="E37" s="122">
        <f>+Composition!$U$8</f>
        <v>0.37693003458366592</v>
      </c>
      <c r="F37" s="122">
        <f>+Composition!$U$9</f>
        <v>1.3205639797818568E-2</v>
      </c>
      <c r="G37" s="122">
        <f>+Composition!$U$11</f>
        <v>2.5357807927640329E-2</v>
      </c>
      <c r="H37" s="122">
        <f>+Composition!$U$10</f>
        <v>0.18372971534982707</v>
      </c>
      <c r="I37" s="122">
        <f>+Composition!$U$12</f>
        <v>3.2487363660548017E-2</v>
      </c>
      <c r="J37" s="122">
        <f>+Composition!$U$13</f>
        <v>1.0407023144453312E-2</v>
      </c>
      <c r="K37" s="122">
        <f>+Composition!$U$14</f>
        <v>7.9489225857940944E-3</v>
      </c>
      <c r="L37" s="122">
        <f>+Composition!$U$15</f>
        <v>3.277467411545624E-3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x14ac:dyDescent="0.2">
      <c r="A38" t="s">
        <v>14</v>
      </c>
      <c r="C38" s="217">
        <f>+Composition!$W6</f>
        <v>0.33496523819104462</v>
      </c>
      <c r="D38" s="217">
        <f>+Composition!$W7</f>
        <v>0</v>
      </c>
      <c r="E38" s="217">
        <f>+Composition!$W8</f>
        <v>0.39569221827286338</v>
      </c>
      <c r="F38" s="217">
        <f>+Composition!$W9</f>
        <v>1.4195336775981934E-2</v>
      </c>
      <c r="G38" s="217">
        <f>+Composition!$W11</f>
        <v>2.6837010707978448E-2</v>
      </c>
      <c r="H38" s="217">
        <f>+Composition!$W10</f>
        <v>0.17105939686584845</v>
      </c>
      <c r="I38" s="217">
        <f>+Composition!$W12</f>
        <v>3.5901906869648802E-2</v>
      </c>
      <c r="J38" s="217">
        <f>+Composition!$W13</f>
        <v>1.001497775691324E-2</v>
      </c>
      <c r="K38" s="217">
        <f>+Composition!$W14</f>
        <v>8.8301701204927009E-3</v>
      </c>
      <c r="L38" s="217">
        <f>+Composition!$W15</f>
        <v>2.50374443922831E-3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x14ac:dyDescent="0.2">
      <c r="A39" t="s">
        <v>2</v>
      </c>
      <c r="C39" s="217">
        <f>+Composition!$Y6</f>
        <v>0.33040121700075542</v>
      </c>
      <c r="D39" s="217">
        <f>+Composition!$Y7</f>
        <v>0</v>
      </c>
      <c r="E39" s="217">
        <f>+Composition!$Y8</f>
        <v>0.41394583518746569</v>
      </c>
      <c r="F39" s="217">
        <f>+Composition!$Y9</f>
        <v>1.4839958191470645E-2</v>
      </c>
      <c r="G39" s="217">
        <f>+Composition!$Y11</f>
        <v>2.5757779594540054E-2</v>
      </c>
      <c r="H39" s="217">
        <f>+Composition!$Y10</f>
        <v>0.15974169779884304</v>
      </c>
      <c r="I39" s="217">
        <f>+Composition!$Y12</f>
        <v>3.6437582142376669E-2</v>
      </c>
      <c r="J39" s="217">
        <f>+Composition!$Y13</f>
        <v>9.8519108774616834E-3</v>
      </c>
      <c r="K39" s="217">
        <f>+Composition!$Y14</f>
        <v>8.7860003518539596E-3</v>
      </c>
      <c r="L39" s="217">
        <f>+Composition!$Y15</f>
        <v>2.3801885523279278E-4</v>
      </c>
      <c r="M39" s="26"/>
      <c r="N39" s="26"/>
      <c r="O39" s="26"/>
      <c r="P39" s="26"/>
      <c r="Q39" s="26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x14ac:dyDescent="0.2">
      <c r="C40"/>
      <c r="N40" s="26"/>
      <c r="R40" s="28"/>
    </row>
    <row r="41" spans="1:28" x14ac:dyDescent="0.2">
      <c r="A41" s="3" t="s">
        <v>55</v>
      </c>
      <c r="B41" s="3"/>
      <c r="C41"/>
      <c r="R41" s="28"/>
    </row>
    <row r="42" spans="1:28" x14ac:dyDescent="0.2">
      <c r="A42" t="s">
        <v>37</v>
      </c>
      <c r="C42" s="18">
        <f>+Prices!B7</f>
        <v>94.93</v>
      </c>
      <c r="D42" s="18">
        <f>+Prices!C7</f>
        <v>0</v>
      </c>
      <c r="E42" s="18">
        <f>+Prices!D7</f>
        <v>180.67</v>
      </c>
      <c r="F42" s="18">
        <f>+Prices!E7</f>
        <v>1208.28</v>
      </c>
      <c r="G42" s="18">
        <f>+Prices!F7</f>
        <v>106.18</v>
      </c>
      <c r="H42" s="18">
        <f>+Prices!G7</f>
        <v>-53.34</v>
      </c>
      <c r="I42" s="18">
        <f>+Prices!H7</f>
        <v>185.89</v>
      </c>
      <c r="J42" s="18">
        <f>+Prices!I7</f>
        <v>554</v>
      </c>
      <c r="K42" s="18">
        <f>+Prices!J7</f>
        <v>274</v>
      </c>
      <c r="L42" s="18">
        <f>+Prices!K7</f>
        <v>-93.6</v>
      </c>
      <c r="O42" s="18"/>
      <c r="P42" s="18"/>
      <c r="R42" s="28"/>
      <c r="S42" s="18"/>
      <c r="T42" s="18"/>
      <c r="U42" s="18"/>
      <c r="V42" s="18"/>
      <c r="W42" s="18"/>
      <c r="X42" s="18"/>
      <c r="Y42" s="18"/>
      <c r="Z42" s="18"/>
    </row>
    <row r="43" spans="1:28" x14ac:dyDescent="0.2">
      <c r="A43" t="s">
        <v>7</v>
      </c>
      <c r="C43" s="18">
        <f>+Prices!B8</f>
        <v>107.79</v>
      </c>
      <c r="D43" s="18">
        <f>+Prices!C8</f>
        <v>0</v>
      </c>
      <c r="E43" s="18">
        <f>+Prices!D8</f>
        <v>185.8</v>
      </c>
      <c r="F43" s="18">
        <f>+Prices!E8</f>
        <v>1254.32</v>
      </c>
      <c r="G43" s="18">
        <f>+Prices!F8</f>
        <v>105.96</v>
      </c>
      <c r="H43" s="18">
        <f>+Prices!G8</f>
        <v>-53.34</v>
      </c>
      <c r="I43" s="18">
        <f>+Prices!H8</f>
        <v>171</v>
      </c>
      <c r="J43" s="18">
        <f>+Prices!I8</f>
        <v>528.14</v>
      </c>
      <c r="K43" s="18">
        <f>+Prices!J8</f>
        <v>284</v>
      </c>
      <c r="L43" s="18">
        <f>+Prices!K8</f>
        <v>-93.6</v>
      </c>
      <c r="O43" s="18"/>
      <c r="P43" s="18"/>
      <c r="R43" s="28"/>
      <c r="S43" s="18"/>
      <c r="T43" s="18"/>
      <c r="U43" s="18"/>
      <c r="V43" s="18"/>
      <c r="W43" s="18"/>
      <c r="X43" s="18"/>
      <c r="Y43" s="18"/>
      <c r="Z43" s="18"/>
    </row>
    <row r="44" spans="1:28" x14ac:dyDescent="0.2">
      <c r="A44" t="s">
        <v>8</v>
      </c>
      <c r="C44" s="18">
        <f>+Prices!B9</f>
        <v>98.41</v>
      </c>
      <c r="D44" s="18">
        <f>+Prices!C9</f>
        <v>0</v>
      </c>
      <c r="E44" s="18">
        <f>+Prices!D9</f>
        <v>175.98</v>
      </c>
      <c r="F44" s="18">
        <f>+Prices!E9</f>
        <v>1335.85</v>
      </c>
      <c r="G44" s="18">
        <f>+Prices!F9</f>
        <v>123.37</v>
      </c>
      <c r="H44" s="18">
        <f>+Prices!G9</f>
        <v>-53.34</v>
      </c>
      <c r="I44" s="18">
        <f>+Prices!H9</f>
        <v>214.2</v>
      </c>
      <c r="J44" s="18">
        <f>+Prices!I9</f>
        <v>464</v>
      </c>
      <c r="K44" s="18">
        <f>+Prices!J9</f>
        <v>324</v>
      </c>
      <c r="L44" s="18">
        <f>+Prices!K9</f>
        <v>-93.6</v>
      </c>
      <c r="O44" s="18"/>
      <c r="P44" s="18"/>
      <c r="R44" s="28"/>
      <c r="S44" s="18"/>
      <c r="T44" s="18"/>
      <c r="U44" s="18"/>
      <c r="V44" s="18"/>
      <c r="W44" s="18"/>
      <c r="X44" s="18"/>
      <c r="Y44" s="18"/>
      <c r="Z44" s="18"/>
    </row>
    <row r="45" spans="1:28" x14ac:dyDescent="0.2">
      <c r="A45" t="s">
        <v>9</v>
      </c>
      <c r="C45" s="18">
        <f>+Prices!B10</f>
        <v>73.209999999999994</v>
      </c>
      <c r="D45" s="18">
        <f>+Prices!C10</f>
        <v>0</v>
      </c>
      <c r="E45" s="18">
        <f>+Prices!D10</f>
        <v>145.01</v>
      </c>
      <c r="F45" s="18">
        <f>+Prices!E10</f>
        <v>1340.4</v>
      </c>
      <c r="G45" s="18">
        <f>+Prices!F10</f>
        <v>145.97999999999999</v>
      </c>
      <c r="H45" s="18">
        <f>+Prices!G10</f>
        <v>-53.34</v>
      </c>
      <c r="I45" s="18">
        <f>+Prices!H10</f>
        <v>124.69</v>
      </c>
      <c r="J45" s="18">
        <f>+Prices!I10</f>
        <v>457</v>
      </c>
      <c r="K45" s="18">
        <f>+Prices!J10</f>
        <v>296</v>
      </c>
      <c r="L45" s="18">
        <f>+Prices!K10</f>
        <v>-93.6</v>
      </c>
      <c r="O45" s="18"/>
      <c r="P45" s="18"/>
      <c r="R45" s="28"/>
      <c r="S45" s="18"/>
      <c r="T45" s="18"/>
      <c r="U45" s="18"/>
      <c r="V45" s="18"/>
      <c r="W45" s="18"/>
      <c r="X45" s="18"/>
      <c r="Y45" s="18"/>
      <c r="Z45" s="18"/>
    </row>
    <row r="46" spans="1:28" x14ac:dyDescent="0.2">
      <c r="A46" t="s">
        <v>10</v>
      </c>
      <c r="C46" s="18">
        <f>+Prices!B11</f>
        <v>56.47</v>
      </c>
      <c r="D46" s="18">
        <f>+Prices!C11</f>
        <v>0</v>
      </c>
      <c r="E46" s="18">
        <f>+Prices!D11</f>
        <v>81.02</v>
      </c>
      <c r="F46" s="18">
        <f>+Prices!E11</f>
        <v>1321.56</v>
      </c>
      <c r="G46" s="18">
        <f>+Prices!F11</f>
        <v>130.02000000000001</v>
      </c>
      <c r="H46" s="18">
        <f>+Prices!G11</f>
        <v>-53.34</v>
      </c>
      <c r="I46" s="18">
        <f>+Prices!H11</f>
        <v>102.17</v>
      </c>
      <c r="J46" s="18">
        <f>+Prices!I11</f>
        <v>544.20000000000005</v>
      </c>
      <c r="K46" s="18">
        <f>+Prices!J11</f>
        <v>304</v>
      </c>
      <c r="L46" s="18">
        <f>+Prices!K11</f>
        <v>-131</v>
      </c>
      <c r="O46" s="18"/>
      <c r="P46" s="18"/>
      <c r="R46" s="28"/>
      <c r="S46" s="18"/>
      <c r="T46" s="18"/>
      <c r="U46" s="18"/>
      <c r="V46" s="18"/>
      <c r="W46" s="18"/>
      <c r="X46" s="18"/>
      <c r="Y46" s="18"/>
      <c r="Z46" s="18"/>
    </row>
    <row r="47" spans="1:28" x14ac:dyDescent="0.2">
      <c r="A47" t="s">
        <v>11</v>
      </c>
      <c r="C47" s="18">
        <f>+Prices!B12</f>
        <v>75.239999999999995</v>
      </c>
      <c r="D47" s="18">
        <f>+Prices!C12</f>
        <v>0</v>
      </c>
      <c r="E47" s="18">
        <f>+Prices!D12</f>
        <v>130.77000000000001</v>
      </c>
      <c r="F47" s="18">
        <f>+Prices!E12</f>
        <v>1385.33</v>
      </c>
      <c r="G47" s="18">
        <f>+Prices!F12</f>
        <v>131.05000000000001</v>
      </c>
      <c r="H47" s="18">
        <f>+Prices!G12</f>
        <v>-53.34</v>
      </c>
      <c r="I47" s="18">
        <f>+Prices!H12</f>
        <v>96.94</v>
      </c>
      <c r="J47" s="18">
        <f>+Prices!I12</f>
        <v>544.20000000000005</v>
      </c>
      <c r="K47" s="18">
        <f>+Prices!J12</f>
        <v>359</v>
      </c>
      <c r="L47" s="18">
        <f>+Prices!K12</f>
        <v>-131</v>
      </c>
      <c r="O47" s="18"/>
      <c r="P47" s="18"/>
      <c r="R47" s="28"/>
      <c r="S47" s="18"/>
      <c r="T47" s="18"/>
      <c r="U47" s="18"/>
      <c r="V47" s="18"/>
      <c r="W47" s="18"/>
      <c r="X47" s="18"/>
      <c r="Y47" s="18"/>
      <c r="Z47" s="18"/>
    </row>
    <row r="48" spans="1:28" x14ac:dyDescent="0.2">
      <c r="A48" t="s">
        <v>12</v>
      </c>
      <c r="C48" s="18">
        <f>+Prices!B13</f>
        <v>79.180000000000007</v>
      </c>
      <c r="D48" s="18">
        <f>+Prices!C13</f>
        <v>0</v>
      </c>
      <c r="E48" s="18">
        <f>+Prices!D13</f>
        <v>128.43</v>
      </c>
      <c r="F48" s="18">
        <f>+Prices!E13</f>
        <v>1347.37</v>
      </c>
      <c r="G48" s="18">
        <f>+Prices!F13</f>
        <v>143.63</v>
      </c>
      <c r="H48" s="18">
        <f>+Prices!G13</f>
        <v>-53.34</v>
      </c>
      <c r="I48" s="18">
        <f>+Prices!H13</f>
        <v>79.06</v>
      </c>
      <c r="J48" s="18">
        <f>+Prices!I13</f>
        <v>544</v>
      </c>
      <c r="K48" s="18">
        <f>+Prices!J13</f>
        <v>314</v>
      </c>
      <c r="L48" s="18">
        <f>+Prices!K13</f>
        <v>-131</v>
      </c>
      <c r="O48" s="18"/>
      <c r="P48" s="18"/>
      <c r="R48" s="28"/>
      <c r="S48" s="18"/>
      <c r="T48" s="18"/>
      <c r="U48" s="18"/>
      <c r="V48" s="18"/>
      <c r="W48" s="18"/>
      <c r="X48" s="18"/>
      <c r="Y48" s="18"/>
      <c r="Z48" s="18"/>
    </row>
    <row r="49" spans="1:26" x14ac:dyDescent="0.2">
      <c r="A49" t="s">
        <v>38</v>
      </c>
      <c r="C49" s="18">
        <f>+Prices!B14</f>
        <v>74.02</v>
      </c>
      <c r="D49" s="18">
        <f>+Prices!C14</f>
        <v>-28</v>
      </c>
      <c r="E49" s="18">
        <f>+Prices!D14</f>
        <v>127.9</v>
      </c>
      <c r="F49" s="18">
        <f>+Prices!E14</f>
        <v>1424.1</v>
      </c>
      <c r="G49" s="18">
        <f>+Prices!F14</f>
        <v>172.7</v>
      </c>
      <c r="H49" s="18">
        <f>+Prices!G14</f>
        <v>-53.34</v>
      </c>
      <c r="I49" s="18">
        <f>+Prices!H14</f>
        <v>156.49</v>
      </c>
      <c r="J49" s="18">
        <f>+Prices!I14</f>
        <v>557</v>
      </c>
      <c r="K49" s="18">
        <f>+Prices!J14</f>
        <v>343</v>
      </c>
      <c r="L49" s="18">
        <f>+Prices!K14</f>
        <v>-78</v>
      </c>
      <c r="O49" s="18"/>
      <c r="P49" s="18"/>
      <c r="R49" s="28"/>
      <c r="S49" s="18"/>
      <c r="T49" s="18"/>
      <c r="U49" s="18"/>
      <c r="V49" s="18"/>
      <c r="W49" s="18"/>
      <c r="X49" s="18"/>
      <c r="Y49" s="18"/>
      <c r="Z49" s="18"/>
    </row>
    <row r="50" spans="1:26" x14ac:dyDescent="0.2">
      <c r="A50" t="s">
        <v>15</v>
      </c>
      <c r="C50" s="18">
        <f>+Prices!B15</f>
        <v>70.98</v>
      </c>
      <c r="D50" s="18">
        <f>+Prices!C15</f>
        <v>-38</v>
      </c>
      <c r="E50" s="18">
        <f>+Prices!D15</f>
        <v>107.35</v>
      </c>
      <c r="F50" s="18">
        <f>+Prices!E15</f>
        <v>1398.46</v>
      </c>
      <c r="G50" s="18">
        <f>+Prices!F15</f>
        <v>185.26</v>
      </c>
      <c r="H50" s="18">
        <f>+Prices!G15</f>
        <v>-53.34</v>
      </c>
      <c r="I50" s="18">
        <f>+Prices!H15</f>
        <v>103.65</v>
      </c>
      <c r="J50" s="18">
        <f>+Prices!I15</f>
        <v>637</v>
      </c>
      <c r="K50" s="18">
        <f>+Prices!J15</f>
        <v>387</v>
      </c>
      <c r="L50" s="18">
        <f>+Prices!K15</f>
        <v>-78</v>
      </c>
      <c r="O50" s="18"/>
      <c r="P50" s="18"/>
      <c r="R50" s="28"/>
      <c r="S50" s="18"/>
      <c r="T50" s="18"/>
      <c r="U50" s="18"/>
      <c r="V50" s="18"/>
      <c r="W50" s="18"/>
      <c r="X50" s="18"/>
      <c r="Y50" s="18"/>
      <c r="Z50" s="18"/>
    </row>
    <row r="51" spans="1:26" x14ac:dyDescent="0.2">
      <c r="A51" t="s">
        <v>13</v>
      </c>
      <c r="C51" s="18">
        <f>+Prices!B16</f>
        <v>65.069999999999993</v>
      </c>
      <c r="D51" s="18">
        <f>+Prices!C16</f>
        <v>-48</v>
      </c>
      <c r="E51" s="18">
        <f>+Prices!D16</f>
        <v>80.06</v>
      </c>
      <c r="F51" s="18">
        <f>+Prices!E16</f>
        <v>1305</v>
      </c>
      <c r="G51" s="18">
        <f>+Prices!F16</f>
        <v>182.95</v>
      </c>
      <c r="H51" s="18">
        <f>+Prices!G16</f>
        <v>-53.34</v>
      </c>
      <c r="I51" s="18">
        <f>+Prices!H16</f>
        <v>173.81</v>
      </c>
      <c r="J51" s="18">
        <f>+Prices!I16</f>
        <v>687</v>
      </c>
      <c r="K51" s="18">
        <f>+Prices!J16</f>
        <v>447</v>
      </c>
      <c r="L51" s="18">
        <f>+Prices!K16</f>
        <v>-108</v>
      </c>
      <c r="O51" s="18"/>
      <c r="P51" s="18"/>
      <c r="R51" s="28"/>
      <c r="S51" s="18"/>
      <c r="T51" s="18"/>
      <c r="U51" s="18"/>
      <c r="V51" s="18"/>
      <c r="W51" s="18"/>
      <c r="X51" s="18"/>
      <c r="Y51" s="18"/>
      <c r="Z51" s="18"/>
    </row>
    <row r="52" spans="1:26" x14ac:dyDescent="0.2">
      <c r="A52" t="s">
        <v>14</v>
      </c>
      <c r="C52" s="62">
        <f>+Prices!B17</f>
        <v>67.510000000000005</v>
      </c>
      <c r="D52" s="62">
        <f>+Prices!C17</f>
        <v>-48</v>
      </c>
      <c r="E52" s="62">
        <f>+Prices!D17</f>
        <v>69.61</v>
      </c>
      <c r="F52" s="62">
        <f>+Prices!E17</f>
        <v>1350.92</v>
      </c>
      <c r="G52" s="62">
        <f>+Prices!F17</f>
        <v>194.63</v>
      </c>
      <c r="H52" s="62">
        <f>+Prices!G17</f>
        <v>-53.34</v>
      </c>
      <c r="I52" s="62">
        <f>+Prices!H17</f>
        <v>177</v>
      </c>
      <c r="J52" s="62">
        <f>+Prices!I17</f>
        <v>777</v>
      </c>
      <c r="K52" s="62">
        <f>+Prices!J17</f>
        <v>437</v>
      </c>
      <c r="L52" s="62">
        <f>+Prices!K17</f>
        <v>-113</v>
      </c>
      <c r="O52" s="18"/>
      <c r="P52" s="18"/>
      <c r="R52" s="28"/>
      <c r="S52" s="18"/>
      <c r="T52" s="18"/>
      <c r="U52" s="18"/>
      <c r="V52" s="18"/>
      <c r="W52" s="18"/>
      <c r="X52" s="18"/>
      <c r="Y52" s="18"/>
      <c r="Z52" s="18"/>
    </row>
    <row r="53" spans="1:26" x14ac:dyDescent="0.2">
      <c r="A53" t="s">
        <v>2</v>
      </c>
      <c r="C53" s="62">
        <f>+Prices!B18</f>
        <v>69.790000000000006</v>
      </c>
      <c r="D53" s="62">
        <f>+Prices!C18</f>
        <v>-48</v>
      </c>
      <c r="E53" s="62">
        <f>+Prices!D18</f>
        <v>68.150000000000006</v>
      </c>
      <c r="F53" s="62">
        <f>+Prices!E18</f>
        <v>1527.45</v>
      </c>
      <c r="G53" s="62">
        <f>+Prices!F18</f>
        <v>184.06</v>
      </c>
      <c r="H53" s="62">
        <f>+Prices!G18</f>
        <v>-53.34</v>
      </c>
      <c r="I53" s="62">
        <f>+Prices!H18</f>
        <v>168.06</v>
      </c>
      <c r="J53" s="62">
        <f>+Prices!I18</f>
        <v>779</v>
      </c>
      <c r="K53" s="62">
        <f>+Prices!J18</f>
        <v>394</v>
      </c>
      <c r="L53" s="62">
        <f>+Prices!K18</f>
        <v>-113</v>
      </c>
      <c r="O53" s="62"/>
      <c r="P53" s="18"/>
      <c r="R53" s="28"/>
      <c r="S53" s="29"/>
      <c r="T53" s="29"/>
      <c r="U53" s="18"/>
      <c r="V53" s="29"/>
      <c r="W53" s="29"/>
      <c r="X53" s="29"/>
      <c r="Y53" s="29"/>
      <c r="Z53" s="29"/>
    </row>
    <row r="54" spans="1:26" x14ac:dyDescent="0.2">
      <c r="C54" s="63"/>
      <c r="D54" s="63"/>
      <c r="E54" s="63"/>
      <c r="F54" s="63"/>
      <c r="G54" s="63"/>
      <c r="H54" s="63"/>
      <c r="I54" s="63"/>
      <c r="J54" s="63"/>
      <c r="K54" s="63"/>
      <c r="L54" s="63"/>
      <c r="P54" s="4"/>
      <c r="Q54" s="4"/>
      <c r="R54" s="4"/>
      <c r="S54" s="4"/>
      <c r="T54" s="4"/>
    </row>
    <row r="55" spans="1:26" x14ac:dyDescent="0.2">
      <c r="C55"/>
      <c r="P55" s="4"/>
      <c r="Q55" s="4"/>
      <c r="R55" s="4"/>
      <c r="S55" s="4"/>
      <c r="T55" s="4"/>
      <c r="U55" s="4"/>
    </row>
    <row r="56" spans="1:26" x14ac:dyDescent="0.2">
      <c r="C56" s="241" t="s">
        <v>41</v>
      </c>
      <c r="D56" s="241"/>
      <c r="E56" s="241"/>
      <c r="F56" s="241"/>
      <c r="G56" s="241"/>
      <c r="H56" s="241"/>
      <c r="I56" s="241"/>
      <c r="J56" s="241"/>
      <c r="K56" s="241"/>
      <c r="L56" s="241"/>
      <c r="P56" s="4"/>
      <c r="Q56" s="4"/>
      <c r="R56" s="4"/>
      <c r="S56" s="4"/>
      <c r="T56" s="4"/>
      <c r="U56" s="4"/>
    </row>
    <row r="57" spans="1:26" x14ac:dyDescent="0.2">
      <c r="C57" s="24" t="s">
        <v>42</v>
      </c>
      <c r="D57" s="24" t="s">
        <v>43</v>
      </c>
      <c r="E57" s="24"/>
      <c r="F57" s="24" t="s">
        <v>44</v>
      </c>
      <c r="G57" s="24" t="s">
        <v>45</v>
      </c>
      <c r="H57" s="24"/>
      <c r="I57" s="24"/>
      <c r="J57" s="24" t="s">
        <v>0</v>
      </c>
      <c r="K57" s="24" t="s">
        <v>0</v>
      </c>
      <c r="L57" s="24" t="s">
        <v>46</v>
      </c>
      <c r="N57" s="99"/>
      <c r="P57" s="4"/>
      <c r="Q57" s="4"/>
      <c r="R57" s="4"/>
      <c r="S57" s="4"/>
      <c r="T57" s="4"/>
      <c r="U57" s="4"/>
    </row>
    <row r="58" spans="1:26" x14ac:dyDescent="0.2">
      <c r="C58" s="25" t="s">
        <v>47</v>
      </c>
      <c r="D58" s="25" t="s">
        <v>48</v>
      </c>
      <c r="E58" s="25" t="s">
        <v>24</v>
      </c>
      <c r="F58" s="25" t="s">
        <v>22</v>
      </c>
      <c r="G58" s="25" t="s">
        <v>23</v>
      </c>
      <c r="H58" s="25" t="s">
        <v>16</v>
      </c>
      <c r="I58" s="25" t="s">
        <v>1</v>
      </c>
      <c r="J58" s="25" t="s">
        <v>49</v>
      </c>
      <c r="K58" s="25" t="s">
        <v>50</v>
      </c>
      <c r="L58" s="25" t="s">
        <v>51</v>
      </c>
      <c r="M58" s="30" t="s">
        <v>3</v>
      </c>
      <c r="N58" s="30"/>
      <c r="P58" s="4"/>
      <c r="Q58" s="4"/>
      <c r="R58" s="4"/>
      <c r="S58" s="4"/>
      <c r="T58" s="4"/>
      <c r="U58" s="4"/>
    </row>
    <row r="59" spans="1:26" x14ac:dyDescent="0.2">
      <c r="A59" s="3" t="s">
        <v>56</v>
      </c>
      <c r="B59" s="3"/>
      <c r="P59" s="5"/>
      <c r="Q59" s="5"/>
      <c r="R59" s="5"/>
      <c r="S59" s="5"/>
      <c r="T59" s="5"/>
      <c r="U59" s="5"/>
      <c r="V59" s="5"/>
    </row>
    <row r="60" spans="1:26" x14ac:dyDescent="0.2">
      <c r="A60" t="s">
        <v>37</v>
      </c>
      <c r="C60" s="2">
        <f t="shared" ref="C60:L60" si="6">+$H9*C28</f>
        <v>202.94953250875008</v>
      </c>
      <c r="D60" s="2">
        <f t="shared" si="6"/>
        <v>0</v>
      </c>
      <c r="E60" s="2">
        <f t="shared" si="6"/>
        <v>175.88201290265175</v>
      </c>
      <c r="F60" s="2">
        <f t="shared" si="6"/>
        <v>5.8570473097229643</v>
      </c>
      <c r="G60" s="2">
        <f t="shared" si="6"/>
        <v>9.6101067509046683</v>
      </c>
      <c r="H60" s="2">
        <f t="shared" si="6"/>
        <v>68.578631607047512</v>
      </c>
      <c r="I60" s="2">
        <f t="shared" si="6"/>
        <v>17.684871003144096</v>
      </c>
      <c r="J60" s="2">
        <f t="shared" si="6"/>
        <v>4.2079757370825179</v>
      </c>
      <c r="K60" s="2">
        <f t="shared" si="6"/>
        <v>3.8667885151569079</v>
      </c>
      <c r="L60" s="2">
        <f t="shared" si="6"/>
        <v>0</v>
      </c>
      <c r="M60" s="6">
        <f t="shared" ref="M60:M71" si="7">SUM(C60:L60)</f>
        <v>488.63696633446051</v>
      </c>
      <c r="N60" s="2"/>
      <c r="O60" s="6"/>
      <c r="P60" s="79"/>
      <c r="Q60" s="17"/>
      <c r="R60" s="76"/>
      <c r="S60" s="9"/>
      <c r="T60" s="76"/>
      <c r="U60" s="76"/>
      <c r="V60" s="18"/>
      <c r="X60" s="18"/>
    </row>
    <row r="61" spans="1:26" x14ac:dyDescent="0.2">
      <c r="A61" t="s">
        <v>7</v>
      </c>
      <c r="C61" s="2">
        <f t="shared" ref="C61:L61" si="8">+$H10*C29</f>
        <v>169.6580493186629</v>
      </c>
      <c r="D61" s="2">
        <f t="shared" si="8"/>
        <v>0</v>
      </c>
      <c r="E61" s="2">
        <f t="shared" si="8"/>
        <v>148.45695626227666</v>
      </c>
      <c r="F61" s="2">
        <f t="shared" si="8"/>
        <v>5.0784013600181002</v>
      </c>
      <c r="G61" s="2">
        <f t="shared" si="8"/>
        <v>7.888778811678602</v>
      </c>
      <c r="H61" s="2">
        <f t="shared" si="8"/>
        <v>73.809386756767921</v>
      </c>
      <c r="I61" s="2">
        <f t="shared" si="8"/>
        <v>14.988679742189342</v>
      </c>
      <c r="J61" s="2">
        <f t="shared" si="8"/>
        <v>3.7471699355473356</v>
      </c>
      <c r="K61" s="2">
        <f t="shared" si="8"/>
        <v>3.6485602004013531</v>
      </c>
      <c r="L61" s="2">
        <f t="shared" si="8"/>
        <v>0</v>
      </c>
      <c r="M61" s="6">
        <f t="shared" si="7"/>
        <v>427.27598238754223</v>
      </c>
      <c r="N61" s="2"/>
      <c r="O61" s="6"/>
      <c r="P61" s="79"/>
      <c r="Q61" s="17"/>
      <c r="R61" s="76"/>
      <c r="S61" s="9"/>
      <c r="T61" s="76"/>
      <c r="U61" s="76"/>
      <c r="V61" s="18"/>
      <c r="X61" s="18"/>
    </row>
    <row r="62" spans="1:26" x14ac:dyDescent="0.2">
      <c r="A62" t="s">
        <v>8</v>
      </c>
      <c r="C62" s="2">
        <f t="shared" ref="C62:L62" si="9">+$H11*C30</f>
        <v>179.18660254779564</v>
      </c>
      <c r="D62" s="2">
        <f t="shared" si="9"/>
        <v>0</v>
      </c>
      <c r="E62" s="2">
        <f t="shared" si="9"/>
        <v>158.93149169324698</v>
      </c>
      <c r="F62" s="2">
        <f t="shared" si="9"/>
        <v>5.5405369547776067</v>
      </c>
      <c r="G62" s="2">
        <f t="shared" si="9"/>
        <v>8.5266133103731683</v>
      </c>
      <c r="H62" s="2">
        <f t="shared" si="9"/>
        <v>95.347443985675994</v>
      </c>
      <c r="I62" s="2">
        <f t="shared" si="9"/>
        <v>15.802421775629611</v>
      </c>
      <c r="J62" s="2">
        <f t="shared" si="9"/>
        <v>3.8008612018863865</v>
      </c>
      <c r="K62" s="2">
        <f t="shared" si="9"/>
        <v>3.2591393851632979</v>
      </c>
      <c r="L62" s="2">
        <f t="shared" si="9"/>
        <v>0</v>
      </c>
      <c r="M62" s="6">
        <f t="shared" si="7"/>
        <v>470.3951108545487</v>
      </c>
      <c r="N62" s="2"/>
      <c r="O62" s="6"/>
      <c r="P62" s="79"/>
      <c r="Q62" s="17"/>
      <c r="R62" s="76"/>
      <c r="S62" s="9"/>
      <c r="T62" s="76"/>
      <c r="U62" s="76"/>
      <c r="V62" s="18"/>
    </row>
    <row r="63" spans="1:26" x14ac:dyDescent="0.2">
      <c r="A63" t="s">
        <v>9</v>
      </c>
      <c r="C63" s="2">
        <f t="shared" ref="C63:L63" si="10">+$H12*C31</f>
        <v>160.61473948131319</v>
      </c>
      <c r="D63" s="2">
        <f t="shared" si="10"/>
        <v>0</v>
      </c>
      <c r="E63" s="2">
        <f t="shared" si="10"/>
        <v>148.8861364882865</v>
      </c>
      <c r="F63" s="2">
        <f t="shared" si="10"/>
        <v>5.4580396458512892</v>
      </c>
      <c r="G63" s="2">
        <f t="shared" si="10"/>
        <v>9.957831230901828</v>
      </c>
      <c r="H63" s="2">
        <f t="shared" si="10"/>
        <v>93.122281595236245</v>
      </c>
      <c r="I63" s="2">
        <f t="shared" si="10"/>
        <v>14.356057353286847</v>
      </c>
      <c r="J63" s="2">
        <f t="shared" si="10"/>
        <v>3.8418240225652283</v>
      </c>
      <c r="K63" s="2">
        <f t="shared" si="10"/>
        <v>3.3384125989187496</v>
      </c>
      <c r="L63" s="2">
        <f t="shared" si="10"/>
        <v>0</v>
      </c>
      <c r="M63" s="6">
        <f t="shared" si="7"/>
        <v>439.57532241635988</v>
      </c>
      <c r="N63" s="2"/>
      <c r="O63" s="6"/>
      <c r="P63" s="79"/>
      <c r="Q63" s="17"/>
      <c r="R63" s="76"/>
      <c r="S63" s="9"/>
      <c r="T63" s="76"/>
      <c r="U63" s="76"/>
      <c r="V63" s="18"/>
    </row>
    <row r="64" spans="1:26" x14ac:dyDescent="0.2">
      <c r="A64" t="s">
        <v>10</v>
      </c>
      <c r="C64" s="2">
        <f t="shared" ref="C64:L64" si="11">+$H13*C32</f>
        <v>169.27208368331608</v>
      </c>
      <c r="D64" s="2">
        <f t="shared" si="11"/>
        <v>0</v>
      </c>
      <c r="E64" s="2">
        <f t="shared" si="11"/>
        <v>151.96848006563397</v>
      </c>
      <c r="F64" s="2">
        <f t="shared" si="11"/>
        <v>4.5572914265622257</v>
      </c>
      <c r="G64" s="2">
        <f t="shared" si="11"/>
        <v>11.177264079073311</v>
      </c>
      <c r="H64" s="2">
        <f t="shared" si="11"/>
        <v>68.337334205848464</v>
      </c>
      <c r="I64" s="2">
        <f t="shared" si="11"/>
        <v>12.988721309554041</v>
      </c>
      <c r="J64" s="2">
        <f t="shared" si="11"/>
        <v>3.7242855468521086</v>
      </c>
      <c r="K64" s="2">
        <f t="shared" si="11"/>
        <v>2.8912796671419918</v>
      </c>
      <c r="L64" s="2">
        <f t="shared" si="11"/>
        <v>0</v>
      </c>
      <c r="M64" s="6">
        <f t="shared" si="7"/>
        <v>424.91673998398221</v>
      </c>
      <c r="N64" s="2"/>
      <c r="O64" s="6"/>
      <c r="P64" s="79"/>
      <c r="Q64" s="17"/>
      <c r="R64" s="76"/>
      <c r="S64" s="9"/>
      <c r="T64" s="76"/>
      <c r="U64" s="76"/>
      <c r="V64" s="18"/>
    </row>
    <row r="65" spans="1:22" x14ac:dyDescent="0.2">
      <c r="A65" t="s">
        <v>11</v>
      </c>
      <c r="C65" s="2">
        <f t="shared" ref="C65:L65" si="12">+$H14*C33</f>
        <v>199.70536535793158</v>
      </c>
      <c r="D65" s="2">
        <f t="shared" si="12"/>
        <v>0</v>
      </c>
      <c r="E65" s="2">
        <f t="shared" si="12"/>
        <v>159.45951963102661</v>
      </c>
      <c r="F65" s="2">
        <f t="shared" si="12"/>
        <v>6.3244730207742963</v>
      </c>
      <c r="G65" s="2">
        <f t="shared" si="12"/>
        <v>12.816306748226467</v>
      </c>
      <c r="H65" s="2">
        <f t="shared" si="12"/>
        <v>71.551106333913111</v>
      </c>
      <c r="I65" s="2">
        <f t="shared" si="12"/>
        <v>16.467412691277922</v>
      </c>
      <c r="J65" s="2">
        <f t="shared" si="12"/>
        <v>4.7433547655807233</v>
      </c>
      <c r="K65" s="2">
        <f t="shared" si="12"/>
        <v>3.5982551935742344</v>
      </c>
      <c r="L65" s="2">
        <f t="shared" si="12"/>
        <v>0</v>
      </c>
      <c r="M65" s="6">
        <f t="shared" si="7"/>
        <v>474.66579374230486</v>
      </c>
      <c r="N65" s="2"/>
      <c r="O65" s="6"/>
      <c r="P65" s="79"/>
      <c r="Q65" s="17"/>
      <c r="R65" s="76"/>
      <c r="S65" s="9"/>
      <c r="T65" s="76"/>
      <c r="U65" s="76"/>
      <c r="V65" s="18"/>
    </row>
    <row r="66" spans="1:22" x14ac:dyDescent="0.2">
      <c r="A66" t="s">
        <v>12</v>
      </c>
      <c r="C66" s="2">
        <f t="shared" ref="C66:L66" si="13">+$H15*C34</f>
        <v>204.47799155078332</v>
      </c>
      <c r="D66" s="2">
        <f t="shared" si="13"/>
        <v>0</v>
      </c>
      <c r="E66" s="2">
        <f t="shared" si="13"/>
        <v>165.34951417004046</v>
      </c>
      <c r="F66" s="2">
        <f t="shared" si="13"/>
        <v>5.9344270374933989</v>
      </c>
      <c r="G66" s="2">
        <f t="shared" si="13"/>
        <v>12.749332863932406</v>
      </c>
      <c r="H66" s="2">
        <f t="shared" si="13"/>
        <v>68.140253476500618</v>
      </c>
      <c r="I66" s="2">
        <f t="shared" si="13"/>
        <v>14.946127442351701</v>
      </c>
      <c r="J66" s="2">
        <f t="shared" si="13"/>
        <v>4.1206407322654455</v>
      </c>
      <c r="K66" s="2">
        <f t="shared" si="13"/>
        <v>3.350221791938039</v>
      </c>
      <c r="L66" s="2">
        <f t="shared" si="13"/>
        <v>0</v>
      </c>
      <c r="M66" s="6">
        <f t="shared" si="7"/>
        <v>479.06850906530536</v>
      </c>
      <c r="N66" s="2"/>
      <c r="O66" s="6"/>
      <c r="P66" s="79"/>
      <c r="Q66" s="17"/>
      <c r="R66" s="76"/>
      <c r="S66" s="9"/>
      <c r="T66" s="76"/>
      <c r="U66" s="76"/>
      <c r="V66" s="18"/>
    </row>
    <row r="67" spans="1:22" x14ac:dyDescent="0.2">
      <c r="A67" t="s">
        <v>38</v>
      </c>
      <c r="C67" s="2">
        <f t="shared" ref="C67:L67" si="14">+$H16*C35</f>
        <v>189.00310087856917</v>
      </c>
      <c r="D67" s="2">
        <f t="shared" si="14"/>
        <v>0</v>
      </c>
      <c r="E67" s="2">
        <f t="shared" si="14"/>
        <v>182.85508315029804</v>
      </c>
      <c r="F67" s="2">
        <f t="shared" si="14"/>
        <v>6.0379171242547844</v>
      </c>
      <c r="G67" s="2">
        <f t="shared" si="14"/>
        <v>13.608434656416691</v>
      </c>
      <c r="H67" s="2">
        <f t="shared" si="14"/>
        <v>73.177265453404445</v>
      </c>
      <c r="I67" s="2">
        <f t="shared" si="14"/>
        <v>20.672489410103545</v>
      </c>
      <c r="J67" s="2">
        <f t="shared" si="14"/>
        <v>4.5009126921870095</v>
      </c>
      <c r="K67" s="2">
        <f t="shared" si="14"/>
        <v>3.4175227486664568</v>
      </c>
      <c r="L67" s="2">
        <f t="shared" si="14"/>
        <v>0.91163300125509861</v>
      </c>
      <c r="M67" s="6">
        <f t="shared" si="7"/>
        <v>494.18435911515519</v>
      </c>
      <c r="N67" s="2"/>
      <c r="O67" s="6"/>
      <c r="P67" s="79"/>
      <c r="Q67" s="17"/>
      <c r="R67" s="76"/>
      <c r="S67" s="9"/>
      <c r="T67" s="76"/>
      <c r="U67" s="76"/>
      <c r="V67" s="18"/>
    </row>
    <row r="68" spans="1:22" x14ac:dyDescent="0.2">
      <c r="A68" t="s">
        <v>15</v>
      </c>
      <c r="C68" s="2">
        <f t="shared" ref="C68:L68" si="15">+$H17*C36</f>
        <v>142.63464162019372</v>
      </c>
      <c r="D68" s="2">
        <f t="shared" si="15"/>
        <v>0</v>
      </c>
      <c r="E68" s="2">
        <f t="shared" si="15"/>
        <v>123.5267249779865</v>
      </c>
      <c r="F68" s="2">
        <f t="shared" si="15"/>
        <v>4.5187343704138536</v>
      </c>
      <c r="G68" s="2">
        <f t="shared" si="15"/>
        <v>10.074843557381863</v>
      </c>
      <c r="H68" s="2">
        <f t="shared" si="15"/>
        <v>69.930491341356031</v>
      </c>
      <c r="I68" s="2">
        <f t="shared" si="15"/>
        <v>11.274857646022895</v>
      </c>
      <c r="J68" s="2">
        <f t="shared" si="15"/>
        <v>3.5253161138831817</v>
      </c>
      <c r="K68" s="2">
        <f t="shared" si="15"/>
        <v>2.7780545934840037</v>
      </c>
      <c r="L68" s="2">
        <f t="shared" si="15"/>
        <v>1.2835315526856472</v>
      </c>
      <c r="M68" s="6">
        <f t="shared" si="7"/>
        <v>369.54719577340774</v>
      </c>
      <c r="N68" s="2"/>
      <c r="O68" s="6"/>
      <c r="P68" s="79"/>
      <c r="Q68" s="17"/>
      <c r="R68" s="76"/>
      <c r="S68" s="9"/>
      <c r="T68" s="76"/>
      <c r="U68" s="76"/>
      <c r="V68" s="18"/>
    </row>
    <row r="69" spans="1:22" x14ac:dyDescent="0.2">
      <c r="A69" t="s">
        <v>13</v>
      </c>
      <c r="C69" s="2">
        <f t="shared" ref="C69:L69" si="16">+$H18*C37</f>
        <v>143.17110843279804</v>
      </c>
      <c r="D69" s="2">
        <f t="shared" si="16"/>
        <v>0</v>
      </c>
      <c r="E69" s="2">
        <f t="shared" si="16"/>
        <v>155.67446366782005</v>
      </c>
      <c r="F69" s="2">
        <f t="shared" si="16"/>
        <v>5.4540118968935873</v>
      </c>
      <c r="G69" s="2">
        <f t="shared" si="16"/>
        <v>10.472933400723141</v>
      </c>
      <c r="H69" s="2">
        <f t="shared" si="16"/>
        <v>75.881522491349457</v>
      </c>
      <c r="I69" s="2">
        <f t="shared" si="16"/>
        <v>13.417484545701951</v>
      </c>
      <c r="J69" s="2">
        <f t="shared" si="16"/>
        <v>4.298165701178025</v>
      </c>
      <c r="K69" s="2">
        <f t="shared" si="16"/>
        <v>3.2829547840286142</v>
      </c>
      <c r="L69" s="2">
        <f t="shared" si="16"/>
        <v>1.3536145561992143</v>
      </c>
      <c r="M69" s="6">
        <f t="shared" si="7"/>
        <v>413.00625947669209</v>
      </c>
      <c r="N69" s="2"/>
      <c r="O69" s="6"/>
      <c r="P69" s="79"/>
      <c r="Q69" s="17"/>
      <c r="R69" s="76"/>
      <c r="S69" s="9"/>
      <c r="T69" s="76"/>
      <c r="U69" s="76"/>
      <c r="V69" s="18"/>
    </row>
    <row r="70" spans="1:22" x14ac:dyDescent="0.2">
      <c r="A70" t="s">
        <v>14</v>
      </c>
      <c r="C70" s="2">
        <f t="shared" ref="C70:L70" si="17">+$H19*C38</f>
        <v>132.0174682469212</v>
      </c>
      <c r="D70" s="2">
        <f t="shared" si="17"/>
        <v>0</v>
      </c>
      <c r="E70" s="2">
        <f t="shared" si="17"/>
        <v>155.95136123228968</v>
      </c>
      <c r="F70" s="2">
        <f t="shared" si="17"/>
        <v>5.5947071767748904</v>
      </c>
      <c r="G70" s="2">
        <f t="shared" si="17"/>
        <v>10.577080260973633</v>
      </c>
      <c r="H70" s="2">
        <f t="shared" si="17"/>
        <v>67.418424120758203</v>
      </c>
      <c r="I70" s="2">
        <f t="shared" si="17"/>
        <v>14.149763347874764</v>
      </c>
      <c r="J70" s="2">
        <f t="shared" si="17"/>
        <v>3.947131992433309</v>
      </c>
      <c r="K70" s="2">
        <f t="shared" si="17"/>
        <v>3.4801721808284758</v>
      </c>
      <c r="L70" s="2">
        <f t="shared" si="17"/>
        <v>0.98678299810832726</v>
      </c>
      <c r="M70" s="6">
        <f t="shared" si="7"/>
        <v>394.12289155696237</v>
      </c>
      <c r="N70" s="2"/>
      <c r="O70" s="6"/>
      <c r="P70" s="79"/>
      <c r="Q70" s="17"/>
      <c r="R70" s="76"/>
      <c r="S70" s="9"/>
      <c r="T70" s="76"/>
      <c r="U70" s="76"/>
      <c r="V70" s="18"/>
    </row>
    <row r="71" spans="1:22" ht="15" x14ac:dyDescent="0.35">
      <c r="A71" t="s">
        <v>2</v>
      </c>
      <c r="C71" s="12">
        <f t="shared" ref="C71:L71" si="18">+$H20*C39</f>
        <v>140.50572970382439</v>
      </c>
      <c r="D71" s="12">
        <f t="shared" si="18"/>
        <v>0</v>
      </c>
      <c r="E71" s="12">
        <f t="shared" si="18"/>
        <v>176.03373909709575</v>
      </c>
      <c r="F71" s="12">
        <f t="shared" si="18"/>
        <v>6.3108095466308827</v>
      </c>
      <c r="G71" s="12">
        <f t="shared" si="18"/>
        <v>10.953699415316784</v>
      </c>
      <c r="H71" s="12">
        <f t="shared" si="18"/>
        <v>67.931419917569258</v>
      </c>
      <c r="I71" s="12">
        <f t="shared" si="18"/>
        <v>15.495369884021853</v>
      </c>
      <c r="J71" s="12">
        <f t="shared" si="18"/>
        <v>4.1896029905108785</v>
      </c>
      <c r="K71" s="12">
        <f t="shared" si="18"/>
        <v>3.7363161123358575</v>
      </c>
      <c r="L71" s="12">
        <f t="shared" si="18"/>
        <v>0.10121939998083006</v>
      </c>
      <c r="M71" s="7">
        <f t="shared" si="7"/>
        <v>425.25790606728651</v>
      </c>
      <c r="N71" s="12"/>
      <c r="O71" s="7"/>
      <c r="P71" s="79"/>
      <c r="Q71" s="78"/>
      <c r="R71" s="76"/>
      <c r="S71" s="9"/>
      <c r="T71" s="76"/>
      <c r="U71" s="76"/>
      <c r="V71" s="18"/>
    </row>
    <row r="72" spans="1:22" ht="15" x14ac:dyDescent="0.35">
      <c r="C72" s="15">
        <f>SUM(C60:C71)</f>
        <v>2033.1964133308597</v>
      </c>
      <c r="D72" s="15">
        <f t="shared" ref="D72:L72" si="19">SUM(D60:D71)</f>
        <v>0</v>
      </c>
      <c r="E72" s="15">
        <f t="shared" si="19"/>
        <v>1902.9754833386528</v>
      </c>
      <c r="F72" s="15">
        <f t="shared" si="19"/>
        <v>66.666396870167887</v>
      </c>
      <c r="G72" s="15">
        <f t="shared" si="19"/>
        <v>128.41322508590255</v>
      </c>
      <c r="H72" s="15">
        <f t="shared" si="19"/>
        <v>893.22556128542737</v>
      </c>
      <c r="I72" s="15">
        <f t="shared" si="19"/>
        <v>182.24425615115854</v>
      </c>
      <c r="J72" s="15">
        <f t="shared" si="19"/>
        <v>48.647241431972141</v>
      </c>
      <c r="K72" s="15">
        <f t="shared" si="19"/>
        <v>40.64767777163798</v>
      </c>
      <c r="L72" s="15">
        <f t="shared" si="19"/>
        <v>4.6367815082291175</v>
      </c>
      <c r="M72" s="8">
        <f>SUM(M60:M71)</f>
        <v>5300.653036774007</v>
      </c>
      <c r="N72" s="8"/>
      <c r="O72" s="8"/>
      <c r="Q72" s="17"/>
    </row>
    <row r="73" spans="1:22" x14ac:dyDescent="0.2">
      <c r="C73" s="80">
        <f t="shared" ref="C73:M73" si="20">+C72/$M72</f>
        <v>0.38357470281968675</v>
      </c>
      <c r="D73" s="80">
        <f t="shared" si="20"/>
        <v>0</v>
      </c>
      <c r="E73" s="80">
        <f t="shared" si="20"/>
        <v>0.35900774303401856</v>
      </c>
      <c r="F73" s="80">
        <f t="shared" si="20"/>
        <v>1.2577015776671406E-2</v>
      </c>
      <c r="G73" s="80">
        <f t="shared" si="20"/>
        <v>2.4225925408627617E-2</v>
      </c>
      <c r="H73" s="80">
        <f t="shared" si="20"/>
        <v>0.16851236160687233</v>
      </c>
      <c r="I73" s="80">
        <f t="shared" si="20"/>
        <v>3.4381472412326183E-2</v>
      </c>
      <c r="J73" s="80">
        <f t="shared" si="20"/>
        <v>9.1775939859627172E-3</v>
      </c>
      <c r="K73" s="80">
        <f t="shared" si="20"/>
        <v>7.6684283030108071E-3</v>
      </c>
      <c r="L73" s="80">
        <f t="shared" si="20"/>
        <v>8.74756652823871E-4</v>
      </c>
      <c r="M73" s="80">
        <f t="shared" si="20"/>
        <v>1</v>
      </c>
    </row>
    <row r="75" spans="1:22" x14ac:dyDescent="0.2">
      <c r="A75" s="3" t="s">
        <v>57</v>
      </c>
      <c r="B75" s="77">
        <v>1.35E-2</v>
      </c>
    </row>
    <row r="76" spans="1:22" x14ac:dyDescent="0.2">
      <c r="A76" t="s">
        <v>37</v>
      </c>
      <c r="C76" s="2">
        <f>+$B$75*C60</f>
        <v>2.7398186888681262</v>
      </c>
      <c r="D76" s="2">
        <f t="shared" ref="D76:L76" si="21">+$B$75*D60</f>
        <v>0</v>
      </c>
      <c r="E76" s="2">
        <f t="shared" si="21"/>
        <v>2.3744071741857988</v>
      </c>
      <c r="F76" s="2">
        <f t="shared" si="21"/>
        <v>7.9070138681260019E-2</v>
      </c>
      <c r="G76" s="2">
        <f t="shared" si="21"/>
        <v>0.12973644113721303</v>
      </c>
      <c r="H76" s="2">
        <f t="shared" si="21"/>
        <v>0.92581152669514144</v>
      </c>
      <c r="I76" s="2">
        <f t="shared" si="21"/>
        <v>0.23874575854244529</v>
      </c>
      <c r="J76" s="2">
        <f t="shared" si="21"/>
        <v>5.6807672450613994E-2</v>
      </c>
      <c r="K76" s="2">
        <f t="shared" si="21"/>
        <v>5.2201644954618258E-2</v>
      </c>
      <c r="L76" s="2">
        <f t="shared" si="21"/>
        <v>0</v>
      </c>
      <c r="M76" s="6">
        <f t="shared" ref="M76:M87" si="22">SUM(C76:L76)</f>
        <v>6.5965990455152168</v>
      </c>
      <c r="N76" s="2"/>
      <c r="O76" s="6"/>
    </row>
    <row r="77" spans="1:22" x14ac:dyDescent="0.2">
      <c r="A77" t="s">
        <v>7</v>
      </c>
      <c r="C77" s="2">
        <f t="shared" ref="C77:L87" si="23">+$B$75*C61</f>
        <v>2.290383665801949</v>
      </c>
      <c r="D77" s="2">
        <f t="shared" si="23"/>
        <v>0</v>
      </c>
      <c r="E77" s="2">
        <f t="shared" si="23"/>
        <v>2.0041689095407351</v>
      </c>
      <c r="F77" s="2">
        <f t="shared" si="23"/>
        <v>6.8558418360244358E-2</v>
      </c>
      <c r="G77" s="2">
        <f t="shared" si="23"/>
        <v>0.10649851395766112</v>
      </c>
      <c r="H77" s="2">
        <f t="shared" si="23"/>
        <v>0.99642672121636688</v>
      </c>
      <c r="I77" s="2">
        <f t="shared" si="23"/>
        <v>0.20234717651955611</v>
      </c>
      <c r="J77" s="2">
        <f t="shared" si="23"/>
        <v>5.0586794129889028E-2</v>
      </c>
      <c r="K77" s="2">
        <f t="shared" si="23"/>
        <v>4.9255562705418268E-2</v>
      </c>
      <c r="L77" s="2">
        <f t="shared" si="23"/>
        <v>0</v>
      </c>
      <c r="M77" s="6">
        <f t="shared" si="22"/>
        <v>5.76822576223182</v>
      </c>
      <c r="N77" s="2"/>
      <c r="O77" s="6"/>
    </row>
    <row r="78" spans="1:22" x14ac:dyDescent="0.2">
      <c r="A78" t="s">
        <v>8</v>
      </c>
      <c r="C78" s="2">
        <f t="shared" si="23"/>
        <v>2.4190191343952412</v>
      </c>
      <c r="D78" s="2">
        <f t="shared" si="23"/>
        <v>0</v>
      </c>
      <c r="E78" s="2">
        <f t="shared" si="23"/>
        <v>2.1455751378588341</v>
      </c>
      <c r="F78" s="2">
        <f t="shared" si="23"/>
        <v>7.4797248889497694E-2</v>
      </c>
      <c r="G78" s="2">
        <f t="shared" si="23"/>
        <v>0.11510927969003777</v>
      </c>
      <c r="H78" s="2">
        <f t="shared" si="23"/>
        <v>1.2871904938066259</v>
      </c>
      <c r="I78" s="2">
        <f t="shared" si="23"/>
        <v>0.21333269397099974</v>
      </c>
      <c r="J78" s="2">
        <f t="shared" si="23"/>
        <v>5.1311626225466221E-2</v>
      </c>
      <c r="K78" s="2">
        <f t="shared" si="23"/>
        <v>4.399838169970452E-2</v>
      </c>
      <c r="L78" s="2">
        <f t="shared" si="23"/>
        <v>0</v>
      </c>
      <c r="M78" s="6">
        <f t="shared" si="22"/>
        <v>6.3503339965364072</v>
      </c>
      <c r="N78" s="2"/>
      <c r="O78" s="6"/>
    </row>
    <row r="79" spans="1:22" x14ac:dyDescent="0.2">
      <c r="A79" t="s">
        <v>9</v>
      </c>
      <c r="C79" s="2">
        <f t="shared" si="23"/>
        <v>2.1682989829977282</v>
      </c>
      <c r="D79" s="2">
        <f t="shared" si="23"/>
        <v>0</v>
      </c>
      <c r="E79" s="2">
        <f t="shared" si="23"/>
        <v>2.0099628425918676</v>
      </c>
      <c r="F79" s="2">
        <f t="shared" si="23"/>
        <v>7.3683535218992402E-2</v>
      </c>
      <c r="G79" s="2">
        <f t="shared" si="23"/>
        <v>0.13443072161717468</v>
      </c>
      <c r="H79" s="2">
        <f t="shared" si="23"/>
        <v>1.2571508015356894</v>
      </c>
      <c r="I79" s="2">
        <f t="shared" si="23"/>
        <v>0.19380677426937243</v>
      </c>
      <c r="J79" s="2">
        <f t="shared" si="23"/>
        <v>5.1864624304630583E-2</v>
      </c>
      <c r="K79" s="2">
        <f t="shared" si="23"/>
        <v>4.5068570085403117E-2</v>
      </c>
      <c r="L79" s="2">
        <f t="shared" si="23"/>
        <v>0</v>
      </c>
      <c r="M79" s="6">
        <f t="shared" si="22"/>
        <v>5.9342668526208593</v>
      </c>
      <c r="N79" s="2"/>
      <c r="O79" s="6"/>
    </row>
    <row r="80" spans="1:22" x14ac:dyDescent="0.2">
      <c r="A80" t="s">
        <v>10</v>
      </c>
      <c r="C80" s="2">
        <f t="shared" si="23"/>
        <v>2.2851731297247673</v>
      </c>
      <c r="D80" s="2">
        <f t="shared" si="23"/>
        <v>0</v>
      </c>
      <c r="E80" s="2">
        <f t="shared" si="23"/>
        <v>2.0515744808860585</v>
      </c>
      <c r="F80" s="2">
        <f t="shared" si="23"/>
        <v>6.1523434258590047E-2</v>
      </c>
      <c r="G80" s="2">
        <f t="shared" si="23"/>
        <v>0.1508930650674897</v>
      </c>
      <c r="H80" s="2">
        <f t="shared" si="23"/>
        <v>0.92255401177895424</v>
      </c>
      <c r="I80" s="2">
        <f t="shared" si="23"/>
        <v>0.17534773767897954</v>
      </c>
      <c r="J80" s="2">
        <f t="shared" si="23"/>
        <v>5.0277854882503463E-2</v>
      </c>
      <c r="K80" s="2">
        <f t="shared" si="23"/>
        <v>3.9032275506416886E-2</v>
      </c>
      <c r="L80" s="2">
        <f t="shared" si="23"/>
        <v>0</v>
      </c>
      <c r="M80" s="6">
        <f t="shared" si="22"/>
        <v>5.7363759897837605</v>
      </c>
      <c r="N80" s="2"/>
      <c r="O80" s="6"/>
    </row>
    <row r="81" spans="1:17" x14ac:dyDescent="0.2">
      <c r="A81" t="s">
        <v>11</v>
      </c>
      <c r="C81" s="2">
        <f t="shared" si="23"/>
        <v>2.6960224323320765</v>
      </c>
      <c r="D81" s="2">
        <f t="shared" si="23"/>
        <v>0</v>
      </c>
      <c r="E81" s="2">
        <f t="shared" si="23"/>
        <v>2.1527035150188594</v>
      </c>
      <c r="F81" s="2">
        <f t="shared" si="23"/>
        <v>8.5380385780452997E-2</v>
      </c>
      <c r="G81" s="2">
        <f t="shared" si="23"/>
        <v>0.17302014110105729</v>
      </c>
      <c r="H81" s="2">
        <f t="shared" si="23"/>
        <v>0.96593993550782697</v>
      </c>
      <c r="I81" s="2">
        <f t="shared" si="23"/>
        <v>0.22231007133225195</v>
      </c>
      <c r="J81" s="2">
        <f t="shared" si="23"/>
        <v>6.4035289335339765E-2</v>
      </c>
      <c r="K81" s="2">
        <f t="shared" si="23"/>
        <v>4.857644511325216E-2</v>
      </c>
      <c r="L81" s="2">
        <f t="shared" si="23"/>
        <v>0</v>
      </c>
      <c r="M81" s="6">
        <f t="shared" si="22"/>
        <v>6.407988215521117</v>
      </c>
      <c r="N81" s="2"/>
      <c r="O81" s="6"/>
    </row>
    <row r="82" spans="1:17" x14ac:dyDescent="0.2">
      <c r="A82" t="s">
        <v>12</v>
      </c>
      <c r="C82" s="2">
        <f t="shared" si="23"/>
        <v>2.7604528859355746</v>
      </c>
      <c r="D82" s="2">
        <f t="shared" si="23"/>
        <v>0</v>
      </c>
      <c r="E82" s="2">
        <f t="shared" si="23"/>
        <v>2.2322184412955464</v>
      </c>
      <c r="F82" s="2">
        <f t="shared" si="23"/>
        <v>8.0114765006160882E-2</v>
      </c>
      <c r="G82" s="2">
        <f t="shared" si="23"/>
        <v>0.17211599366308747</v>
      </c>
      <c r="H82" s="2">
        <f t="shared" si="23"/>
        <v>0.91989342193275836</v>
      </c>
      <c r="I82" s="2">
        <f t="shared" si="23"/>
        <v>0.20177272047174796</v>
      </c>
      <c r="J82" s="2">
        <f t="shared" si="23"/>
        <v>5.5628649885583512E-2</v>
      </c>
      <c r="K82" s="2">
        <f t="shared" si="23"/>
        <v>4.522799419116353E-2</v>
      </c>
      <c r="L82" s="2">
        <f t="shared" si="23"/>
        <v>0</v>
      </c>
      <c r="M82" s="6">
        <f t="shared" si="22"/>
        <v>6.4674248723816223</v>
      </c>
      <c r="N82" s="2"/>
      <c r="O82" s="6"/>
    </row>
    <row r="83" spans="1:17" x14ac:dyDescent="0.2">
      <c r="A83" t="s">
        <v>38</v>
      </c>
      <c r="C83" s="2">
        <f t="shared" si="23"/>
        <v>2.551541861860684</v>
      </c>
      <c r="D83" s="2">
        <f t="shared" si="23"/>
        <v>0</v>
      </c>
      <c r="E83" s="2">
        <f t="shared" si="23"/>
        <v>2.4685436225290234</v>
      </c>
      <c r="F83" s="2">
        <f t="shared" si="23"/>
        <v>8.1511881177439585E-2</v>
      </c>
      <c r="G83" s="2">
        <f t="shared" si="23"/>
        <v>0.18371386786162533</v>
      </c>
      <c r="H83" s="2">
        <f t="shared" si="23"/>
        <v>0.98789308362095996</v>
      </c>
      <c r="I83" s="2">
        <f t="shared" si="23"/>
        <v>0.27907860703639786</v>
      </c>
      <c r="J83" s="2">
        <f t="shared" si="23"/>
        <v>6.0762321344524625E-2</v>
      </c>
      <c r="K83" s="2">
        <f t="shared" si="23"/>
        <v>4.6136557106997163E-2</v>
      </c>
      <c r="L83" s="2">
        <f t="shared" si="23"/>
        <v>1.2307045516943831E-2</v>
      </c>
      <c r="M83" s="6">
        <f t="shared" si="22"/>
        <v>6.6714888480545955</v>
      </c>
      <c r="N83" s="2"/>
      <c r="O83" s="6"/>
    </row>
    <row r="84" spans="1:17" x14ac:dyDescent="0.2">
      <c r="A84" t="s">
        <v>15</v>
      </c>
      <c r="C84" s="2">
        <f t="shared" si="23"/>
        <v>1.9255676618726152</v>
      </c>
      <c r="D84" s="2">
        <f t="shared" si="23"/>
        <v>0</v>
      </c>
      <c r="E84" s="2">
        <f t="shared" si="23"/>
        <v>1.6676107872028179</v>
      </c>
      <c r="F84" s="2">
        <f t="shared" si="23"/>
        <v>6.1002914000587022E-2</v>
      </c>
      <c r="G84" s="2">
        <f t="shared" si="23"/>
        <v>0.13601038802465515</v>
      </c>
      <c r="H84" s="2">
        <f t="shared" si="23"/>
        <v>0.94406163310830638</v>
      </c>
      <c r="I84" s="2">
        <f t="shared" si="23"/>
        <v>0.15221057822130907</v>
      </c>
      <c r="J84" s="2">
        <f t="shared" si="23"/>
        <v>4.7591767537422953E-2</v>
      </c>
      <c r="K84" s="2">
        <f t="shared" si="23"/>
        <v>3.750373701203405E-2</v>
      </c>
      <c r="L84" s="2">
        <f t="shared" si="23"/>
        <v>1.7327675961256239E-2</v>
      </c>
      <c r="M84" s="6">
        <f t="shared" si="22"/>
        <v>4.988887142941004</v>
      </c>
      <c r="N84" s="2"/>
      <c r="O84" s="6"/>
    </row>
    <row r="85" spans="1:17" x14ac:dyDescent="0.2">
      <c r="A85" t="s">
        <v>13</v>
      </c>
      <c r="C85" s="2">
        <f t="shared" si="23"/>
        <v>1.9328099638427734</v>
      </c>
      <c r="D85" s="2">
        <f t="shared" si="23"/>
        <v>0</v>
      </c>
      <c r="E85" s="2">
        <f t="shared" si="23"/>
        <v>2.1016052595155705</v>
      </c>
      <c r="F85" s="2">
        <f t="shared" si="23"/>
        <v>7.3629160608063432E-2</v>
      </c>
      <c r="G85" s="2">
        <f t="shared" si="23"/>
        <v>0.1413846009097624</v>
      </c>
      <c r="H85" s="2">
        <f t="shared" si="23"/>
        <v>1.0244005536332177</v>
      </c>
      <c r="I85" s="2">
        <f t="shared" si="23"/>
        <v>0.18113604136697634</v>
      </c>
      <c r="J85" s="2">
        <f t="shared" si="23"/>
        <v>5.8025236965903337E-2</v>
      </c>
      <c r="K85" s="2">
        <f t="shared" si="23"/>
        <v>4.4319889584386291E-2</v>
      </c>
      <c r="L85" s="2">
        <f t="shared" si="23"/>
        <v>1.8273796508689395E-2</v>
      </c>
      <c r="M85" s="6">
        <f t="shared" si="22"/>
        <v>5.5755845029353424</v>
      </c>
      <c r="N85" s="2"/>
      <c r="O85" s="6"/>
    </row>
    <row r="86" spans="1:17" x14ac:dyDescent="0.2">
      <c r="A86" t="s">
        <v>14</v>
      </c>
      <c r="C86" s="2">
        <f t="shared" si="23"/>
        <v>1.7822358213334362</v>
      </c>
      <c r="D86" s="2">
        <f t="shared" si="23"/>
        <v>0</v>
      </c>
      <c r="E86" s="2">
        <f t="shared" si="23"/>
        <v>2.1053433766359109</v>
      </c>
      <c r="F86" s="2">
        <f t="shared" si="23"/>
        <v>7.5528546886461018E-2</v>
      </c>
      <c r="G86" s="2">
        <f t="shared" si="23"/>
        <v>0.14279058352314403</v>
      </c>
      <c r="H86" s="2">
        <f t="shared" si="23"/>
        <v>0.91014872563023574</v>
      </c>
      <c r="I86" s="2">
        <f t="shared" si="23"/>
        <v>0.19102180519630932</v>
      </c>
      <c r="J86" s="2">
        <f t="shared" si="23"/>
        <v>5.3286281897849674E-2</v>
      </c>
      <c r="K86" s="2">
        <f t="shared" si="23"/>
        <v>4.6982324441184421E-2</v>
      </c>
      <c r="L86" s="2">
        <f t="shared" si="23"/>
        <v>1.3321570474462419E-2</v>
      </c>
      <c r="M86" s="6">
        <f t="shared" si="22"/>
        <v>5.320659036018994</v>
      </c>
      <c r="N86" s="2"/>
      <c r="O86" s="6"/>
    </row>
    <row r="87" spans="1:17" ht="15" x14ac:dyDescent="0.35">
      <c r="A87" t="s">
        <v>2</v>
      </c>
      <c r="C87" s="12">
        <f t="shared" si="23"/>
        <v>1.8968273510016291</v>
      </c>
      <c r="D87" s="12">
        <f t="shared" si="23"/>
        <v>0</v>
      </c>
      <c r="E87" s="12">
        <f t="shared" si="23"/>
        <v>2.3764554778107927</v>
      </c>
      <c r="F87" s="12">
        <f t="shared" si="23"/>
        <v>8.5195928879516922E-2</v>
      </c>
      <c r="G87" s="12">
        <f t="shared" si="23"/>
        <v>0.14787494210677657</v>
      </c>
      <c r="H87" s="12">
        <f t="shared" si="23"/>
        <v>0.91707416888718496</v>
      </c>
      <c r="I87" s="12">
        <f t="shared" si="23"/>
        <v>0.20918749343429502</v>
      </c>
      <c r="J87" s="12">
        <f t="shared" si="23"/>
        <v>5.6559640371896862E-2</v>
      </c>
      <c r="K87" s="12">
        <f t="shared" si="23"/>
        <v>5.0440267516534076E-2</v>
      </c>
      <c r="L87" s="12">
        <f t="shared" si="23"/>
        <v>1.3664618997412058E-3</v>
      </c>
      <c r="M87" s="7">
        <f t="shared" si="22"/>
        <v>5.7409817319083674</v>
      </c>
      <c r="N87" s="12"/>
      <c r="O87" s="7"/>
    </row>
    <row r="88" spans="1:17" ht="15" x14ac:dyDescent="0.35">
      <c r="C88" s="15">
        <f>SUM(C76:C87)</f>
        <v>27.448151579966609</v>
      </c>
      <c r="D88" s="15">
        <f t="shared" ref="D88" si="24">SUM(D76:D87)</f>
        <v>0</v>
      </c>
      <c r="E88" s="15">
        <f t="shared" ref="E88" si="25">SUM(E76:E87)</f>
        <v>25.690169025071818</v>
      </c>
      <c r="F88" s="15">
        <f t="shared" ref="F88" si="26">SUM(F76:F87)</f>
        <v>0.89999635774726638</v>
      </c>
      <c r="G88" s="15">
        <f t="shared" ref="G88" si="27">SUM(G76:G87)</f>
        <v>1.7335785386596845</v>
      </c>
      <c r="H88" s="15">
        <f t="shared" ref="H88" si="28">SUM(H76:H87)</f>
        <v>12.058545077353269</v>
      </c>
      <c r="I88" s="15">
        <f t="shared" ref="I88" si="29">SUM(I76:I87)</f>
        <v>2.4602974580406407</v>
      </c>
      <c r="J88" s="15">
        <f t="shared" ref="J88" si="30">SUM(J76:J87)</f>
        <v>0.65673775933162404</v>
      </c>
      <c r="K88" s="15">
        <f t="shared" ref="K88" si="31">SUM(K76:K87)</f>
        <v>0.54874364991711277</v>
      </c>
      <c r="L88" s="15">
        <f t="shared" ref="L88" si="32">SUM(L76:L87)</f>
        <v>6.2596550361093087E-2</v>
      </c>
      <c r="M88" s="8">
        <f>SUM(M76:M87)</f>
        <v>71.558815996449098</v>
      </c>
      <c r="N88" s="8"/>
      <c r="O88" s="8"/>
      <c r="P88" s="6"/>
      <c r="Q88" s="6"/>
    </row>
    <row r="89" spans="1:17" x14ac:dyDescent="0.2"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</row>
    <row r="91" spans="1:17" x14ac:dyDescent="0.2">
      <c r="A91" s="3" t="s">
        <v>58</v>
      </c>
    </row>
    <row r="92" spans="1:17" x14ac:dyDescent="0.2">
      <c r="A92" t="s">
        <v>37</v>
      </c>
      <c r="C92" s="2">
        <f>+C60-C76</f>
        <v>200.20971381988196</v>
      </c>
      <c r="D92" s="2">
        <f t="shared" ref="D92:L92" si="33">+D60-D76</f>
        <v>0</v>
      </c>
      <c r="E92" s="2">
        <f t="shared" si="33"/>
        <v>173.50760572846596</v>
      </c>
      <c r="F92" s="2">
        <f t="shared" si="33"/>
        <v>5.7779771710417043</v>
      </c>
      <c r="G92" s="2">
        <f t="shared" si="33"/>
        <v>9.480370309767455</v>
      </c>
      <c r="H92" s="2">
        <f t="shared" si="33"/>
        <v>67.65282008035237</v>
      </c>
      <c r="I92" s="2">
        <f t="shared" si="33"/>
        <v>17.446125244601649</v>
      </c>
      <c r="J92" s="2">
        <f t="shared" si="33"/>
        <v>4.1511680646319036</v>
      </c>
      <c r="K92" s="2">
        <f t="shared" si="33"/>
        <v>3.8145868702022896</v>
      </c>
      <c r="L92" s="2">
        <f t="shared" si="33"/>
        <v>0</v>
      </c>
      <c r="M92" s="6">
        <f t="shared" ref="M92:M103" si="34">SUM(C92:L92)</f>
        <v>482.04036728894533</v>
      </c>
      <c r="N92" s="2"/>
      <c r="O92" s="76"/>
    </row>
    <row r="93" spans="1:17" x14ac:dyDescent="0.2">
      <c r="A93" t="s">
        <v>7</v>
      </c>
      <c r="C93" s="2">
        <f t="shared" ref="C93:L103" si="35">+C61-C77</f>
        <v>167.36766565286095</v>
      </c>
      <c r="D93" s="2">
        <f t="shared" si="35"/>
        <v>0</v>
      </c>
      <c r="E93" s="2">
        <f t="shared" si="35"/>
        <v>146.45278735273592</v>
      </c>
      <c r="F93" s="2">
        <f t="shared" si="35"/>
        <v>5.0098429416578556</v>
      </c>
      <c r="G93" s="2">
        <f t="shared" si="35"/>
        <v>7.7822802977209404</v>
      </c>
      <c r="H93" s="2">
        <f t="shared" si="35"/>
        <v>72.812960035551555</v>
      </c>
      <c r="I93" s="2">
        <f t="shared" si="35"/>
        <v>14.786332565669786</v>
      </c>
      <c r="J93" s="2">
        <f t="shared" si="35"/>
        <v>3.6965831414174466</v>
      </c>
      <c r="K93" s="2">
        <f t="shared" si="35"/>
        <v>3.5993046376959348</v>
      </c>
      <c r="L93" s="2">
        <f t="shared" si="35"/>
        <v>0</v>
      </c>
      <c r="M93" s="6">
        <f t="shared" si="34"/>
        <v>421.50775662531032</v>
      </c>
      <c r="N93" s="2"/>
      <c r="O93" s="76"/>
    </row>
    <row r="94" spans="1:17" x14ac:dyDescent="0.2">
      <c r="A94" t="s">
        <v>8</v>
      </c>
      <c r="C94" s="2">
        <f t="shared" si="35"/>
        <v>176.76758341340042</v>
      </c>
      <c r="D94" s="2">
        <f t="shared" si="35"/>
        <v>0</v>
      </c>
      <c r="E94" s="2">
        <f t="shared" si="35"/>
        <v>156.78591655538816</v>
      </c>
      <c r="F94" s="2">
        <f t="shared" si="35"/>
        <v>5.465739705888109</v>
      </c>
      <c r="G94" s="2">
        <f t="shared" si="35"/>
        <v>8.4115040306831297</v>
      </c>
      <c r="H94" s="2">
        <f t="shared" si="35"/>
        <v>94.060253491869375</v>
      </c>
      <c r="I94" s="2">
        <f t="shared" si="35"/>
        <v>15.589089081658612</v>
      </c>
      <c r="J94" s="2">
        <f t="shared" si="35"/>
        <v>3.7495495756609203</v>
      </c>
      <c r="K94" s="2">
        <f t="shared" si="35"/>
        <v>3.2151410034635934</v>
      </c>
      <c r="L94" s="2">
        <f t="shared" si="35"/>
        <v>0</v>
      </c>
      <c r="M94" s="6">
        <f t="shared" si="34"/>
        <v>464.04477685801231</v>
      </c>
      <c r="N94" s="2"/>
      <c r="O94" s="76"/>
    </row>
    <row r="95" spans="1:17" x14ac:dyDescent="0.2">
      <c r="A95" t="s">
        <v>9</v>
      </c>
      <c r="C95" s="2">
        <f t="shared" si="35"/>
        <v>158.44644049831547</v>
      </c>
      <c r="D95" s="2">
        <f t="shared" si="35"/>
        <v>0</v>
      </c>
      <c r="E95" s="2">
        <f t="shared" si="35"/>
        <v>146.87617364569462</v>
      </c>
      <c r="F95" s="2">
        <f t="shared" si="35"/>
        <v>5.3843561106322966</v>
      </c>
      <c r="G95" s="2">
        <f t="shared" si="35"/>
        <v>9.823400509284653</v>
      </c>
      <c r="H95" s="2">
        <f t="shared" si="35"/>
        <v>91.865130793700558</v>
      </c>
      <c r="I95" s="2">
        <f t="shared" si="35"/>
        <v>14.162250579017474</v>
      </c>
      <c r="J95" s="2">
        <f t="shared" si="35"/>
        <v>3.7899593982605975</v>
      </c>
      <c r="K95" s="2">
        <f t="shared" si="35"/>
        <v>3.2933440288333466</v>
      </c>
      <c r="L95" s="2">
        <f t="shared" si="35"/>
        <v>0</v>
      </c>
      <c r="M95" s="6">
        <f t="shared" si="34"/>
        <v>433.64105556373909</v>
      </c>
      <c r="N95" s="2"/>
      <c r="O95" s="76"/>
    </row>
    <row r="96" spans="1:17" x14ac:dyDescent="0.2">
      <c r="A96" t="s">
        <v>10</v>
      </c>
      <c r="C96" s="2">
        <f t="shared" si="35"/>
        <v>166.98691055359131</v>
      </c>
      <c r="D96" s="2">
        <f t="shared" si="35"/>
        <v>0</v>
      </c>
      <c r="E96" s="2">
        <f t="shared" si="35"/>
        <v>149.91690558474792</v>
      </c>
      <c r="F96" s="2">
        <f t="shared" si="35"/>
        <v>4.4957679923036356</v>
      </c>
      <c r="G96" s="2">
        <f t="shared" si="35"/>
        <v>11.026371014005822</v>
      </c>
      <c r="H96" s="2">
        <f t="shared" si="35"/>
        <v>67.414780194069508</v>
      </c>
      <c r="I96" s="2">
        <f t="shared" si="35"/>
        <v>12.813373571875061</v>
      </c>
      <c r="J96" s="2">
        <f t="shared" si="35"/>
        <v>3.6740076919696052</v>
      </c>
      <c r="K96" s="2">
        <f t="shared" si="35"/>
        <v>2.8522473916355748</v>
      </c>
      <c r="L96" s="2">
        <f t="shared" si="35"/>
        <v>0</v>
      </c>
      <c r="M96" s="6">
        <f t="shared" si="34"/>
        <v>419.18036399419844</v>
      </c>
      <c r="N96" s="2"/>
      <c r="O96" s="76"/>
    </row>
    <row r="97" spans="1:15" x14ac:dyDescent="0.2">
      <c r="A97" t="s">
        <v>11</v>
      </c>
      <c r="C97" s="2">
        <f t="shared" si="35"/>
        <v>197.0093429255995</v>
      </c>
      <c r="D97" s="2">
        <f t="shared" si="35"/>
        <v>0</v>
      </c>
      <c r="E97" s="2">
        <f t="shared" si="35"/>
        <v>157.30681611600775</v>
      </c>
      <c r="F97" s="2">
        <f t="shared" si="35"/>
        <v>6.2390926349938436</v>
      </c>
      <c r="G97" s="2">
        <f t="shared" si="35"/>
        <v>12.643286607125409</v>
      </c>
      <c r="H97" s="2">
        <f t="shared" si="35"/>
        <v>70.585166398405278</v>
      </c>
      <c r="I97" s="2">
        <f t="shared" si="35"/>
        <v>16.245102619945669</v>
      </c>
      <c r="J97" s="2">
        <f t="shared" si="35"/>
        <v>4.6793194762453831</v>
      </c>
      <c r="K97" s="2">
        <f t="shared" si="35"/>
        <v>3.5496787484609822</v>
      </c>
      <c r="L97" s="2">
        <f t="shared" si="35"/>
        <v>0</v>
      </c>
      <c r="M97" s="6">
        <f t="shared" si="34"/>
        <v>468.25780552678378</v>
      </c>
      <c r="N97" s="2"/>
      <c r="O97" s="76"/>
    </row>
    <row r="98" spans="1:15" x14ac:dyDescent="0.2">
      <c r="A98" t="s">
        <v>12</v>
      </c>
      <c r="C98" s="2">
        <f t="shared" si="35"/>
        <v>201.71753866484775</v>
      </c>
      <c r="D98" s="2">
        <f t="shared" si="35"/>
        <v>0</v>
      </c>
      <c r="E98" s="2">
        <f t="shared" si="35"/>
        <v>163.11729572874492</v>
      </c>
      <c r="F98" s="2">
        <f t="shared" si="35"/>
        <v>5.8543122724872383</v>
      </c>
      <c r="G98" s="2">
        <f t="shared" si="35"/>
        <v>12.577216870269318</v>
      </c>
      <c r="H98" s="2">
        <f t="shared" si="35"/>
        <v>67.220360054567863</v>
      </c>
      <c r="I98" s="2">
        <f t="shared" si="35"/>
        <v>14.744354721879953</v>
      </c>
      <c r="J98" s="2">
        <f t="shared" si="35"/>
        <v>4.0650120823798623</v>
      </c>
      <c r="K98" s="2">
        <f t="shared" si="35"/>
        <v>3.3049937977468753</v>
      </c>
      <c r="L98" s="2">
        <f t="shared" si="35"/>
        <v>0</v>
      </c>
      <c r="M98" s="6">
        <f t="shared" si="34"/>
        <v>472.60108419292379</v>
      </c>
      <c r="N98" s="2"/>
      <c r="O98" s="76"/>
    </row>
    <row r="99" spans="1:15" x14ac:dyDescent="0.2">
      <c r="A99" t="s">
        <v>38</v>
      </c>
      <c r="C99" s="2">
        <f t="shared" si="35"/>
        <v>186.4515590167085</v>
      </c>
      <c r="D99" s="2">
        <f t="shared" si="35"/>
        <v>0</v>
      </c>
      <c r="E99" s="2">
        <f t="shared" si="35"/>
        <v>180.38653952776903</v>
      </c>
      <c r="F99" s="2">
        <f t="shared" si="35"/>
        <v>5.9564052430773451</v>
      </c>
      <c r="G99" s="2">
        <f t="shared" si="35"/>
        <v>13.424720788555065</v>
      </c>
      <c r="H99" s="2">
        <f t="shared" si="35"/>
        <v>72.189372369783484</v>
      </c>
      <c r="I99" s="2">
        <f t="shared" si="35"/>
        <v>20.393410803067148</v>
      </c>
      <c r="J99" s="2">
        <f t="shared" si="35"/>
        <v>4.4401503708424848</v>
      </c>
      <c r="K99" s="2">
        <f t="shared" si="35"/>
        <v>3.3713861915594596</v>
      </c>
      <c r="L99" s="2">
        <f t="shared" si="35"/>
        <v>0.89932595573815477</v>
      </c>
      <c r="M99" s="6">
        <f t="shared" si="34"/>
        <v>487.51287026710071</v>
      </c>
      <c r="N99" s="2"/>
      <c r="O99" s="76"/>
    </row>
    <row r="100" spans="1:15" x14ac:dyDescent="0.2">
      <c r="A100" t="s">
        <v>15</v>
      </c>
      <c r="C100" s="2">
        <f t="shared" si="35"/>
        <v>140.70907395832111</v>
      </c>
      <c r="D100" s="2">
        <f t="shared" si="35"/>
        <v>0</v>
      </c>
      <c r="E100" s="2">
        <f t="shared" si="35"/>
        <v>121.85911419078369</v>
      </c>
      <c r="F100" s="2">
        <f t="shared" si="35"/>
        <v>4.4577314564132662</v>
      </c>
      <c r="G100" s="2">
        <f t="shared" si="35"/>
        <v>9.9388331693572081</v>
      </c>
      <c r="H100" s="2">
        <f t="shared" si="35"/>
        <v>68.986429708247726</v>
      </c>
      <c r="I100" s="2">
        <f t="shared" si="35"/>
        <v>11.122647067801585</v>
      </c>
      <c r="J100" s="2">
        <f t="shared" si="35"/>
        <v>3.4777243463457586</v>
      </c>
      <c r="K100" s="2">
        <f t="shared" si="35"/>
        <v>2.7405508564719696</v>
      </c>
      <c r="L100" s="2">
        <f t="shared" si="35"/>
        <v>1.2662038767243911</v>
      </c>
      <c r="M100" s="6">
        <f t="shared" si="34"/>
        <v>364.55830863046674</v>
      </c>
      <c r="N100" s="2"/>
      <c r="O100" s="76"/>
    </row>
    <row r="101" spans="1:15" x14ac:dyDescent="0.2">
      <c r="A101" t="s">
        <v>13</v>
      </c>
      <c r="C101" s="2">
        <f t="shared" si="35"/>
        <v>141.23829846895526</v>
      </c>
      <c r="D101" s="2">
        <f t="shared" si="35"/>
        <v>0</v>
      </c>
      <c r="E101" s="2">
        <f t="shared" si="35"/>
        <v>153.57285840830448</v>
      </c>
      <c r="F101" s="2">
        <f t="shared" si="35"/>
        <v>5.3803827362855241</v>
      </c>
      <c r="G101" s="2">
        <f t="shared" si="35"/>
        <v>10.331548799813378</v>
      </c>
      <c r="H101" s="2">
        <f t="shared" si="35"/>
        <v>74.857121937716244</v>
      </c>
      <c r="I101" s="2">
        <f t="shared" si="35"/>
        <v>13.236348504334975</v>
      </c>
      <c r="J101" s="2">
        <f t="shared" si="35"/>
        <v>4.2401404642121214</v>
      </c>
      <c r="K101" s="2">
        <f t="shared" si="35"/>
        <v>3.2386348944442278</v>
      </c>
      <c r="L101" s="2">
        <f t="shared" si="35"/>
        <v>1.3353407596905249</v>
      </c>
      <c r="M101" s="6">
        <f t="shared" si="34"/>
        <v>407.43067497375671</v>
      </c>
      <c r="N101" s="2"/>
      <c r="O101" s="76"/>
    </row>
    <row r="102" spans="1:15" x14ac:dyDescent="0.2">
      <c r="A102" t="s">
        <v>14</v>
      </c>
      <c r="C102" s="2">
        <f t="shared" si="35"/>
        <v>130.23523242558775</v>
      </c>
      <c r="D102" s="2">
        <f t="shared" si="35"/>
        <v>0</v>
      </c>
      <c r="E102" s="2">
        <f t="shared" si="35"/>
        <v>153.84601785565377</v>
      </c>
      <c r="F102" s="2">
        <f t="shared" si="35"/>
        <v>5.5191786298884296</v>
      </c>
      <c r="G102" s="2">
        <f t="shared" si="35"/>
        <v>10.434289677450488</v>
      </c>
      <c r="H102" s="2">
        <f t="shared" si="35"/>
        <v>66.508275395127967</v>
      </c>
      <c r="I102" s="2">
        <f t="shared" si="35"/>
        <v>13.958741542678455</v>
      </c>
      <c r="J102" s="2">
        <f t="shared" si="35"/>
        <v>3.8938457105354596</v>
      </c>
      <c r="K102" s="2">
        <f t="shared" si="35"/>
        <v>3.4331898563872913</v>
      </c>
      <c r="L102" s="2">
        <f t="shared" si="35"/>
        <v>0.9734614276338649</v>
      </c>
      <c r="M102" s="6">
        <f t="shared" si="34"/>
        <v>388.80223252094345</v>
      </c>
      <c r="N102" s="2"/>
      <c r="O102" s="76"/>
    </row>
    <row r="103" spans="1:15" ht="15" x14ac:dyDescent="0.35">
      <c r="A103" t="s">
        <v>2</v>
      </c>
      <c r="C103" s="12">
        <f t="shared" si="35"/>
        <v>138.60890235282275</v>
      </c>
      <c r="D103" s="12">
        <f t="shared" si="35"/>
        <v>0</v>
      </c>
      <c r="E103" s="12">
        <f t="shared" si="35"/>
        <v>173.65728361928495</v>
      </c>
      <c r="F103" s="12">
        <f t="shared" si="35"/>
        <v>6.2256136177513657</v>
      </c>
      <c r="G103" s="12">
        <f t="shared" si="35"/>
        <v>10.805824473210007</v>
      </c>
      <c r="H103" s="12">
        <f t="shared" si="35"/>
        <v>67.014345748682075</v>
      </c>
      <c r="I103" s="12">
        <f t="shared" si="35"/>
        <v>15.286182390587559</v>
      </c>
      <c r="J103" s="12">
        <f t="shared" si="35"/>
        <v>4.1330433501389816</v>
      </c>
      <c r="K103" s="12">
        <f t="shared" si="35"/>
        <v>3.6858758448193232</v>
      </c>
      <c r="L103" s="12">
        <f t="shared" si="35"/>
        <v>9.9852938081088846E-2</v>
      </c>
      <c r="M103" s="7">
        <f t="shared" si="34"/>
        <v>419.51692433537812</v>
      </c>
      <c r="N103" s="2"/>
      <c r="O103" s="76"/>
    </row>
    <row r="104" spans="1:15" ht="15" x14ac:dyDescent="0.35">
      <c r="C104" s="15">
        <f>SUM(C92:C103)</f>
        <v>2005.7482617508927</v>
      </c>
      <c r="D104" s="15">
        <f t="shared" ref="D104" si="36">SUM(D92:D103)</f>
        <v>0</v>
      </c>
      <c r="E104" s="15">
        <f t="shared" ref="E104" si="37">SUM(E92:E103)</f>
        <v>1877.2853143135812</v>
      </c>
      <c r="F104" s="15">
        <f t="shared" ref="F104" si="38">SUM(F92:F103)</f>
        <v>65.766400512420617</v>
      </c>
      <c r="G104" s="15">
        <f t="shared" ref="G104" si="39">SUM(G92:G103)</f>
        <v>126.67964654724288</v>
      </c>
      <c r="H104" s="15">
        <f t="shared" ref="H104" si="40">SUM(H92:H103)</f>
        <v>881.16701620807396</v>
      </c>
      <c r="I104" s="15">
        <f t="shared" ref="I104" si="41">SUM(I92:I103)</f>
        <v>179.78395869311794</v>
      </c>
      <c r="J104" s="15">
        <f t="shared" ref="J104" si="42">SUM(J92:J103)</f>
        <v>47.990503672640521</v>
      </c>
      <c r="K104" s="15">
        <f t="shared" ref="K104" si="43">SUM(K92:K103)</f>
        <v>40.098934121720866</v>
      </c>
      <c r="L104" s="15">
        <f t="shared" ref="L104" si="44">SUM(L92:L103)</f>
        <v>4.5741849578680238</v>
      </c>
      <c r="M104" s="8">
        <f>SUM(M92:M103)</f>
        <v>5229.0942207775588</v>
      </c>
      <c r="N104" s="8"/>
      <c r="O104" s="8"/>
    </row>
    <row r="105" spans="1:15" x14ac:dyDescent="0.2"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</row>
    <row r="106" spans="1:15" x14ac:dyDescent="0.2"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</row>
    <row r="107" spans="1:15" x14ac:dyDescent="0.2">
      <c r="C107" s="241" t="s">
        <v>41</v>
      </c>
      <c r="D107" s="241"/>
      <c r="E107" s="241"/>
      <c r="F107" s="241"/>
      <c r="G107" s="241"/>
      <c r="H107" s="241"/>
      <c r="I107" s="241"/>
      <c r="J107" s="241"/>
      <c r="K107" s="241"/>
      <c r="L107" s="241"/>
    </row>
    <row r="108" spans="1:15" x14ac:dyDescent="0.2">
      <c r="C108" s="24" t="s">
        <v>42</v>
      </c>
      <c r="D108" s="24" t="s">
        <v>43</v>
      </c>
      <c r="E108" s="24"/>
      <c r="F108" s="24" t="s">
        <v>44</v>
      </c>
      <c r="G108" s="24" t="s">
        <v>45</v>
      </c>
      <c r="H108" s="24"/>
      <c r="I108" s="24"/>
      <c r="J108" s="24" t="s">
        <v>0</v>
      </c>
      <c r="K108" s="24" t="s">
        <v>0</v>
      </c>
      <c r="L108" s="24" t="s">
        <v>46</v>
      </c>
    </row>
    <row r="109" spans="1:15" x14ac:dyDescent="0.2">
      <c r="C109" s="25" t="s">
        <v>47</v>
      </c>
      <c r="D109" s="25" t="s">
        <v>48</v>
      </c>
      <c r="E109" s="25" t="s">
        <v>24</v>
      </c>
      <c r="F109" s="25" t="s">
        <v>22</v>
      </c>
      <c r="G109" s="25" t="s">
        <v>23</v>
      </c>
      <c r="H109" s="25" t="s">
        <v>16</v>
      </c>
      <c r="I109" s="25" t="s">
        <v>1</v>
      </c>
      <c r="J109" s="25" t="s">
        <v>49</v>
      </c>
      <c r="K109" s="25" t="s">
        <v>50</v>
      </c>
      <c r="L109" s="25" t="s">
        <v>51</v>
      </c>
      <c r="M109" s="30" t="s">
        <v>3</v>
      </c>
    </row>
    <row r="110" spans="1:15" x14ac:dyDescent="0.2">
      <c r="A110" s="3" t="s">
        <v>59</v>
      </c>
    </row>
    <row r="111" spans="1:15" x14ac:dyDescent="0.2">
      <c r="A111" t="s">
        <v>37</v>
      </c>
      <c r="C111" s="9">
        <f t="shared" ref="C111:L111" si="45">+C76*C42</f>
        <v>260.09098813425123</v>
      </c>
      <c r="D111" s="9">
        <f t="shared" si="45"/>
        <v>0</v>
      </c>
      <c r="E111" s="9">
        <f t="shared" si="45"/>
        <v>428.98414416014822</v>
      </c>
      <c r="F111" s="9">
        <f t="shared" si="45"/>
        <v>95.538867165792851</v>
      </c>
      <c r="G111" s="9">
        <f t="shared" si="45"/>
        <v>13.77541531994928</v>
      </c>
      <c r="H111" s="9">
        <f t="shared" si="45"/>
        <v>-49.38278683391885</v>
      </c>
      <c r="I111" s="9">
        <f t="shared" si="45"/>
        <v>44.380449055455152</v>
      </c>
      <c r="J111" s="9">
        <f t="shared" si="45"/>
        <v>31.471450537640152</v>
      </c>
      <c r="K111" s="9">
        <f t="shared" si="45"/>
        <v>14.303250717565403</v>
      </c>
      <c r="L111" s="9">
        <f t="shared" si="45"/>
        <v>0</v>
      </c>
      <c r="M111" s="9">
        <f t="shared" ref="M111:M122" si="46">SUM(C111:L111)</f>
        <v>839.16177825688362</v>
      </c>
    </row>
    <row r="112" spans="1:15" x14ac:dyDescent="0.2">
      <c r="A112" t="s">
        <v>7</v>
      </c>
      <c r="C112" s="9">
        <f t="shared" ref="C112:L112" si="47">+C77*C43</f>
        <v>246.8804553367921</v>
      </c>
      <c r="D112" s="9">
        <f t="shared" si="47"/>
        <v>0</v>
      </c>
      <c r="E112" s="9">
        <f t="shared" si="47"/>
        <v>372.37458339266863</v>
      </c>
      <c r="F112" s="9">
        <f t="shared" si="47"/>
        <v>85.994195317621703</v>
      </c>
      <c r="G112" s="9">
        <f t="shared" si="47"/>
        <v>11.284582538953771</v>
      </c>
      <c r="H112" s="9">
        <f t="shared" si="47"/>
        <v>-53.149401309681011</v>
      </c>
      <c r="I112" s="9">
        <f t="shared" si="47"/>
        <v>34.601367184844094</v>
      </c>
      <c r="J112" s="9">
        <f t="shared" si="47"/>
        <v>26.716909451759591</v>
      </c>
      <c r="K112" s="9">
        <f t="shared" si="47"/>
        <v>13.988579808338788</v>
      </c>
      <c r="L112" s="9">
        <f t="shared" si="47"/>
        <v>0</v>
      </c>
      <c r="M112" s="9">
        <f t="shared" si="46"/>
        <v>738.69127172129777</v>
      </c>
    </row>
    <row r="113" spans="1:16" x14ac:dyDescent="0.2">
      <c r="A113" t="s">
        <v>8</v>
      </c>
      <c r="C113" s="9">
        <f t="shared" ref="C113:L113" si="48">+C78*C44</f>
        <v>238.05567301583568</v>
      </c>
      <c r="D113" s="9">
        <f t="shared" si="48"/>
        <v>0</v>
      </c>
      <c r="E113" s="9">
        <f t="shared" si="48"/>
        <v>377.57831276039764</v>
      </c>
      <c r="F113" s="9">
        <f t="shared" si="48"/>
        <v>99.917904929035487</v>
      </c>
      <c r="G113" s="9">
        <f t="shared" si="48"/>
        <v>14.201031835359961</v>
      </c>
      <c r="H113" s="9">
        <f t="shared" si="48"/>
        <v>-68.658740939645426</v>
      </c>
      <c r="I113" s="9">
        <f t="shared" si="48"/>
        <v>45.695863048588144</v>
      </c>
      <c r="J113" s="9">
        <f t="shared" si="48"/>
        <v>23.808594568616325</v>
      </c>
      <c r="K113" s="9">
        <f t="shared" si="48"/>
        <v>14.255475670704264</v>
      </c>
      <c r="L113" s="9">
        <f t="shared" si="48"/>
        <v>0</v>
      </c>
      <c r="M113" s="9">
        <f t="shared" si="46"/>
        <v>744.85411488889201</v>
      </c>
    </row>
    <row r="114" spans="1:16" x14ac:dyDescent="0.2">
      <c r="A114" t="s">
        <v>9</v>
      </c>
      <c r="C114" s="9">
        <f t="shared" ref="C114:L114" si="49">+C79*C45</f>
        <v>158.74116854526366</v>
      </c>
      <c r="D114" s="9">
        <f t="shared" si="49"/>
        <v>0</v>
      </c>
      <c r="E114" s="9">
        <f t="shared" si="49"/>
        <v>291.46471180424669</v>
      </c>
      <c r="F114" s="9">
        <f t="shared" si="49"/>
        <v>98.765410607537419</v>
      </c>
      <c r="G114" s="9">
        <f t="shared" si="49"/>
        <v>19.624196741675156</v>
      </c>
      <c r="H114" s="9">
        <f t="shared" si="49"/>
        <v>-67.056423753913677</v>
      </c>
      <c r="I114" s="9">
        <f t="shared" si="49"/>
        <v>24.165766683648048</v>
      </c>
      <c r="J114" s="9">
        <f t="shared" si="49"/>
        <v>23.702133307216176</v>
      </c>
      <c r="K114" s="9">
        <f t="shared" si="49"/>
        <v>13.340296745279323</v>
      </c>
      <c r="L114" s="9">
        <f t="shared" si="49"/>
        <v>0</v>
      </c>
      <c r="M114" s="9">
        <f t="shared" si="46"/>
        <v>562.74726068095288</v>
      </c>
    </row>
    <row r="115" spans="1:16" x14ac:dyDescent="0.2">
      <c r="A115" t="s">
        <v>10</v>
      </c>
      <c r="C115" s="9">
        <f t="shared" ref="C115:L115" si="50">+C80*C46</f>
        <v>129.04372663555762</v>
      </c>
      <c r="D115" s="9">
        <f t="shared" si="50"/>
        <v>0</v>
      </c>
      <c r="E115" s="9">
        <f t="shared" si="50"/>
        <v>166.21856444138845</v>
      </c>
      <c r="F115" s="9">
        <f t="shared" si="50"/>
        <v>81.306909778782256</v>
      </c>
      <c r="G115" s="9">
        <f t="shared" si="50"/>
        <v>19.619116320075012</v>
      </c>
      <c r="H115" s="9">
        <f t="shared" si="50"/>
        <v>-49.20903098828942</v>
      </c>
      <c r="I115" s="9">
        <f t="shared" si="50"/>
        <v>17.91527835866134</v>
      </c>
      <c r="J115" s="9">
        <f t="shared" si="50"/>
        <v>27.361208627058385</v>
      </c>
      <c r="K115" s="9">
        <f t="shared" si="50"/>
        <v>11.865811753950734</v>
      </c>
      <c r="L115" s="9">
        <f t="shared" si="50"/>
        <v>0</v>
      </c>
      <c r="M115" s="9">
        <f t="shared" si="46"/>
        <v>404.12158492718436</v>
      </c>
    </row>
    <row r="116" spans="1:16" x14ac:dyDescent="0.2">
      <c r="A116" t="s">
        <v>11</v>
      </c>
      <c r="C116" s="9">
        <f t="shared" ref="C116:L116" si="51">+C81*C47</f>
        <v>202.84872780866542</v>
      </c>
      <c r="D116" s="9">
        <f t="shared" si="51"/>
        <v>0</v>
      </c>
      <c r="E116" s="9">
        <f t="shared" si="51"/>
        <v>281.50903865901626</v>
      </c>
      <c r="F116" s="9">
        <f t="shared" si="51"/>
        <v>118.28000983323494</v>
      </c>
      <c r="G116" s="9">
        <f t="shared" si="51"/>
        <v>22.67428949129356</v>
      </c>
      <c r="H116" s="9">
        <f t="shared" si="51"/>
        <v>-51.523236159987491</v>
      </c>
      <c r="I116" s="9">
        <f t="shared" si="51"/>
        <v>21.550738314948504</v>
      </c>
      <c r="J116" s="9">
        <f t="shared" si="51"/>
        <v>34.848004456291903</v>
      </c>
      <c r="K116" s="9">
        <f t="shared" si="51"/>
        <v>17.438943795657526</v>
      </c>
      <c r="L116" s="9">
        <f t="shared" si="51"/>
        <v>0</v>
      </c>
      <c r="M116" s="9">
        <f t="shared" si="46"/>
        <v>647.6265161991206</v>
      </c>
    </row>
    <row r="117" spans="1:16" x14ac:dyDescent="0.2">
      <c r="A117" t="s">
        <v>12</v>
      </c>
      <c r="C117" s="9">
        <f t="shared" ref="C117:L117" si="52">+C82*C48</f>
        <v>218.57265950837882</v>
      </c>
      <c r="D117" s="9">
        <f t="shared" si="52"/>
        <v>0</v>
      </c>
      <c r="E117" s="9">
        <f t="shared" si="52"/>
        <v>286.68381441558705</v>
      </c>
      <c r="F117" s="9">
        <f t="shared" si="52"/>
        <v>107.94423092635098</v>
      </c>
      <c r="G117" s="9">
        <f t="shared" si="52"/>
        <v>24.721020169829252</v>
      </c>
      <c r="H117" s="9">
        <f t="shared" si="52"/>
        <v>-49.067115125893331</v>
      </c>
      <c r="I117" s="9">
        <f t="shared" si="52"/>
        <v>15.952151280496395</v>
      </c>
      <c r="J117" s="9">
        <f t="shared" si="52"/>
        <v>30.261985537757429</v>
      </c>
      <c r="K117" s="9">
        <f t="shared" si="52"/>
        <v>14.201590176025348</v>
      </c>
      <c r="L117" s="9">
        <f t="shared" si="52"/>
        <v>0</v>
      </c>
      <c r="M117" s="9">
        <f t="shared" si="46"/>
        <v>649.27033688853192</v>
      </c>
    </row>
    <row r="118" spans="1:16" x14ac:dyDescent="0.2">
      <c r="A118" t="s">
        <v>38</v>
      </c>
      <c r="C118" s="9">
        <f t="shared" ref="C118:L118" si="53">+C83*C49</f>
        <v>188.86512861492781</v>
      </c>
      <c r="D118" s="9">
        <f t="shared" si="53"/>
        <v>0</v>
      </c>
      <c r="E118" s="9">
        <f t="shared" si="53"/>
        <v>315.72672932146213</v>
      </c>
      <c r="F118" s="9">
        <f t="shared" si="53"/>
        <v>116.08106998479171</v>
      </c>
      <c r="G118" s="9">
        <f t="shared" si="53"/>
        <v>31.727384979702691</v>
      </c>
      <c r="H118" s="9">
        <f t="shared" si="53"/>
        <v>-52.694217080342007</v>
      </c>
      <c r="I118" s="9">
        <f t="shared" si="53"/>
        <v>43.673011215125904</v>
      </c>
      <c r="J118" s="9">
        <f t="shared" si="53"/>
        <v>33.844612988900217</v>
      </c>
      <c r="K118" s="9">
        <f t="shared" si="53"/>
        <v>15.824839087700028</v>
      </c>
      <c r="L118" s="9">
        <f t="shared" si="53"/>
        <v>-0.95994955032161877</v>
      </c>
      <c r="M118" s="9">
        <f t="shared" si="46"/>
        <v>692.0886095619469</v>
      </c>
    </row>
    <row r="119" spans="1:16" x14ac:dyDescent="0.2">
      <c r="A119" t="s">
        <v>15</v>
      </c>
      <c r="C119" s="9">
        <f t="shared" ref="C119:L119" si="54">+C84*C50</f>
        <v>136.67679263971823</v>
      </c>
      <c r="D119" s="9">
        <f t="shared" si="54"/>
        <v>0</v>
      </c>
      <c r="E119" s="9">
        <f t="shared" si="54"/>
        <v>179.01801800622249</v>
      </c>
      <c r="F119" s="9">
        <f t="shared" si="54"/>
        <v>85.310135113260927</v>
      </c>
      <c r="G119" s="9">
        <f t="shared" si="54"/>
        <v>25.197284485447611</v>
      </c>
      <c r="H119" s="9">
        <f t="shared" si="54"/>
        <v>-50.356247509997068</v>
      </c>
      <c r="I119" s="9">
        <f t="shared" si="54"/>
        <v>15.776626432638686</v>
      </c>
      <c r="J119" s="9">
        <f t="shared" si="54"/>
        <v>30.315955921338421</v>
      </c>
      <c r="K119" s="9">
        <f t="shared" si="54"/>
        <v>14.513946223657177</v>
      </c>
      <c r="L119" s="9">
        <f t="shared" si="54"/>
        <v>-1.3515587249779866</v>
      </c>
      <c r="M119" s="9">
        <f t="shared" si="46"/>
        <v>435.10095258730848</v>
      </c>
    </row>
    <row r="120" spans="1:16" x14ac:dyDescent="0.2">
      <c r="A120" t="s">
        <v>13</v>
      </c>
      <c r="C120" s="9">
        <f t="shared" ref="C120:L120" si="55">+C85*C51</f>
        <v>125.76794434724926</v>
      </c>
      <c r="D120" s="9">
        <f t="shared" si="55"/>
        <v>0</v>
      </c>
      <c r="E120" s="9">
        <f t="shared" si="55"/>
        <v>168.25451707681657</v>
      </c>
      <c r="F120" s="9">
        <f t="shared" si="55"/>
        <v>96.086054593522775</v>
      </c>
      <c r="G120" s="9">
        <f t="shared" si="55"/>
        <v>25.866312736441031</v>
      </c>
      <c r="H120" s="9">
        <f t="shared" si="55"/>
        <v>-54.641525530795832</v>
      </c>
      <c r="I120" s="9">
        <f t="shared" si="55"/>
        <v>31.483255349994156</v>
      </c>
      <c r="J120" s="9">
        <f t="shared" si="55"/>
        <v>39.863337795575596</v>
      </c>
      <c r="K120" s="9">
        <f t="shared" si="55"/>
        <v>19.810990644220674</v>
      </c>
      <c r="L120" s="9">
        <f t="shared" si="55"/>
        <v>-1.9735700229384545</v>
      </c>
      <c r="M120" s="9">
        <f t="shared" si="46"/>
        <v>450.51731699008576</v>
      </c>
    </row>
    <row r="121" spans="1:16" x14ac:dyDescent="0.2">
      <c r="A121" t="s">
        <v>14</v>
      </c>
      <c r="C121" s="9">
        <f t="shared" ref="C121:L121" si="56">+C86*C52</f>
        <v>120.31874029822029</v>
      </c>
      <c r="D121" s="9">
        <f t="shared" si="56"/>
        <v>0</v>
      </c>
      <c r="E121" s="9">
        <f t="shared" si="56"/>
        <v>146.55295244762576</v>
      </c>
      <c r="F121" s="9">
        <f t="shared" si="56"/>
        <v>102.03302455985792</v>
      </c>
      <c r="G121" s="9">
        <f t="shared" si="56"/>
        <v>27.79133127110952</v>
      </c>
      <c r="H121" s="9">
        <f t="shared" si="56"/>
        <v>-48.547333025116778</v>
      </c>
      <c r="I121" s="9">
        <f t="shared" si="56"/>
        <v>33.810859519746749</v>
      </c>
      <c r="J121" s="9">
        <f t="shared" si="56"/>
        <v>41.403441034629196</v>
      </c>
      <c r="K121" s="9">
        <f t="shared" si="56"/>
        <v>20.531275780797593</v>
      </c>
      <c r="L121" s="9">
        <f t="shared" si="56"/>
        <v>-1.5053374636142534</v>
      </c>
      <c r="M121" s="9">
        <f t="shared" si="46"/>
        <v>442.38895442325617</v>
      </c>
    </row>
    <row r="122" spans="1:16" ht="15" x14ac:dyDescent="0.35">
      <c r="A122" t="s">
        <v>2</v>
      </c>
      <c r="C122" s="10">
        <f t="shared" ref="C122:L122" si="57">+C87*C53</f>
        <v>132.3795808264037</v>
      </c>
      <c r="D122" s="10">
        <f t="shared" si="57"/>
        <v>0</v>
      </c>
      <c r="E122" s="10">
        <f t="shared" si="57"/>
        <v>161.95544081280553</v>
      </c>
      <c r="F122" s="10">
        <f t="shared" si="57"/>
        <v>130.13252156701813</v>
      </c>
      <c r="G122" s="10">
        <f t="shared" si="57"/>
        <v>27.217861844173296</v>
      </c>
      <c r="H122" s="10">
        <f t="shared" si="57"/>
        <v>-48.916736168442448</v>
      </c>
      <c r="I122" s="10">
        <f t="shared" si="57"/>
        <v>35.156050146567623</v>
      </c>
      <c r="J122" s="10">
        <f t="shared" si="57"/>
        <v>44.059959849707653</v>
      </c>
      <c r="K122" s="10">
        <f t="shared" si="57"/>
        <v>19.873465401514427</v>
      </c>
      <c r="L122" s="10">
        <f t="shared" si="57"/>
        <v>-0.15441019467075626</v>
      </c>
      <c r="M122" s="10">
        <f t="shared" si="46"/>
        <v>501.70373408507709</v>
      </c>
    </row>
    <row r="123" spans="1:16" ht="15" x14ac:dyDescent="0.35">
      <c r="C123" s="11">
        <f>SUM(C111:C122)</f>
        <v>2158.2415857112642</v>
      </c>
      <c r="D123" s="11">
        <f t="shared" ref="D123" si="58">SUM(D111:D122)</f>
        <v>0</v>
      </c>
      <c r="E123" s="11">
        <f t="shared" ref="E123" si="59">SUM(E111:E122)</f>
        <v>3176.3208272983857</v>
      </c>
      <c r="F123" s="11">
        <f t="shared" ref="F123" si="60">SUM(F111:F122)</f>
        <v>1217.390334376807</v>
      </c>
      <c r="G123" s="11">
        <f t="shared" ref="G123" si="61">SUM(G111:G122)</f>
        <v>263.69982773401017</v>
      </c>
      <c r="H123" s="11">
        <f t="shared" ref="H123" si="62">SUM(H111:H122)</f>
        <v>-643.20279442602339</v>
      </c>
      <c r="I123" s="11">
        <f t="shared" ref="I123" si="63">SUM(I111:I122)</f>
        <v>364.16141659071485</v>
      </c>
      <c r="J123" s="11">
        <f t="shared" ref="J123" si="64">SUM(J111:J122)</f>
        <v>387.65759407649102</v>
      </c>
      <c r="K123" s="11">
        <f t="shared" ref="K123" si="65">SUM(K111:K122)</f>
        <v>189.9484658054113</v>
      </c>
      <c r="L123" s="11">
        <f t="shared" ref="L123" si="66">SUM(L111:L122)</f>
        <v>-5.9448259565230694</v>
      </c>
      <c r="M123" s="11">
        <f>SUM(M111:M122)</f>
        <v>7108.2724312105383</v>
      </c>
      <c r="O123" s="18">
        <f>SUM(M118:M122)</f>
        <v>2521.7995676476744</v>
      </c>
      <c r="P123" s="63" t="s">
        <v>145</v>
      </c>
    </row>
    <row r="124" spans="1:16" ht="15" x14ac:dyDescent="0.35"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6" spans="1:16" x14ac:dyDescent="0.2">
      <c r="A126" s="3" t="s">
        <v>60</v>
      </c>
    </row>
    <row r="127" spans="1:16" x14ac:dyDescent="0.2">
      <c r="A127" t="s">
        <v>37</v>
      </c>
      <c r="C127" s="9">
        <f t="shared" ref="C127:L127" si="67">+C92*C42</f>
        <v>19005.908132921395</v>
      </c>
      <c r="D127" s="9">
        <f t="shared" si="67"/>
        <v>0</v>
      </c>
      <c r="E127" s="9">
        <f t="shared" si="67"/>
        <v>31347.619126961945</v>
      </c>
      <c r="F127" s="9">
        <f t="shared" si="67"/>
        <v>6981.4142562262705</v>
      </c>
      <c r="G127" s="9">
        <f t="shared" si="67"/>
        <v>1006.6257194911084</v>
      </c>
      <c r="H127" s="9">
        <f t="shared" si="67"/>
        <v>-3608.6014230859955</v>
      </c>
      <c r="I127" s="9">
        <f t="shared" si="67"/>
        <v>3243.0602217190003</v>
      </c>
      <c r="J127" s="9">
        <f t="shared" si="67"/>
        <v>2299.7471078060744</v>
      </c>
      <c r="K127" s="9">
        <f t="shared" si="67"/>
        <v>1045.1968024354273</v>
      </c>
      <c r="L127" s="9">
        <f t="shared" si="67"/>
        <v>0</v>
      </c>
      <c r="M127" s="9">
        <f t="shared" ref="M127:M138" si="68">SUM(C127:L127)</f>
        <v>61320.969944475233</v>
      </c>
    </row>
    <row r="128" spans="1:16" x14ac:dyDescent="0.2">
      <c r="A128" t="s">
        <v>7</v>
      </c>
      <c r="C128" s="9">
        <f t="shared" ref="C128:L128" si="69">+C93*C43</f>
        <v>18040.560680721883</v>
      </c>
      <c r="D128" s="9">
        <f t="shared" si="69"/>
        <v>0</v>
      </c>
      <c r="E128" s="9">
        <f t="shared" si="69"/>
        <v>27210.927890138337</v>
      </c>
      <c r="F128" s="9">
        <f t="shared" si="69"/>
        <v>6283.9461985802809</v>
      </c>
      <c r="G128" s="9">
        <f t="shared" si="69"/>
        <v>824.61042034651075</v>
      </c>
      <c r="H128" s="9">
        <f t="shared" si="69"/>
        <v>-3883.8432882963202</v>
      </c>
      <c r="I128" s="9">
        <f t="shared" si="69"/>
        <v>2528.4628687295335</v>
      </c>
      <c r="J128" s="9">
        <f t="shared" si="69"/>
        <v>1952.3134203082102</v>
      </c>
      <c r="K128" s="9">
        <f t="shared" si="69"/>
        <v>1022.2025171056455</v>
      </c>
      <c r="L128" s="9">
        <f t="shared" si="69"/>
        <v>0</v>
      </c>
      <c r="M128" s="9">
        <f t="shared" si="68"/>
        <v>53979.180707634077</v>
      </c>
    </row>
    <row r="129" spans="1:25" x14ac:dyDescent="0.2">
      <c r="A129" t="s">
        <v>8</v>
      </c>
      <c r="C129" s="9">
        <f t="shared" ref="C129:L129" si="70">+C94*C44</f>
        <v>17395.697883712735</v>
      </c>
      <c r="D129" s="9">
        <f t="shared" si="70"/>
        <v>0</v>
      </c>
      <c r="E129" s="9">
        <f t="shared" si="70"/>
        <v>27591.185595417206</v>
      </c>
      <c r="F129" s="9">
        <f t="shared" si="70"/>
        <v>7301.4083861106301</v>
      </c>
      <c r="G129" s="9">
        <f t="shared" si="70"/>
        <v>1037.7272522653777</v>
      </c>
      <c r="H129" s="9">
        <f t="shared" si="70"/>
        <v>-5017.1739212563125</v>
      </c>
      <c r="I129" s="9">
        <f t="shared" si="70"/>
        <v>3339.1828812912745</v>
      </c>
      <c r="J129" s="9">
        <f t="shared" si="70"/>
        <v>1739.7910031066669</v>
      </c>
      <c r="K129" s="9">
        <f t="shared" si="70"/>
        <v>1041.7056851222044</v>
      </c>
      <c r="L129" s="9">
        <f t="shared" si="70"/>
        <v>0</v>
      </c>
      <c r="M129" s="9">
        <f t="shared" si="68"/>
        <v>54429.524765769791</v>
      </c>
    </row>
    <row r="130" spans="1:25" x14ac:dyDescent="0.2">
      <c r="A130" t="s">
        <v>9</v>
      </c>
      <c r="C130" s="9">
        <f t="shared" ref="C130:L130" si="71">+C95*C45</f>
        <v>11599.863908881674</v>
      </c>
      <c r="D130" s="9">
        <f t="shared" si="71"/>
        <v>0</v>
      </c>
      <c r="E130" s="9">
        <f t="shared" si="71"/>
        <v>21298.513940362176</v>
      </c>
      <c r="F130" s="9">
        <f t="shared" si="71"/>
        <v>7217.1909306915304</v>
      </c>
      <c r="G130" s="9">
        <f t="shared" si="71"/>
        <v>1434.0200063453735</v>
      </c>
      <c r="H130" s="9">
        <f t="shared" si="71"/>
        <v>-4900.0860765359885</v>
      </c>
      <c r="I130" s="9">
        <f t="shared" si="71"/>
        <v>1765.8910246976889</v>
      </c>
      <c r="J130" s="9">
        <f t="shared" si="71"/>
        <v>1732.011445005093</v>
      </c>
      <c r="K130" s="9">
        <f t="shared" si="71"/>
        <v>974.82983253467057</v>
      </c>
      <c r="L130" s="9">
        <f t="shared" si="71"/>
        <v>0</v>
      </c>
      <c r="M130" s="9">
        <f t="shared" si="68"/>
        <v>41122.235011982215</v>
      </c>
    </row>
    <row r="131" spans="1:25" x14ac:dyDescent="0.2">
      <c r="A131" t="s">
        <v>10</v>
      </c>
      <c r="C131" s="9">
        <f t="shared" ref="C131:L131" si="72">+C96*C46</f>
        <v>9429.7508389613013</v>
      </c>
      <c r="D131" s="9">
        <f t="shared" si="72"/>
        <v>0</v>
      </c>
      <c r="E131" s="9">
        <f t="shared" si="72"/>
        <v>12146.267690476276</v>
      </c>
      <c r="F131" s="9">
        <f t="shared" si="72"/>
        <v>5941.427147908792</v>
      </c>
      <c r="G131" s="9">
        <f t="shared" si="72"/>
        <v>1433.6487592410369</v>
      </c>
      <c r="H131" s="9">
        <f t="shared" si="72"/>
        <v>-3595.9043755516677</v>
      </c>
      <c r="I131" s="9">
        <f t="shared" si="72"/>
        <v>1309.1423778384751</v>
      </c>
      <c r="J131" s="9">
        <f t="shared" si="72"/>
        <v>1999.3949859698594</v>
      </c>
      <c r="K131" s="9">
        <f t="shared" si="72"/>
        <v>867.08320705721474</v>
      </c>
      <c r="L131" s="9">
        <f t="shared" si="72"/>
        <v>0</v>
      </c>
      <c r="M131" s="9">
        <f t="shared" si="68"/>
        <v>29530.810631901284</v>
      </c>
    </row>
    <row r="132" spans="1:25" x14ac:dyDescent="0.2">
      <c r="A132" t="s">
        <v>11</v>
      </c>
      <c r="C132" s="9">
        <f t="shared" ref="C132:L132" si="73">+C97*C47</f>
        <v>14822.982961722106</v>
      </c>
      <c r="D132" s="9">
        <f t="shared" si="73"/>
        <v>0</v>
      </c>
      <c r="E132" s="9">
        <f t="shared" si="73"/>
        <v>20571.012343490336</v>
      </c>
      <c r="F132" s="9">
        <f t="shared" si="73"/>
        <v>8643.2022000360212</v>
      </c>
      <c r="G132" s="9">
        <f t="shared" si="73"/>
        <v>1656.902709863785</v>
      </c>
      <c r="H132" s="9">
        <f t="shared" si="73"/>
        <v>-3765.0127756909378</v>
      </c>
      <c r="I132" s="9">
        <f t="shared" si="73"/>
        <v>1574.8002479775332</v>
      </c>
      <c r="J132" s="9">
        <f t="shared" si="73"/>
        <v>2546.4856589727378</v>
      </c>
      <c r="K132" s="9">
        <f t="shared" si="73"/>
        <v>1274.3346706974926</v>
      </c>
      <c r="L132" s="9">
        <f t="shared" si="73"/>
        <v>0</v>
      </c>
      <c r="M132" s="9">
        <f t="shared" si="68"/>
        <v>47324.708017069068</v>
      </c>
    </row>
    <row r="133" spans="1:25" x14ac:dyDescent="0.2">
      <c r="A133" t="s">
        <v>12</v>
      </c>
      <c r="C133" s="9">
        <f t="shared" ref="C133:L133" si="74">+C98*C48</f>
        <v>15971.994711482646</v>
      </c>
      <c r="D133" s="9">
        <f t="shared" si="74"/>
        <v>0</v>
      </c>
      <c r="E133" s="9">
        <f t="shared" si="74"/>
        <v>20949.154290442711</v>
      </c>
      <c r="F133" s="9">
        <f t="shared" si="74"/>
        <v>7887.92472658113</v>
      </c>
      <c r="G133" s="9">
        <f t="shared" si="74"/>
        <v>1806.465659076782</v>
      </c>
      <c r="H133" s="9">
        <f t="shared" si="74"/>
        <v>-3585.5340053106502</v>
      </c>
      <c r="I133" s="9">
        <f t="shared" si="74"/>
        <v>1165.6886843118291</v>
      </c>
      <c r="J133" s="9">
        <f t="shared" si="74"/>
        <v>2211.3665728146452</v>
      </c>
      <c r="K133" s="9">
        <f t="shared" si="74"/>
        <v>1037.7680524925188</v>
      </c>
      <c r="L133" s="9">
        <f t="shared" si="74"/>
        <v>0</v>
      </c>
      <c r="M133" s="9">
        <f t="shared" si="68"/>
        <v>47444.828691891606</v>
      </c>
    </row>
    <row r="134" spans="1:25" x14ac:dyDescent="0.2">
      <c r="A134" t="s">
        <v>38</v>
      </c>
      <c r="C134" s="9">
        <f t="shared" ref="C134:L134" si="75">+C99*C49</f>
        <v>13801.144398416762</v>
      </c>
      <c r="D134" s="9">
        <f t="shared" si="75"/>
        <v>0</v>
      </c>
      <c r="E134" s="9">
        <f t="shared" si="75"/>
        <v>23071.438405601661</v>
      </c>
      <c r="F134" s="9">
        <f t="shared" si="75"/>
        <v>8482.5167066664471</v>
      </c>
      <c r="G134" s="9">
        <f t="shared" si="75"/>
        <v>2318.4492801834595</v>
      </c>
      <c r="H134" s="9">
        <f t="shared" si="75"/>
        <v>-3850.5811222042512</v>
      </c>
      <c r="I134" s="9">
        <f t="shared" si="75"/>
        <v>3191.3648565719782</v>
      </c>
      <c r="J134" s="9">
        <f t="shared" si="75"/>
        <v>2473.1637565592641</v>
      </c>
      <c r="K134" s="9">
        <f t="shared" si="75"/>
        <v>1156.3854637048946</v>
      </c>
      <c r="L134" s="9">
        <f t="shared" si="75"/>
        <v>-70.147424547576065</v>
      </c>
      <c r="M134" s="9">
        <f t="shared" si="68"/>
        <v>50573.73432095263</v>
      </c>
    </row>
    <row r="135" spans="1:25" x14ac:dyDescent="0.2">
      <c r="A135" t="s">
        <v>15</v>
      </c>
      <c r="C135" s="9">
        <f t="shared" ref="C135:L135" si="76">+C100*C50</f>
        <v>9987.5300695616334</v>
      </c>
      <c r="D135" s="9">
        <f t="shared" si="76"/>
        <v>0</v>
      </c>
      <c r="E135" s="9">
        <f t="shared" si="76"/>
        <v>13081.575908380628</v>
      </c>
      <c r="F135" s="9">
        <f t="shared" si="76"/>
        <v>6233.959132535696</v>
      </c>
      <c r="G135" s="9">
        <f t="shared" si="76"/>
        <v>1841.2682329551162</v>
      </c>
      <c r="H135" s="9">
        <f t="shared" si="76"/>
        <v>-3679.7361606379341</v>
      </c>
      <c r="I135" s="9">
        <f t="shared" si="76"/>
        <v>1152.8623685776345</v>
      </c>
      <c r="J135" s="9">
        <f t="shared" si="76"/>
        <v>2215.3104086222484</v>
      </c>
      <c r="K135" s="9">
        <f t="shared" si="76"/>
        <v>1060.5931814546523</v>
      </c>
      <c r="L135" s="9">
        <f t="shared" si="76"/>
        <v>-98.763902384502501</v>
      </c>
      <c r="M135" s="9">
        <f t="shared" si="68"/>
        <v>31794.59923906517</v>
      </c>
    </row>
    <row r="136" spans="1:25" x14ac:dyDescent="0.2">
      <c r="A136" t="s">
        <v>13</v>
      </c>
      <c r="C136" s="9">
        <f t="shared" ref="C136:L136" si="77">+C101*C51</f>
        <v>9190.3760813749177</v>
      </c>
      <c r="D136" s="9">
        <f t="shared" si="77"/>
        <v>0</v>
      </c>
      <c r="E136" s="9">
        <f t="shared" si="77"/>
        <v>12295.043044168857</v>
      </c>
      <c r="F136" s="9">
        <f t="shared" si="77"/>
        <v>7021.3994708526088</v>
      </c>
      <c r="G136" s="9">
        <f t="shared" si="77"/>
        <v>1890.1568529258573</v>
      </c>
      <c r="H136" s="9">
        <f t="shared" si="77"/>
        <v>-3992.8788841577848</v>
      </c>
      <c r="I136" s="9">
        <f t="shared" si="77"/>
        <v>2300.609733538462</v>
      </c>
      <c r="J136" s="9">
        <f t="shared" si="77"/>
        <v>2912.9764989137275</v>
      </c>
      <c r="K136" s="9">
        <f t="shared" si="77"/>
        <v>1447.6697978165698</v>
      </c>
      <c r="L136" s="9">
        <f t="shared" si="77"/>
        <v>-144.2168020465767</v>
      </c>
      <c r="M136" s="9">
        <f t="shared" si="68"/>
        <v>32921.135793386638</v>
      </c>
    </row>
    <row r="137" spans="1:25" x14ac:dyDescent="0.2">
      <c r="A137" t="s">
        <v>14</v>
      </c>
      <c r="C137" s="9">
        <f t="shared" ref="C137:L137" si="78">+C102*C52</f>
        <v>8792.1805410514298</v>
      </c>
      <c r="D137" s="9">
        <f t="shared" si="78"/>
        <v>0</v>
      </c>
      <c r="E137" s="9">
        <f t="shared" si="78"/>
        <v>10709.221302932059</v>
      </c>
      <c r="F137" s="9">
        <f t="shared" si="78"/>
        <v>7455.968794688878</v>
      </c>
      <c r="G137" s="9">
        <f t="shared" si="78"/>
        <v>2030.8257999221885</v>
      </c>
      <c r="H137" s="9">
        <f t="shared" si="78"/>
        <v>-3547.5514095761259</v>
      </c>
      <c r="I137" s="9">
        <f t="shared" si="78"/>
        <v>2470.6972530540866</v>
      </c>
      <c r="J137" s="9">
        <f t="shared" si="78"/>
        <v>3025.5181170860519</v>
      </c>
      <c r="K137" s="9">
        <f t="shared" si="78"/>
        <v>1500.3039672412463</v>
      </c>
      <c r="L137" s="9">
        <f t="shared" si="78"/>
        <v>-110.00114132262674</v>
      </c>
      <c r="M137" s="9">
        <f t="shared" si="68"/>
        <v>32327.163225077191</v>
      </c>
    </row>
    <row r="138" spans="1:25" ht="15" x14ac:dyDescent="0.35">
      <c r="A138" t="s">
        <v>2</v>
      </c>
      <c r="C138" s="10">
        <f t="shared" ref="C138:L138" si="79">+C103*C53</f>
        <v>9673.5152952035005</v>
      </c>
      <c r="D138" s="10">
        <f t="shared" si="79"/>
        <v>0</v>
      </c>
      <c r="E138" s="10">
        <f t="shared" si="79"/>
        <v>11834.74387865427</v>
      </c>
      <c r="F138" s="10">
        <f t="shared" si="79"/>
        <v>9509.3135204343234</v>
      </c>
      <c r="G138" s="10">
        <f t="shared" si="79"/>
        <v>1988.920052539034</v>
      </c>
      <c r="H138" s="10">
        <f t="shared" si="79"/>
        <v>-3574.5452022347022</v>
      </c>
      <c r="I138" s="10">
        <f t="shared" si="79"/>
        <v>2568.9958125621451</v>
      </c>
      <c r="J138" s="10">
        <f t="shared" si="79"/>
        <v>3219.6407697582667</v>
      </c>
      <c r="K138" s="10">
        <f t="shared" si="79"/>
        <v>1452.2350828588133</v>
      </c>
      <c r="L138" s="10">
        <f t="shared" si="79"/>
        <v>-11.283382003163039</v>
      </c>
      <c r="M138" s="10">
        <f t="shared" si="68"/>
        <v>36661.535827772488</v>
      </c>
    </row>
    <row r="139" spans="1:25" ht="15" x14ac:dyDescent="0.35">
      <c r="C139" s="11">
        <f>SUM(C127:C138)</f>
        <v>157711.50550401202</v>
      </c>
      <c r="D139" s="11">
        <f t="shared" ref="D139" si="80">SUM(D127:D138)</f>
        <v>0</v>
      </c>
      <c r="E139" s="11">
        <f t="shared" ref="E139" si="81">SUM(E127:E138)</f>
        <v>232106.70341702644</v>
      </c>
      <c r="F139" s="11">
        <f t="shared" ref="F139" si="82">SUM(F127:F138)</f>
        <v>88959.671471312613</v>
      </c>
      <c r="G139" s="11">
        <f t="shared" ref="G139" si="83">SUM(G127:G138)</f>
        <v>19269.620745155629</v>
      </c>
      <c r="H139" s="11">
        <f t="shared" ref="H139" si="84">SUM(H127:H138)</f>
        <v>-47001.448644538665</v>
      </c>
      <c r="I139" s="11">
        <f t="shared" ref="I139" si="85">SUM(I127:I138)</f>
        <v>26610.758330869638</v>
      </c>
      <c r="J139" s="11">
        <f t="shared" ref="J139" si="86">SUM(J127:J138)</f>
        <v>28327.719744922844</v>
      </c>
      <c r="K139" s="11">
        <f t="shared" ref="K139" si="87">SUM(K127:K138)</f>
        <v>13880.308260521353</v>
      </c>
      <c r="L139" s="11">
        <f t="shared" ref="L139" si="88">SUM(L127:L138)</f>
        <v>-434.41265230444498</v>
      </c>
      <c r="M139" s="11">
        <f>SUM(M127:M138)</f>
        <v>519430.42617697746</v>
      </c>
      <c r="N139" s="11"/>
      <c r="O139" s="18">
        <f>SUM(M134:M138)</f>
        <v>184278.16840625412</v>
      </c>
      <c r="P139" s="63" t="s">
        <v>145</v>
      </c>
    </row>
    <row r="140" spans="1:25" ht="15" x14ac:dyDescent="0.35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25" ht="15" x14ac:dyDescent="0.35">
      <c r="A141" s="131" t="s">
        <v>105</v>
      </c>
      <c r="B141" s="132"/>
      <c r="C141" s="81">
        <f>+C139/C104</f>
        <v>78.629760529539112</v>
      </c>
      <c r="D141" s="81" t="e">
        <f t="shared" ref="D141:M141" si="89">+D139/D104</f>
        <v>#DIV/0!</v>
      </c>
      <c r="E141" s="81">
        <f t="shared" si="89"/>
        <v>123.63954570320332</v>
      </c>
      <c r="F141" s="81">
        <f t="shared" si="89"/>
        <v>1352.6614012349926</v>
      </c>
      <c r="G141" s="81">
        <f t="shared" si="89"/>
        <v>152.11299739433179</v>
      </c>
      <c r="H141" s="81">
        <f t="shared" si="89"/>
        <v>-53.339999999999996</v>
      </c>
      <c r="I141" s="81">
        <f t="shared" si="89"/>
        <v>148.01519848771852</v>
      </c>
      <c r="J141" s="81">
        <f t="shared" si="89"/>
        <v>590.2776086318205</v>
      </c>
      <c r="K141" s="81">
        <f t="shared" si="89"/>
        <v>346.15155151973585</v>
      </c>
      <c r="L141" s="81">
        <f t="shared" si="89"/>
        <v>-94.970504320603567</v>
      </c>
      <c r="M141" s="81">
        <f t="shared" si="89"/>
        <v>99.334684793600616</v>
      </c>
    </row>
    <row r="142" spans="1:25" x14ac:dyDescent="0.2">
      <c r="A142" s="132"/>
      <c r="B142" s="132"/>
    </row>
    <row r="143" spans="1:25" s="1" customFormat="1" ht="15" x14ac:dyDescent="0.35">
      <c r="A143" s="131" t="s">
        <v>106</v>
      </c>
      <c r="B143" s="131"/>
      <c r="C143" s="133">
        <f>+'[1]Tons &amp; Revenue'!C141</f>
        <v>103.2692617038372</v>
      </c>
      <c r="D143" s="133">
        <f>+'[1]Tons &amp; Revenue'!D141</f>
        <v>53.207795055128827</v>
      </c>
      <c r="E143" s="133">
        <f>+'[1]Tons &amp; Revenue'!E141</f>
        <v>137.63136791044892</v>
      </c>
      <c r="F143" s="133">
        <f>+'[1]Tons &amp; Revenue'!F141</f>
        <v>1206.1803886084779</v>
      </c>
      <c r="G143" s="133">
        <f>+'[1]Tons &amp; Revenue'!G141</f>
        <v>108.19721580275454</v>
      </c>
      <c r="H143" s="133">
        <f>+'[1]Tons &amp; Revenue'!H141</f>
        <v>-53.339999999999996</v>
      </c>
      <c r="I143" s="133">
        <f>+'[1]Tons &amp; Revenue'!I141</f>
        <v>157.59766151380219</v>
      </c>
      <c r="J143" s="133">
        <f>+'[1]Tons &amp; Revenue'!J141</f>
        <v>574.66797754719494</v>
      </c>
      <c r="K143" s="133">
        <f>+'[1]Tons &amp; Revenue'!K141</f>
        <v>395.08028469955417</v>
      </c>
      <c r="L143" s="133">
        <f>+'[1]Tons &amp; Revenue'!L141</f>
        <v>-62.003141906945714</v>
      </c>
      <c r="M143" s="133">
        <f>+'[1]Tons &amp; Revenue'!M141</f>
        <v>109.06892608540637</v>
      </c>
      <c r="N143" s="130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</row>
    <row r="144" spans="1:25" x14ac:dyDescent="0.2">
      <c r="N144" s="122"/>
    </row>
    <row r="145" spans="1:13" ht="15" x14ac:dyDescent="0.35">
      <c r="A145" s="1" t="s">
        <v>107</v>
      </c>
      <c r="C145" s="134">
        <f>+C141-C143</f>
        <v>-24.63950117429809</v>
      </c>
      <c r="D145" s="134" t="e">
        <f t="shared" ref="D145:M145" si="90">+D141-D143</f>
        <v>#DIV/0!</v>
      </c>
      <c r="E145" s="134">
        <f t="shared" si="90"/>
        <v>-13.99182220724559</v>
      </c>
      <c r="F145" s="134">
        <f t="shared" si="90"/>
        <v>146.48101262651471</v>
      </c>
      <c r="G145" s="134">
        <f t="shared" si="90"/>
        <v>43.915781591577243</v>
      </c>
      <c r="H145" s="134">
        <f t="shared" si="90"/>
        <v>0</v>
      </c>
      <c r="I145" s="134">
        <f t="shared" si="90"/>
        <v>-9.5824630260836727</v>
      </c>
      <c r="J145" s="134">
        <f t="shared" si="90"/>
        <v>15.609631084625562</v>
      </c>
      <c r="K145" s="134">
        <f t="shared" si="90"/>
        <v>-48.928733179818323</v>
      </c>
      <c r="L145" s="134">
        <f t="shared" si="90"/>
        <v>-32.967362413657852</v>
      </c>
      <c r="M145" s="134">
        <f t="shared" si="90"/>
        <v>-9.734241291805759</v>
      </c>
    </row>
    <row r="146" spans="1:13" x14ac:dyDescent="0.2"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30"/>
    </row>
  </sheetData>
  <mergeCells count="3">
    <mergeCell ref="C23:L23"/>
    <mergeCell ref="C56:L56"/>
    <mergeCell ref="C107:L107"/>
  </mergeCells>
  <pageMargins left="0.45" right="0.45" top="0.5" bottom="0.5" header="0.3" footer="0"/>
  <pageSetup scale="79" fitToHeight="3" orientation="landscape" r:id="rId1"/>
  <headerFooter>
    <oddFooter>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0"/>
  <sheetViews>
    <sheetView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AC6" sqref="AC6"/>
    </sheetView>
  </sheetViews>
  <sheetFormatPr defaultRowHeight="12.75" x14ac:dyDescent="0.2"/>
  <cols>
    <col min="1" max="1" width="16.85546875" style="84" customWidth="1"/>
    <col min="2" max="2" width="9.140625" style="84" bestFit="1" customWidth="1"/>
    <col min="3" max="3" width="6.85546875" style="84" bestFit="1" customWidth="1"/>
    <col min="4" max="4" width="9.140625" style="84" bestFit="1" customWidth="1"/>
    <col min="5" max="5" width="7" style="84" bestFit="1" customWidth="1"/>
    <col min="6" max="6" width="9.140625" style="84" bestFit="1" customWidth="1"/>
    <col min="7" max="7" width="7" style="84" bestFit="1" customWidth="1"/>
    <col min="8" max="8" width="9.140625" style="84" bestFit="1" customWidth="1"/>
    <col min="9" max="9" width="7" style="84" bestFit="1" customWidth="1"/>
    <col min="10" max="10" width="9.140625" style="84" bestFit="1" customWidth="1"/>
    <col min="11" max="11" width="7" style="84" bestFit="1" customWidth="1"/>
    <col min="12" max="12" width="9.85546875" style="84" bestFit="1" customWidth="1"/>
    <col min="13" max="13" width="7" style="84" bestFit="1" customWidth="1"/>
    <col min="14" max="14" width="9.140625" style="84" bestFit="1" customWidth="1"/>
    <col min="15" max="15" width="7" style="84" bestFit="1" customWidth="1"/>
    <col min="16" max="16" width="9" style="84" bestFit="1" customWidth="1"/>
    <col min="17" max="17" width="6.7109375" style="84" bestFit="1" customWidth="1"/>
    <col min="18" max="18" width="9" style="84" bestFit="1" customWidth="1"/>
    <col min="19" max="19" width="6.7109375" style="84" bestFit="1" customWidth="1"/>
    <col min="20" max="20" width="9" style="84" bestFit="1" customWidth="1"/>
    <col min="21" max="21" width="6.7109375" style="84" bestFit="1" customWidth="1"/>
    <col min="22" max="22" width="9.5703125" style="84" bestFit="1" customWidth="1"/>
    <col min="23" max="23" width="6.7109375" style="84" bestFit="1" customWidth="1"/>
    <col min="24" max="24" width="9.5703125" style="84" bestFit="1" customWidth="1"/>
    <col min="25" max="25" width="6.7109375" style="84" bestFit="1" customWidth="1"/>
    <col min="26" max="26" width="10" bestFit="1" customWidth="1"/>
    <col min="27" max="27" width="6.7109375" bestFit="1" customWidth="1"/>
    <col min="29" max="29" width="10" style="84" bestFit="1" customWidth="1"/>
    <col min="30" max="172" width="9.140625" style="84"/>
    <col min="173" max="173" width="18.42578125" style="84" customWidth="1"/>
    <col min="174" max="183" width="9.140625" style="84"/>
    <col min="184" max="184" width="10.28515625" style="84" bestFit="1" customWidth="1"/>
    <col min="185" max="428" width="9.140625" style="84"/>
    <col min="429" max="429" width="18.42578125" style="84" customWidth="1"/>
    <col min="430" max="439" width="9.140625" style="84"/>
    <col min="440" max="440" width="10.28515625" style="84" bestFit="1" customWidth="1"/>
    <col min="441" max="684" width="9.140625" style="84"/>
    <col min="685" max="685" width="18.42578125" style="84" customWidth="1"/>
    <col min="686" max="695" width="9.140625" style="84"/>
    <col min="696" max="696" width="10.28515625" style="84" bestFit="1" customWidth="1"/>
    <col min="697" max="940" width="9.140625" style="84"/>
    <col min="941" max="941" width="18.42578125" style="84" customWidth="1"/>
    <col min="942" max="951" width="9.140625" style="84"/>
    <col min="952" max="952" width="10.28515625" style="84" bestFit="1" customWidth="1"/>
    <col min="953" max="1196" width="9.140625" style="84"/>
    <col min="1197" max="1197" width="18.42578125" style="84" customWidth="1"/>
    <col min="1198" max="1207" width="9.140625" style="84"/>
    <col min="1208" max="1208" width="10.28515625" style="84" bestFit="1" customWidth="1"/>
    <col min="1209" max="1452" width="9.140625" style="84"/>
    <col min="1453" max="1453" width="18.42578125" style="84" customWidth="1"/>
    <col min="1454" max="1463" width="9.140625" style="84"/>
    <col min="1464" max="1464" width="10.28515625" style="84" bestFit="1" customWidth="1"/>
    <col min="1465" max="1708" width="9.140625" style="84"/>
    <col min="1709" max="1709" width="18.42578125" style="84" customWidth="1"/>
    <col min="1710" max="1719" width="9.140625" style="84"/>
    <col min="1720" max="1720" width="10.28515625" style="84" bestFit="1" customWidth="1"/>
    <col min="1721" max="1964" width="9.140625" style="84"/>
    <col min="1965" max="1965" width="18.42578125" style="84" customWidth="1"/>
    <col min="1966" max="1975" width="9.140625" style="84"/>
    <col min="1976" max="1976" width="10.28515625" style="84" bestFit="1" customWidth="1"/>
    <col min="1977" max="2220" width="9.140625" style="84"/>
    <col min="2221" max="2221" width="18.42578125" style="84" customWidth="1"/>
    <col min="2222" max="2231" width="9.140625" style="84"/>
    <col min="2232" max="2232" width="10.28515625" style="84" bestFit="1" customWidth="1"/>
    <col min="2233" max="2476" width="9.140625" style="84"/>
    <col min="2477" max="2477" width="18.42578125" style="84" customWidth="1"/>
    <col min="2478" max="2487" width="9.140625" style="84"/>
    <col min="2488" max="2488" width="10.28515625" style="84" bestFit="1" customWidth="1"/>
    <col min="2489" max="2732" width="9.140625" style="84"/>
    <col min="2733" max="2733" width="18.42578125" style="84" customWidth="1"/>
    <col min="2734" max="2743" width="9.140625" style="84"/>
    <col min="2744" max="2744" width="10.28515625" style="84" bestFit="1" customWidth="1"/>
    <col min="2745" max="2988" width="9.140625" style="84"/>
    <col min="2989" max="2989" width="18.42578125" style="84" customWidth="1"/>
    <col min="2990" max="2999" width="9.140625" style="84"/>
    <col min="3000" max="3000" width="10.28515625" style="84" bestFit="1" customWidth="1"/>
    <col min="3001" max="3244" width="9.140625" style="84"/>
    <col min="3245" max="3245" width="18.42578125" style="84" customWidth="1"/>
    <col min="3246" max="3255" width="9.140625" style="84"/>
    <col min="3256" max="3256" width="10.28515625" style="84" bestFit="1" customWidth="1"/>
    <col min="3257" max="3500" width="9.140625" style="84"/>
    <col min="3501" max="3501" width="18.42578125" style="84" customWidth="1"/>
    <col min="3502" max="3511" width="9.140625" style="84"/>
    <col min="3512" max="3512" width="10.28515625" style="84" bestFit="1" customWidth="1"/>
    <col min="3513" max="3756" width="9.140625" style="84"/>
    <col min="3757" max="3757" width="18.42578125" style="84" customWidth="1"/>
    <col min="3758" max="3767" width="9.140625" style="84"/>
    <col min="3768" max="3768" width="10.28515625" style="84" bestFit="1" customWidth="1"/>
    <col min="3769" max="4012" width="9.140625" style="84"/>
    <col min="4013" max="4013" width="18.42578125" style="84" customWidth="1"/>
    <col min="4014" max="4023" width="9.140625" style="84"/>
    <col min="4024" max="4024" width="10.28515625" style="84" bestFit="1" customWidth="1"/>
    <col min="4025" max="4268" width="9.140625" style="84"/>
    <col min="4269" max="4269" width="18.42578125" style="84" customWidth="1"/>
    <col min="4270" max="4279" width="9.140625" style="84"/>
    <col min="4280" max="4280" width="10.28515625" style="84" bestFit="1" customWidth="1"/>
    <col min="4281" max="4524" width="9.140625" style="84"/>
    <col min="4525" max="4525" width="18.42578125" style="84" customWidth="1"/>
    <col min="4526" max="4535" width="9.140625" style="84"/>
    <col min="4536" max="4536" width="10.28515625" style="84" bestFit="1" customWidth="1"/>
    <col min="4537" max="4780" width="9.140625" style="84"/>
    <col min="4781" max="4781" width="18.42578125" style="84" customWidth="1"/>
    <col min="4782" max="4791" width="9.140625" style="84"/>
    <col min="4792" max="4792" width="10.28515625" style="84" bestFit="1" customWidth="1"/>
    <col min="4793" max="5036" width="9.140625" style="84"/>
    <col min="5037" max="5037" width="18.42578125" style="84" customWidth="1"/>
    <col min="5038" max="5047" width="9.140625" style="84"/>
    <col min="5048" max="5048" width="10.28515625" style="84" bestFit="1" customWidth="1"/>
    <col min="5049" max="5292" width="9.140625" style="84"/>
    <col min="5293" max="5293" width="18.42578125" style="84" customWidth="1"/>
    <col min="5294" max="5303" width="9.140625" style="84"/>
    <col min="5304" max="5304" width="10.28515625" style="84" bestFit="1" customWidth="1"/>
    <col min="5305" max="5548" width="9.140625" style="84"/>
    <col min="5549" max="5549" width="18.42578125" style="84" customWidth="1"/>
    <col min="5550" max="5559" width="9.140625" style="84"/>
    <col min="5560" max="5560" width="10.28515625" style="84" bestFit="1" customWidth="1"/>
    <col min="5561" max="5804" width="9.140625" style="84"/>
    <col min="5805" max="5805" width="18.42578125" style="84" customWidth="1"/>
    <col min="5806" max="5815" width="9.140625" style="84"/>
    <col min="5816" max="5816" width="10.28515625" style="84" bestFit="1" customWidth="1"/>
    <col min="5817" max="6060" width="9.140625" style="84"/>
    <col min="6061" max="6061" width="18.42578125" style="84" customWidth="1"/>
    <col min="6062" max="6071" width="9.140625" style="84"/>
    <col min="6072" max="6072" width="10.28515625" style="84" bestFit="1" customWidth="1"/>
    <col min="6073" max="6316" width="9.140625" style="84"/>
    <col min="6317" max="6317" width="18.42578125" style="84" customWidth="1"/>
    <col min="6318" max="6327" width="9.140625" style="84"/>
    <col min="6328" max="6328" width="10.28515625" style="84" bestFit="1" customWidth="1"/>
    <col min="6329" max="6572" width="9.140625" style="84"/>
    <col min="6573" max="6573" width="18.42578125" style="84" customWidth="1"/>
    <col min="6574" max="6583" width="9.140625" style="84"/>
    <col min="6584" max="6584" width="10.28515625" style="84" bestFit="1" customWidth="1"/>
    <col min="6585" max="6828" width="9.140625" style="84"/>
    <col min="6829" max="6829" width="18.42578125" style="84" customWidth="1"/>
    <col min="6830" max="6839" width="9.140625" style="84"/>
    <col min="6840" max="6840" width="10.28515625" style="84" bestFit="1" customWidth="1"/>
    <col min="6841" max="7084" width="9.140625" style="84"/>
    <col min="7085" max="7085" width="18.42578125" style="84" customWidth="1"/>
    <col min="7086" max="7095" width="9.140625" style="84"/>
    <col min="7096" max="7096" width="10.28515625" style="84" bestFit="1" customWidth="1"/>
    <col min="7097" max="7340" width="9.140625" style="84"/>
    <col min="7341" max="7341" width="18.42578125" style="84" customWidth="1"/>
    <col min="7342" max="7351" width="9.140625" style="84"/>
    <col min="7352" max="7352" width="10.28515625" style="84" bestFit="1" customWidth="1"/>
    <col min="7353" max="7596" width="9.140625" style="84"/>
    <col min="7597" max="7597" width="18.42578125" style="84" customWidth="1"/>
    <col min="7598" max="7607" width="9.140625" style="84"/>
    <col min="7608" max="7608" width="10.28515625" style="84" bestFit="1" customWidth="1"/>
    <col min="7609" max="7852" width="9.140625" style="84"/>
    <col min="7853" max="7853" width="18.42578125" style="84" customWidth="1"/>
    <col min="7854" max="7863" width="9.140625" style="84"/>
    <col min="7864" max="7864" width="10.28515625" style="84" bestFit="1" customWidth="1"/>
    <col min="7865" max="8108" width="9.140625" style="84"/>
    <col min="8109" max="8109" width="18.42578125" style="84" customWidth="1"/>
    <col min="8110" max="8119" width="9.140625" style="84"/>
    <col min="8120" max="8120" width="10.28515625" style="84" bestFit="1" customWidth="1"/>
    <col min="8121" max="8364" width="9.140625" style="84"/>
    <col min="8365" max="8365" width="18.42578125" style="84" customWidth="1"/>
    <col min="8366" max="8375" width="9.140625" style="84"/>
    <col min="8376" max="8376" width="10.28515625" style="84" bestFit="1" customWidth="1"/>
    <col min="8377" max="8620" width="9.140625" style="84"/>
    <col min="8621" max="8621" width="18.42578125" style="84" customWidth="1"/>
    <col min="8622" max="8631" width="9.140625" style="84"/>
    <col min="8632" max="8632" width="10.28515625" style="84" bestFit="1" customWidth="1"/>
    <col min="8633" max="8876" width="9.140625" style="84"/>
    <col min="8877" max="8877" width="18.42578125" style="84" customWidth="1"/>
    <col min="8878" max="8887" width="9.140625" style="84"/>
    <col min="8888" max="8888" width="10.28515625" style="84" bestFit="1" customWidth="1"/>
    <col min="8889" max="9132" width="9.140625" style="84"/>
    <col min="9133" max="9133" width="18.42578125" style="84" customWidth="1"/>
    <col min="9134" max="9143" width="9.140625" style="84"/>
    <col min="9144" max="9144" width="10.28515625" style="84" bestFit="1" customWidth="1"/>
    <col min="9145" max="9388" width="9.140625" style="84"/>
    <col min="9389" max="9389" width="18.42578125" style="84" customWidth="1"/>
    <col min="9390" max="9399" width="9.140625" style="84"/>
    <col min="9400" max="9400" width="10.28515625" style="84" bestFit="1" customWidth="1"/>
    <col min="9401" max="9644" width="9.140625" style="84"/>
    <col min="9645" max="9645" width="18.42578125" style="84" customWidth="1"/>
    <col min="9646" max="9655" width="9.140625" style="84"/>
    <col min="9656" max="9656" width="10.28515625" style="84" bestFit="1" customWidth="1"/>
    <col min="9657" max="9900" width="9.140625" style="84"/>
    <col min="9901" max="9901" width="18.42578125" style="84" customWidth="1"/>
    <col min="9902" max="9911" width="9.140625" style="84"/>
    <col min="9912" max="9912" width="10.28515625" style="84" bestFit="1" customWidth="1"/>
    <col min="9913" max="10156" width="9.140625" style="84"/>
    <col min="10157" max="10157" width="18.42578125" style="84" customWidth="1"/>
    <col min="10158" max="10167" width="9.140625" style="84"/>
    <col min="10168" max="10168" width="10.28515625" style="84" bestFit="1" customWidth="1"/>
    <col min="10169" max="10412" width="9.140625" style="84"/>
    <col min="10413" max="10413" width="18.42578125" style="84" customWidth="1"/>
    <col min="10414" max="10423" width="9.140625" style="84"/>
    <col min="10424" max="10424" width="10.28515625" style="84" bestFit="1" customWidth="1"/>
    <col min="10425" max="10668" width="9.140625" style="84"/>
    <col min="10669" max="10669" width="18.42578125" style="84" customWidth="1"/>
    <col min="10670" max="10679" width="9.140625" style="84"/>
    <col min="10680" max="10680" width="10.28515625" style="84" bestFit="1" customWidth="1"/>
    <col min="10681" max="10924" width="9.140625" style="84"/>
    <col min="10925" max="10925" width="18.42578125" style="84" customWidth="1"/>
    <col min="10926" max="10935" width="9.140625" style="84"/>
    <col min="10936" max="10936" width="10.28515625" style="84" bestFit="1" customWidth="1"/>
    <col min="10937" max="11180" width="9.140625" style="84"/>
    <col min="11181" max="11181" width="18.42578125" style="84" customWidth="1"/>
    <col min="11182" max="11191" width="9.140625" style="84"/>
    <col min="11192" max="11192" width="10.28515625" style="84" bestFit="1" customWidth="1"/>
    <col min="11193" max="11436" width="9.140625" style="84"/>
    <col min="11437" max="11437" width="18.42578125" style="84" customWidth="1"/>
    <col min="11438" max="11447" width="9.140625" style="84"/>
    <col min="11448" max="11448" width="10.28515625" style="84" bestFit="1" customWidth="1"/>
    <col min="11449" max="11692" width="9.140625" style="84"/>
    <col min="11693" max="11693" width="18.42578125" style="84" customWidth="1"/>
    <col min="11694" max="11703" width="9.140625" style="84"/>
    <col min="11704" max="11704" width="10.28515625" style="84" bestFit="1" customWidth="1"/>
    <col min="11705" max="11948" width="9.140625" style="84"/>
    <col min="11949" max="11949" width="18.42578125" style="84" customWidth="1"/>
    <col min="11950" max="11959" width="9.140625" style="84"/>
    <col min="11960" max="11960" width="10.28515625" style="84" bestFit="1" customWidth="1"/>
    <col min="11961" max="12204" width="9.140625" style="84"/>
    <col min="12205" max="12205" width="18.42578125" style="84" customWidth="1"/>
    <col min="12206" max="12215" width="9.140625" style="84"/>
    <col min="12216" max="12216" width="10.28515625" style="84" bestFit="1" customWidth="1"/>
    <col min="12217" max="12460" width="9.140625" style="84"/>
    <col min="12461" max="12461" width="18.42578125" style="84" customWidth="1"/>
    <col min="12462" max="12471" width="9.140625" style="84"/>
    <col min="12472" max="12472" width="10.28515625" style="84" bestFit="1" customWidth="1"/>
    <col min="12473" max="12716" width="9.140625" style="84"/>
    <col min="12717" max="12717" width="18.42578125" style="84" customWidth="1"/>
    <col min="12718" max="12727" width="9.140625" style="84"/>
    <col min="12728" max="12728" width="10.28515625" style="84" bestFit="1" customWidth="1"/>
    <col min="12729" max="12972" width="9.140625" style="84"/>
    <col min="12973" max="12973" width="18.42578125" style="84" customWidth="1"/>
    <col min="12974" max="12983" width="9.140625" style="84"/>
    <col min="12984" max="12984" width="10.28515625" style="84" bestFit="1" customWidth="1"/>
    <col min="12985" max="13228" width="9.140625" style="84"/>
    <col min="13229" max="13229" width="18.42578125" style="84" customWidth="1"/>
    <col min="13230" max="13239" width="9.140625" style="84"/>
    <col min="13240" max="13240" width="10.28515625" style="84" bestFit="1" customWidth="1"/>
    <col min="13241" max="13484" width="9.140625" style="84"/>
    <col min="13485" max="13485" width="18.42578125" style="84" customWidth="1"/>
    <col min="13486" max="13495" width="9.140625" style="84"/>
    <col min="13496" max="13496" width="10.28515625" style="84" bestFit="1" customWidth="1"/>
    <col min="13497" max="13740" width="9.140625" style="84"/>
    <col min="13741" max="13741" width="18.42578125" style="84" customWidth="1"/>
    <col min="13742" max="13751" width="9.140625" style="84"/>
    <col min="13752" max="13752" width="10.28515625" style="84" bestFit="1" customWidth="1"/>
    <col min="13753" max="13996" width="9.140625" style="84"/>
    <col min="13997" max="13997" width="18.42578125" style="84" customWidth="1"/>
    <col min="13998" max="14007" width="9.140625" style="84"/>
    <col min="14008" max="14008" width="10.28515625" style="84" bestFit="1" customWidth="1"/>
    <col min="14009" max="14252" width="9.140625" style="84"/>
    <col min="14253" max="14253" width="18.42578125" style="84" customWidth="1"/>
    <col min="14254" max="14263" width="9.140625" style="84"/>
    <col min="14264" max="14264" width="10.28515625" style="84" bestFit="1" customWidth="1"/>
    <col min="14265" max="14508" width="9.140625" style="84"/>
    <col min="14509" max="14509" width="18.42578125" style="84" customWidth="1"/>
    <col min="14510" max="14519" width="9.140625" style="84"/>
    <col min="14520" max="14520" width="10.28515625" style="84" bestFit="1" customWidth="1"/>
    <col min="14521" max="14764" width="9.140625" style="84"/>
    <col min="14765" max="14765" width="18.42578125" style="84" customWidth="1"/>
    <col min="14766" max="14775" width="9.140625" style="84"/>
    <col min="14776" max="14776" width="10.28515625" style="84" bestFit="1" customWidth="1"/>
    <col min="14777" max="15020" width="9.140625" style="84"/>
    <col min="15021" max="15021" width="18.42578125" style="84" customWidth="1"/>
    <col min="15022" max="15031" width="9.140625" style="84"/>
    <col min="15032" max="15032" width="10.28515625" style="84" bestFit="1" customWidth="1"/>
    <col min="15033" max="15276" width="9.140625" style="84"/>
    <col min="15277" max="15277" width="18.42578125" style="84" customWidth="1"/>
    <col min="15278" max="15287" width="9.140625" style="84"/>
    <col min="15288" max="15288" width="10.28515625" style="84" bestFit="1" customWidth="1"/>
    <col min="15289" max="15532" width="9.140625" style="84"/>
    <col min="15533" max="15533" width="18.42578125" style="84" customWidth="1"/>
    <col min="15534" max="15543" width="9.140625" style="84"/>
    <col min="15544" max="15544" width="10.28515625" style="84" bestFit="1" customWidth="1"/>
    <col min="15545" max="15788" width="9.140625" style="84"/>
    <col min="15789" max="15789" width="18.42578125" style="84" customWidth="1"/>
    <col min="15790" max="15799" width="9.140625" style="84"/>
    <col min="15800" max="15800" width="10.28515625" style="84" bestFit="1" customWidth="1"/>
    <col min="15801" max="16044" width="9.140625" style="84"/>
    <col min="16045" max="16045" width="18.42578125" style="84" customWidth="1"/>
    <col min="16046" max="16055" width="9.140625" style="84"/>
    <col min="16056" max="16056" width="10.28515625" style="84" bestFit="1" customWidth="1"/>
    <col min="16057" max="16384" width="9.140625" style="84"/>
  </cols>
  <sheetData>
    <row r="1" spans="1:53" ht="12" x14ac:dyDescent="0.2">
      <c r="A1" s="83" t="s">
        <v>71</v>
      </c>
      <c r="Z1" s="84"/>
      <c r="AA1" s="84"/>
      <c r="AB1" s="84"/>
    </row>
    <row r="2" spans="1:53" s="85" customFormat="1" ht="12" x14ac:dyDescent="0.2"/>
    <row r="3" spans="1:53" ht="12" x14ac:dyDescent="0.2">
      <c r="A3" s="86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4"/>
      <c r="AA3" s="84"/>
      <c r="AB3" s="84"/>
    </row>
    <row r="4" spans="1:53" x14ac:dyDescent="0.2">
      <c r="A4" s="85"/>
      <c r="B4" s="141">
        <v>42887</v>
      </c>
      <c r="C4" s="141"/>
      <c r="D4" s="141">
        <v>42917</v>
      </c>
      <c r="E4" s="141"/>
      <c r="F4" s="242">
        <v>42948</v>
      </c>
      <c r="G4" s="242"/>
      <c r="H4" s="242">
        <v>42979</v>
      </c>
      <c r="I4" s="242"/>
      <c r="J4" s="242">
        <v>43009</v>
      </c>
      <c r="K4" s="242"/>
      <c r="L4" s="242">
        <v>43040</v>
      </c>
      <c r="M4" s="242"/>
      <c r="N4" s="242">
        <v>43070</v>
      </c>
      <c r="O4" s="242"/>
      <c r="P4" s="242">
        <v>43101</v>
      </c>
      <c r="Q4" s="242"/>
      <c r="R4" s="242">
        <v>43132</v>
      </c>
      <c r="S4" s="242"/>
      <c r="T4" s="242">
        <v>43160</v>
      </c>
      <c r="U4" s="242"/>
      <c r="V4" s="242">
        <v>43191</v>
      </c>
      <c r="W4" s="242"/>
      <c r="X4" s="242">
        <v>43221</v>
      </c>
      <c r="Y4" s="242"/>
      <c r="Z4" s="242" t="s">
        <v>3</v>
      </c>
      <c r="AA4" s="242"/>
    </row>
    <row r="5" spans="1:53" x14ac:dyDescent="0.2">
      <c r="A5" s="85"/>
      <c r="B5" s="87" t="s">
        <v>17</v>
      </c>
      <c r="C5" s="87" t="s">
        <v>4</v>
      </c>
      <c r="D5" s="87" t="s">
        <v>17</v>
      </c>
      <c r="E5" s="87" t="s">
        <v>4</v>
      </c>
      <c r="F5" s="87" t="s">
        <v>17</v>
      </c>
      <c r="G5" s="87" t="s">
        <v>4</v>
      </c>
      <c r="H5" s="87" t="s">
        <v>17</v>
      </c>
      <c r="I5" s="87" t="s">
        <v>4</v>
      </c>
      <c r="J5" s="87" t="s">
        <v>17</v>
      </c>
      <c r="K5" s="87" t="s">
        <v>4</v>
      </c>
      <c r="L5" s="87" t="s">
        <v>17</v>
      </c>
      <c r="M5" s="87" t="s">
        <v>4</v>
      </c>
      <c r="N5" s="87" t="s">
        <v>17</v>
      </c>
      <c r="O5" s="87" t="s">
        <v>4</v>
      </c>
      <c r="P5" s="87" t="s">
        <v>17</v>
      </c>
      <c r="Q5" s="87" t="s">
        <v>4</v>
      </c>
      <c r="R5" s="87" t="s">
        <v>17</v>
      </c>
      <c r="S5" s="87" t="s">
        <v>4</v>
      </c>
      <c r="T5" s="87" t="s">
        <v>17</v>
      </c>
      <c r="U5" s="87" t="s">
        <v>4</v>
      </c>
      <c r="V5" s="87" t="s">
        <v>17</v>
      </c>
      <c r="W5" s="87" t="s">
        <v>4</v>
      </c>
      <c r="X5" s="87" t="s">
        <v>17</v>
      </c>
      <c r="Y5" s="87" t="s">
        <v>4</v>
      </c>
      <c r="Z5" s="87" t="s">
        <v>17</v>
      </c>
      <c r="AA5" s="87" t="s">
        <v>4</v>
      </c>
    </row>
    <row r="6" spans="1:53" x14ac:dyDescent="0.2">
      <c r="A6" s="85" t="s">
        <v>42</v>
      </c>
      <c r="B6" s="88">
        <v>460.24039499999998</v>
      </c>
      <c r="C6" s="89">
        <f>+B6/B$16</f>
        <v>0.41533806586756666</v>
      </c>
      <c r="D6" s="88">
        <v>385.09263300000003</v>
      </c>
      <c r="E6" s="89">
        <f>+D6/D$16</f>
        <v>0.39706900530810058</v>
      </c>
      <c r="F6" s="88">
        <v>406.85</v>
      </c>
      <c r="G6" s="89">
        <f>+F6/F$16</f>
        <v>0.3809278591826224</v>
      </c>
      <c r="H6" s="88">
        <v>363.72</v>
      </c>
      <c r="I6" s="89">
        <f>+H6/H$16</f>
        <v>0.36538616089367515</v>
      </c>
      <c r="J6" s="88">
        <v>384.06</v>
      </c>
      <c r="K6" s="89">
        <f>+J6/J$16</f>
        <v>0.39836529784563679</v>
      </c>
      <c r="L6" s="88">
        <v>453.44</v>
      </c>
      <c r="M6" s="89">
        <f>+L6/L$16</f>
        <v>0.42072836928786816</v>
      </c>
      <c r="N6" s="88">
        <v>464.47</v>
      </c>
      <c r="O6" s="89">
        <f>+N6/N$16</f>
        <v>0.42682411321448271</v>
      </c>
      <c r="P6" s="143">
        <v>429.16</v>
      </c>
      <c r="Q6" s="89">
        <f>+P6/P$16</f>
        <v>0.38245463943250274</v>
      </c>
      <c r="R6" s="143">
        <v>324.49</v>
      </c>
      <c r="S6" s="89">
        <f>+R6/R$16</f>
        <v>0.38597138133244524</v>
      </c>
      <c r="T6" s="143">
        <v>325.77</v>
      </c>
      <c r="U6" s="89">
        <f>+T6/T$16</f>
        <v>0.34665602553870706</v>
      </c>
      <c r="V6" s="143">
        <v>299.68</v>
      </c>
      <c r="W6" s="89">
        <f>+V6/V$16</f>
        <v>0.33496523819104462</v>
      </c>
      <c r="X6" s="143">
        <v>319.27</v>
      </c>
      <c r="Y6" s="89">
        <f>+X6/X$16</f>
        <v>0.33040121700075542</v>
      </c>
      <c r="Z6" s="88">
        <f>+B6+D6+F6+H6+J6+L6+N6+P6+R6+T6+V6+X6</f>
        <v>4616.243027999999</v>
      </c>
      <c r="AA6" s="89">
        <f>+Z6/Z$16</f>
        <v>0.3835672742040489</v>
      </c>
      <c r="AC6" s="143">
        <f>+Z6/7*12</f>
        <v>7913.5594765714268</v>
      </c>
      <c r="AD6" s="89"/>
      <c r="AE6" s="88"/>
      <c r="AF6" s="89"/>
      <c r="AG6" s="88"/>
      <c r="AH6" s="89"/>
      <c r="AI6" s="88"/>
      <c r="AJ6" s="89"/>
      <c r="AK6" s="88"/>
      <c r="AL6" s="89"/>
      <c r="AM6" s="88"/>
      <c r="AN6" s="123"/>
      <c r="AO6" s="88"/>
      <c r="AP6" s="89"/>
      <c r="AQ6" s="88"/>
      <c r="AR6" s="89"/>
      <c r="AS6" s="88"/>
      <c r="AT6" s="89"/>
      <c r="AU6" s="88"/>
      <c r="AV6" s="89"/>
      <c r="AW6" s="88"/>
      <c r="AX6" s="89"/>
      <c r="AY6" s="88"/>
      <c r="AZ6" s="89"/>
      <c r="BA6" s="88"/>
    </row>
    <row r="7" spans="1:53" x14ac:dyDescent="0.2">
      <c r="A7" s="85" t="s">
        <v>72</v>
      </c>
      <c r="B7" s="88">
        <v>0</v>
      </c>
      <c r="C7" s="89">
        <f t="shared" ref="C7:E15" si="0">+B7/B$16</f>
        <v>0</v>
      </c>
      <c r="D7" s="88">
        <v>0</v>
      </c>
      <c r="E7" s="89">
        <f t="shared" si="0"/>
        <v>0</v>
      </c>
      <c r="F7" s="88">
        <v>0</v>
      </c>
      <c r="G7" s="89">
        <f t="shared" ref="G7" si="1">+F7/F$16</f>
        <v>0</v>
      </c>
      <c r="H7" s="88">
        <v>0</v>
      </c>
      <c r="I7" s="89">
        <f t="shared" ref="I7" si="2">+H7/H$16</f>
        <v>0</v>
      </c>
      <c r="J7" s="88">
        <v>0</v>
      </c>
      <c r="K7" s="89">
        <f t="shared" ref="K7" si="3">+J7/J$16</f>
        <v>0</v>
      </c>
      <c r="L7" s="88">
        <v>0</v>
      </c>
      <c r="M7" s="89">
        <f t="shared" ref="M7" si="4">+L7/L$16</f>
        <v>0</v>
      </c>
      <c r="N7" s="88">
        <v>0</v>
      </c>
      <c r="O7" s="89">
        <f t="shared" ref="O7:Q7" si="5">+N7/N$16</f>
        <v>0</v>
      </c>
      <c r="P7" s="143">
        <v>0</v>
      </c>
      <c r="Q7" s="89">
        <f t="shared" si="5"/>
        <v>0</v>
      </c>
      <c r="R7" s="143">
        <v>0</v>
      </c>
      <c r="S7" s="89">
        <f t="shared" ref="S7" si="6">+R7/R$16</f>
        <v>0</v>
      </c>
      <c r="T7" s="143">
        <v>0</v>
      </c>
      <c r="U7" s="89">
        <f t="shared" ref="U7" si="7">+T7/T$16</f>
        <v>0</v>
      </c>
      <c r="V7" s="143">
        <v>0</v>
      </c>
      <c r="W7" s="89">
        <f t="shared" ref="W7" si="8">+V7/V$16</f>
        <v>0</v>
      </c>
      <c r="X7" s="143">
        <v>0</v>
      </c>
      <c r="Y7" s="89">
        <f t="shared" ref="Y7" si="9">+X7/X$16</f>
        <v>0</v>
      </c>
      <c r="Z7" s="88">
        <f t="shared" ref="Z7:Z15" si="10">+B7+D7+F7+H7+J7+L7+N7+P7+R7+T7+V7+X7</f>
        <v>0</v>
      </c>
      <c r="AA7" s="89">
        <f t="shared" ref="AA7" si="11">+Z7/Z$16</f>
        <v>0</v>
      </c>
      <c r="AC7" s="143">
        <f t="shared" ref="AC7:AC15" si="12">+Z7/7*12</f>
        <v>0</v>
      </c>
      <c r="AD7" s="89"/>
      <c r="AE7" s="88"/>
      <c r="AF7" s="89"/>
      <c r="AG7" s="88"/>
      <c r="AH7" s="89"/>
      <c r="AI7" s="88"/>
      <c r="AJ7" s="89"/>
      <c r="AK7" s="88"/>
      <c r="AL7" s="89"/>
      <c r="AM7" s="88"/>
      <c r="AN7" s="123"/>
      <c r="AO7" s="88"/>
      <c r="AP7" s="89"/>
      <c r="AQ7" s="88"/>
      <c r="AR7" s="89"/>
      <c r="AS7" s="88"/>
      <c r="AT7" s="89"/>
      <c r="AU7" s="88"/>
      <c r="AV7" s="89"/>
      <c r="AW7" s="88"/>
      <c r="AX7" s="89"/>
      <c r="AY7" s="88"/>
      <c r="AZ7" s="89"/>
      <c r="BA7" s="88"/>
    </row>
    <row r="8" spans="1:53" x14ac:dyDescent="0.2">
      <c r="A8" s="85" t="s">
        <v>24</v>
      </c>
      <c r="B8" s="88">
        <v>398.85781500000002</v>
      </c>
      <c r="C8" s="89">
        <f t="shared" si="0"/>
        <v>0.35994414057954155</v>
      </c>
      <c r="D8" s="88">
        <v>336.97004300000003</v>
      </c>
      <c r="E8" s="89">
        <f t="shared" si="0"/>
        <v>0.34744980383106389</v>
      </c>
      <c r="F8" s="88">
        <v>360.86</v>
      </c>
      <c r="G8" s="89">
        <f t="shared" ref="G8" si="13">+F8/F$16</f>
        <v>0.3378680773372032</v>
      </c>
      <c r="H8" s="88">
        <v>337.16</v>
      </c>
      <c r="I8" s="89">
        <f t="shared" ref="I8" si="14">+H8/H$16</f>
        <v>0.33870449248573498</v>
      </c>
      <c r="J8" s="88">
        <v>344.8</v>
      </c>
      <c r="K8" s="89">
        <f t="shared" ref="K8" si="15">+J8/J$16</f>
        <v>0.35764295864493978</v>
      </c>
      <c r="L8" s="88">
        <v>362.06</v>
      </c>
      <c r="M8" s="89">
        <f t="shared" ref="M8" si="16">+L8/L$16</f>
        <v>0.33594061702621197</v>
      </c>
      <c r="N8" s="88">
        <v>375.59</v>
      </c>
      <c r="O8" s="89">
        <f t="shared" ref="O8:Q8" si="17">+N8/N$16</f>
        <v>0.34514795074434851</v>
      </c>
      <c r="P8" s="143">
        <v>415.2</v>
      </c>
      <c r="Q8" s="89">
        <f t="shared" si="17"/>
        <v>0.37001390225644309</v>
      </c>
      <c r="R8" s="143">
        <v>281.02</v>
      </c>
      <c r="S8" s="89">
        <f t="shared" ref="S8" si="18">+R8/R$16</f>
        <v>0.33426508546347733</v>
      </c>
      <c r="T8" s="143">
        <v>354.22</v>
      </c>
      <c r="U8" s="89">
        <f t="shared" ref="U8" si="19">+T8/T$16</f>
        <v>0.37693003458366592</v>
      </c>
      <c r="V8" s="143">
        <v>354.01</v>
      </c>
      <c r="W8" s="89">
        <f t="shared" ref="W8" si="20">+V8/V$16</f>
        <v>0.39569221827286338</v>
      </c>
      <c r="X8" s="143">
        <v>400</v>
      </c>
      <c r="Y8" s="89">
        <f t="shared" ref="Y8" si="21">+X8/X$16</f>
        <v>0.41394583518746569</v>
      </c>
      <c r="Z8" s="88">
        <f t="shared" si="10"/>
        <v>4320.7478580000006</v>
      </c>
      <c r="AA8" s="89">
        <f t="shared" ref="AA8" si="22">+Z8/Z$16</f>
        <v>0.35901434746040051</v>
      </c>
      <c r="AC8" s="143">
        <f t="shared" si="12"/>
        <v>7406.9963280000011</v>
      </c>
      <c r="AD8" s="89"/>
      <c r="AE8" s="88"/>
      <c r="AF8" s="89"/>
      <c r="AG8" s="88"/>
      <c r="AH8" s="89"/>
      <c r="AI8" s="88"/>
      <c r="AJ8" s="89"/>
      <c r="AK8" s="88"/>
      <c r="AL8" s="89"/>
      <c r="AM8" s="88"/>
      <c r="AN8" s="123"/>
      <c r="AO8" s="88"/>
      <c r="AP8" s="89"/>
      <c r="AQ8" s="88"/>
      <c r="AR8" s="89"/>
      <c r="AS8" s="88"/>
      <c r="AT8" s="89"/>
      <c r="AU8" s="88"/>
      <c r="AV8" s="89"/>
      <c r="AW8" s="88"/>
      <c r="AX8" s="89"/>
      <c r="AY8" s="88"/>
      <c r="AZ8" s="89"/>
      <c r="BA8" s="88"/>
    </row>
    <row r="9" spans="1:53" x14ac:dyDescent="0.2">
      <c r="A9" s="85" t="s">
        <v>22</v>
      </c>
      <c r="B9" s="88">
        <v>13.282365</v>
      </c>
      <c r="C9" s="89">
        <f t="shared" si="0"/>
        <v>1.1986500640055861E-2</v>
      </c>
      <c r="D9" s="88">
        <v>11.527039000000002</v>
      </c>
      <c r="E9" s="89">
        <f t="shared" si="0"/>
        <v>1.1885529656127394E-2</v>
      </c>
      <c r="F9" s="88">
        <v>12.58</v>
      </c>
      <c r="G9" s="89">
        <f t="shared" ref="G9" si="23">+F9/F$16</f>
        <v>1.1778474790506059E-2</v>
      </c>
      <c r="H9" s="88">
        <v>12.36</v>
      </c>
      <c r="I9" s="89">
        <f t="shared" ref="I9" si="24">+H9/H$16</f>
        <v>1.2416619786225186E-2</v>
      </c>
      <c r="J9" s="88">
        <v>10.34</v>
      </c>
      <c r="K9" s="89">
        <f t="shared" ref="K9" si="25">+J9/J$16</f>
        <v>1.0725139769108693E-2</v>
      </c>
      <c r="L9" s="88">
        <v>14.36</v>
      </c>
      <c r="M9" s="89">
        <f t="shared" ref="M9" si="26">+L9/L$16</f>
        <v>1.3324054743678957E-2</v>
      </c>
      <c r="N9" s="88">
        <v>13.48</v>
      </c>
      <c r="O9" s="89">
        <f t="shared" ref="O9:Q9" si="27">+N9/N$16</f>
        <v>1.2387428781473996E-2</v>
      </c>
      <c r="P9" s="143">
        <v>13.71</v>
      </c>
      <c r="Q9" s="89">
        <f t="shared" si="27"/>
        <v>1.2217944604855095E-2</v>
      </c>
      <c r="R9" s="143">
        <v>10.28</v>
      </c>
      <c r="S9" s="89">
        <f t="shared" ref="S9" si="28">+R9/R$16</f>
        <v>1.2227759869634E-2</v>
      </c>
      <c r="T9" s="143">
        <v>12.41</v>
      </c>
      <c r="U9" s="89">
        <f t="shared" ref="U9" si="29">+T9/T$16</f>
        <v>1.3205639797818568E-2</v>
      </c>
      <c r="V9" s="143">
        <v>12.7</v>
      </c>
      <c r="W9" s="89">
        <f t="shared" ref="W9" si="30">+V9/V$16</f>
        <v>1.4195336775981934E-2</v>
      </c>
      <c r="X9" s="143">
        <v>14.34</v>
      </c>
      <c r="Y9" s="89">
        <f t="shared" ref="Y9" si="31">+X9/X$16</f>
        <v>1.4839958191470645E-2</v>
      </c>
      <c r="Z9" s="88">
        <f t="shared" si="10"/>
        <v>151.369404</v>
      </c>
      <c r="AA9" s="89">
        <f t="shared" ref="AA9" si="32">+Z9/Z$16</f>
        <v>1.2577403169201487E-2</v>
      </c>
      <c r="AC9" s="143">
        <f t="shared" si="12"/>
        <v>259.49040685714283</v>
      </c>
      <c r="AD9" s="89"/>
      <c r="AE9" s="88"/>
      <c r="AF9" s="89"/>
      <c r="AG9" s="88"/>
      <c r="AH9" s="89"/>
      <c r="AI9" s="88"/>
      <c r="AJ9" s="89"/>
      <c r="AK9" s="88"/>
      <c r="AL9" s="89"/>
      <c r="AM9" s="88"/>
      <c r="AN9" s="123"/>
      <c r="AO9" s="88"/>
      <c r="AP9" s="89"/>
      <c r="AQ9" s="88"/>
      <c r="AR9" s="89"/>
      <c r="AS9" s="124"/>
      <c r="AT9" s="89"/>
      <c r="AU9" s="124"/>
      <c r="AV9" s="89"/>
      <c r="AW9" s="88"/>
      <c r="AX9" s="89"/>
      <c r="AY9" s="88"/>
      <c r="AZ9" s="89"/>
      <c r="BA9" s="88"/>
    </row>
    <row r="10" spans="1:53" x14ac:dyDescent="0.2">
      <c r="A10" s="85" t="s">
        <v>16</v>
      </c>
      <c r="B10" s="88">
        <v>155.51972999999998</v>
      </c>
      <c r="C10" s="89">
        <f t="shared" si="0"/>
        <v>0.14034679390201327</v>
      </c>
      <c r="D10" s="88">
        <v>167.53376100000003</v>
      </c>
      <c r="E10" s="89">
        <f t="shared" si="0"/>
        <v>0.17274405723517194</v>
      </c>
      <c r="F10" s="88">
        <v>216.49</v>
      </c>
      <c r="G10" s="89">
        <f t="shared" ref="G10" si="33">+F10/F$16</f>
        <v>0.20269650297270719</v>
      </c>
      <c r="H10" s="88">
        <v>210.88</v>
      </c>
      <c r="I10" s="89">
        <f t="shared" ref="I10" si="34">+H10/H$16</f>
        <v>0.21184601784135657</v>
      </c>
      <c r="J10" s="88">
        <v>155.05000000000001</v>
      </c>
      <c r="K10" s="89">
        <f t="shared" ref="K10" si="35">+J10/J$16</f>
        <v>0.16082523415863664</v>
      </c>
      <c r="L10" s="88">
        <v>162.46</v>
      </c>
      <c r="M10" s="89">
        <f t="shared" ref="M10" si="36">+L10/L$16</f>
        <v>0.15073996752493618</v>
      </c>
      <c r="N10" s="88">
        <v>154.78</v>
      </c>
      <c r="O10" s="89">
        <f t="shared" ref="O10:Q10" si="37">+N10/N$16</f>
        <v>0.14223488329351225</v>
      </c>
      <c r="P10" s="143">
        <v>166.16</v>
      </c>
      <c r="Q10" s="89">
        <f t="shared" si="37"/>
        <v>0.14807685452536268</v>
      </c>
      <c r="R10" s="143">
        <v>159.09</v>
      </c>
      <c r="S10" s="89">
        <f t="shared" ref="S10" si="38">+R10/R$16</f>
        <v>0.18923291027821723</v>
      </c>
      <c r="T10" s="143">
        <v>172.66</v>
      </c>
      <c r="U10" s="89">
        <f t="shared" ref="U10" si="39">+T10/T$16</f>
        <v>0.18372971534982707</v>
      </c>
      <c r="V10" s="143">
        <v>153.04</v>
      </c>
      <c r="W10" s="89">
        <f t="shared" ref="W10" si="40">+V10/V$16</f>
        <v>0.17105939686584845</v>
      </c>
      <c r="X10" s="143">
        <v>154.36000000000001</v>
      </c>
      <c r="Y10" s="89">
        <f t="shared" ref="Y10" si="41">+X10/X$16</f>
        <v>0.15974169779884304</v>
      </c>
      <c r="Z10" s="88">
        <f t="shared" si="10"/>
        <v>2028.0234909999999</v>
      </c>
      <c r="AA10" s="89">
        <f t="shared" ref="AA10" si="42">+Z10/Z$16</f>
        <v>0.16851007144692504</v>
      </c>
      <c r="AC10" s="143">
        <f t="shared" si="12"/>
        <v>3476.6116988571425</v>
      </c>
      <c r="AD10" s="89"/>
      <c r="AE10" s="88"/>
      <c r="AF10" s="89"/>
      <c r="AG10" s="88"/>
      <c r="AH10" s="89"/>
      <c r="AI10" s="88"/>
      <c r="AJ10" s="89"/>
      <c r="AK10" s="88"/>
      <c r="AL10" s="89"/>
      <c r="AM10" s="88"/>
      <c r="AN10" s="123"/>
      <c r="AO10" s="88"/>
      <c r="AP10" s="89"/>
      <c r="AQ10" s="88"/>
      <c r="AR10" s="89"/>
      <c r="AS10" s="124"/>
      <c r="AT10" s="89"/>
      <c r="AU10" s="124"/>
      <c r="AV10" s="89"/>
      <c r="AW10" s="88"/>
      <c r="AX10" s="89"/>
      <c r="AY10" s="88"/>
      <c r="AZ10" s="89"/>
      <c r="BA10" s="88"/>
    </row>
    <row r="11" spans="1:53" x14ac:dyDescent="0.2">
      <c r="A11" s="85" t="s">
        <v>103</v>
      </c>
      <c r="B11" s="88">
        <v>21.793394999999997</v>
      </c>
      <c r="C11" s="89">
        <f t="shared" si="0"/>
        <v>1.9667170953101359E-2</v>
      </c>
      <c r="D11" s="88">
        <v>17.906080000000003</v>
      </c>
      <c r="E11" s="89">
        <f t="shared" si="0"/>
        <v>1.8462958689129932E-2</v>
      </c>
      <c r="F11" s="88">
        <v>19.36</v>
      </c>
      <c r="G11" s="89">
        <f t="shared" ref="G11" si="43">+F11/F$16</f>
        <v>1.8126492205421087E-2</v>
      </c>
      <c r="H11" s="88">
        <v>22.55</v>
      </c>
      <c r="I11" s="89">
        <f t="shared" ref="I11" si="44">+H11/H$16</f>
        <v>2.2653299043638993E-2</v>
      </c>
      <c r="J11" s="88">
        <v>25.36</v>
      </c>
      <c r="K11" s="89">
        <f t="shared" ref="K11" si="45">+J11/J$16</f>
        <v>2.6304598118432925E-2</v>
      </c>
      <c r="L11" s="88">
        <v>29.1</v>
      </c>
      <c r="M11" s="89">
        <f t="shared" ref="M11" si="46">+L11/L$16</f>
        <v>2.7000695894224075E-2</v>
      </c>
      <c r="N11" s="88">
        <v>28.96</v>
      </c>
      <c r="O11" s="89">
        <f t="shared" ref="O11:Q11" si="47">+N11/N$16</f>
        <v>2.6612755008270542E-2</v>
      </c>
      <c r="P11" s="143">
        <v>30.9</v>
      </c>
      <c r="Q11" s="89">
        <f t="shared" si="47"/>
        <v>2.7537161800876907E-2</v>
      </c>
      <c r="R11" s="143">
        <v>22.92</v>
      </c>
      <c r="S11" s="89">
        <f t="shared" ref="S11" si="48">+R11/R$16</f>
        <v>2.7262670837744293E-2</v>
      </c>
      <c r="T11" s="143">
        <v>23.83</v>
      </c>
      <c r="U11" s="89">
        <f t="shared" ref="U11" si="49">+T11/T$16</f>
        <v>2.5357807927640329E-2</v>
      </c>
      <c r="V11" s="143">
        <v>24.01</v>
      </c>
      <c r="W11" s="89">
        <f t="shared" ref="W11" si="50">+V11/V$16</f>
        <v>2.6837010707978448E-2</v>
      </c>
      <c r="X11" s="143">
        <v>24.89</v>
      </c>
      <c r="Y11" s="89">
        <f t="shared" ref="Y11" si="51">+X11/X$16</f>
        <v>2.5757779594540054E-2</v>
      </c>
      <c r="Z11" s="88">
        <f t="shared" si="10"/>
        <v>291.579475</v>
      </c>
      <c r="AA11" s="89">
        <f t="shared" ref="AA11" si="52">+Z11/Z$16</f>
        <v>2.4227568557639995E-2</v>
      </c>
      <c r="AC11" s="143">
        <f t="shared" si="12"/>
        <v>499.85052857142864</v>
      </c>
      <c r="AD11" s="89"/>
      <c r="AE11" s="88"/>
      <c r="AF11" s="89"/>
      <c r="AG11" s="88"/>
      <c r="AH11" s="89"/>
      <c r="AI11" s="88"/>
      <c r="AJ11" s="89"/>
      <c r="AK11" s="88"/>
      <c r="AL11" s="89"/>
      <c r="AM11" s="88"/>
      <c r="AN11" s="123"/>
      <c r="AO11" s="88"/>
      <c r="AP11" s="89"/>
      <c r="AQ11" s="88"/>
      <c r="AR11" s="89"/>
      <c r="AS11" s="124"/>
      <c r="AT11" s="89"/>
      <c r="AU11" s="124"/>
      <c r="AV11" s="89"/>
      <c r="AW11" s="88"/>
      <c r="AX11" s="89"/>
      <c r="AY11" s="88"/>
      <c r="AZ11" s="89"/>
      <c r="BA11" s="88"/>
    </row>
    <row r="12" spans="1:53" x14ac:dyDescent="0.2">
      <c r="A12" s="85" t="s">
        <v>1</v>
      </c>
      <c r="B12" s="88">
        <v>40.105004999999998</v>
      </c>
      <c r="C12" s="89">
        <f t="shared" si="0"/>
        <v>3.6192249505411382E-2</v>
      </c>
      <c r="D12" s="88">
        <v>34.021552</v>
      </c>
      <c r="E12" s="89">
        <f t="shared" si="0"/>
        <v>3.5079621509346869E-2</v>
      </c>
      <c r="F12" s="88">
        <v>35.880000000000003</v>
      </c>
      <c r="G12" s="89">
        <f t="shared" ref="G12" si="53">+F12/F$16</f>
        <v>3.3593932868311395E-2</v>
      </c>
      <c r="H12" s="88">
        <v>32.51</v>
      </c>
      <c r="I12" s="89">
        <f t="shared" ref="I12" si="54">+H12/H$16</f>
        <v>3.2658924696616569E-2</v>
      </c>
      <c r="J12" s="88">
        <v>29.47</v>
      </c>
      <c r="K12" s="89">
        <f t="shared" ref="K12" si="55">+J12/J$16</f>
        <v>3.0567685589519649E-2</v>
      </c>
      <c r="L12" s="88">
        <v>37.39</v>
      </c>
      <c r="M12" s="89">
        <f t="shared" ref="M12" si="56">+L12/L$16</f>
        <v>3.4692646717698901E-2</v>
      </c>
      <c r="N12" s="88">
        <v>33.950000000000003</v>
      </c>
      <c r="O12" s="89">
        <f t="shared" ref="O12:Q12" si="57">+N12/N$16</f>
        <v>3.1198309134350313E-2</v>
      </c>
      <c r="P12" s="143">
        <v>46.94</v>
      </c>
      <c r="Q12" s="89">
        <f t="shared" si="57"/>
        <v>4.1831533169357997E-2</v>
      </c>
      <c r="R12" s="143">
        <v>25.65</v>
      </c>
      <c r="S12" s="89">
        <f t="shared" ref="S12" si="58">+R12/R$16</f>
        <v>3.0509926133863045E-2</v>
      </c>
      <c r="T12" s="143">
        <v>30.53</v>
      </c>
      <c r="U12" s="89">
        <f t="shared" ref="U12" si="59">+T12/T$16</f>
        <v>3.2487363660548017E-2</v>
      </c>
      <c r="V12" s="143">
        <v>32.119999999999997</v>
      </c>
      <c r="W12" s="89">
        <f t="shared" ref="W12" si="60">+V12/V$16</f>
        <v>3.5901906869648802E-2</v>
      </c>
      <c r="X12" s="143">
        <v>35.21</v>
      </c>
      <c r="Y12" s="89">
        <f t="shared" ref="Y12" si="61">+X12/X$16</f>
        <v>3.6437582142376669E-2</v>
      </c>
      <c r="Z12" s="88">
        <f t="shared" si="10"/>
        <v>413.77655699999997</v>
      </c>
      <c r="AA12" s="89">
        <f t="shared" ref="AA12" si="62">+Z12/Z$16</f>
        <v>3.438102048253476E-2</v>
      </c>
      <c r="AC12" s="143">
        <f t="shared" si="12"/>
        <v>709.33124057142845</v>
      </c>
      <c r="AD12" s="89"/>
      <c r="AE12" s="88"/>
      <c r="AF12" s="89"/>
      <c r="AG12" s="88"/>
      <c r="AH12" s="89"/>
      <c r="AI12" s="88"/>
      <c r="AJ12" s="89"/>
      <c r="AK12" s="88"/>
      <c r="AL12" s="89"/>
      <c r="AM12" s="88"/>
      <c r="AN12" s="123"/>
      <c r="AO12" s="88"/>
      <c r="AP12" s="89"/>
      <c r="AQ12" s="88"/>
      <c r="AR12" s="89"/>
      <c r="AS12" s="124"/>
      <c r="AT12" s="89"/>
      <c r="AU12" s="124"/>
      <c r="AV12" s="89"/>
      <c r="AW12" s="88"/>
      <c r="AX12" s="89"/>
      <c r="AY12" s="88"/>
      <c r="AZ12" s="89"/>
      <c r="BA12" s="88"/>
    </row>
    <row r="13" spans="1:53" x14ac:dyDescent="0.2">
      <c r="A13" s="85" t="s">
        <v>73</v>
      </c>
      <c r="B13" s="88">
        <v>9.5426699999999993</v>
      </c>
      <c r="C13" s="89">
        <f t="shared" si="0"/>
        <v>8.6116606540207145E-3</v>
      </c>
      <c r="D13" s="88">
        <v>8.5053879999999999</v>
      </c>
      <c r="E13" s="89">
        <f t="shared" si="0"/>
        <v>8.7699053773367171E-3</v>
      </c>
      <c r="F13" s="88">
        <v>8.6300000000000008</v>
      </c>
      <c r="G13" s="89">
        <f t="shared" ref="G13" si="63">+F13/F$16</f>
        <v>8.0801460605776851E-3</v>
      </c>
      <c r="H13" s="88">
        <v>8.6999999999999993</v>
      </c>
      <c r="I13" s="89">
        <f t="shared" ref="I13" si="64">+H13/H$16</f>
        <v>8.7398537330225824E-3</v>
      </c>
      <c r="J13" s="88">
        <v>8.4499999999999993</v>
      </c>
      <c r="K13" s="89">
        <f t="shared" ref="K13" si="65">+J13/J$16</f>
        <v>8.7647418809447247E-3</v>
      </c>
      <c r="L13" s="88">
        <v>10.77</v>
      </c>
      <c r="M13" s="89">
        <f t="shared" ref="M13" si="66">+L13/L$16</f>
        <v>9.9930410577592187E-3</v>
      </c>
      <c r="N13" s="88">
        <v>9.36</v>
      </c>
      <c r="O13" s="89">
        <f t="shared" ref="O13:Q13" si="67">+N13/N$16</f>
        <v>8.6013600441095395E-3</v>
      </c>
      <c r="P13" s="143">
        <v>10.220000000000001</v>
      </c>
      <c r="Q13" s="89">
        <f t="shared" si="67"/>
        <v>9.1077603108401951E-3</v>
      </c>
      <c r="R13" s="143">
        <v>8.02</v>
      </c>
      <c r="S13" s="89">
        <f t="shared" ref="S13" si="68">+R13/R$16</f>
        <v>9.5395558516016225E-3</v>
      </c>
      <c r="T13" s="143">
        <v>9.7799999999999994</v>
      </c>
      <c r="U13" s="89">
        <f t="shared" ref="U13" si="69">+T13/T$16</f>
        <v>1.0407023144453312E-2</v>
      </c>
      <c r="V13" s="143">
        <v>8.9600000000000009</v>
      </c>
      <c r="W13" s="89">
        <f t="shared" ref="W13" si="70">+V13/V$16</f>
        <v>1.001497775691324E-2</v>
      </c>
      <c r="X13" s="143">
        <v>9.52</v>
      </c>
      <c r="Y13" s="89">
        <f t="shared" ref="Y13" si="71">+X13/X$16</f>
        <v>9.8519108774616834E-3</v>
      </c>
      <c r="Z13" s="88">
        <f t="shared" si="10"/>
        <v>110.45805799999998</v>
      </c>
      <c r="AA13" s="89">
        <f t="shared" ref="AA13" si="72">+Z13/Z$16</f>
        <v>9.1780471617173131E-3</v>
      </c>
      <c r="AC13" s="143">
        <f t="shared" si="12"/>
        <v>189.35667085714283</v>
      </c>
      <c r="AD13" s="89"/>
      <c r="AE13" s="88"/>
      <c r="AF13" s="89"/>
      <c r="AG13" s="88"/>
      <c r="AH13" s="89"/>
      <c r="AI13" s="88"/>
      <c r="AJ13" s="89"/>
      <c r="AK13" s="88"/>
      <c r="AL13" s="89"/>
      <c r="AM13" s="88"/>
      <c r="AN13" s="123"/>
      <c r="AO13" s="88"/>
      <c r="AP13" s="89"/>
      <c r="AQ13" s="88"/>
      <c r="AR13" s="89"/>
      <c r="AS13" s="124"/>
      <c r="AT13" s="89"/>
      <c r="AU13" s="124"/>
      <c r="AV13" s="89"/>
      <c r="AW13" s="88"/>
      <c r="AX13" s="89"/>
      <c r="AY13" s="88"/>
      <c r="AZ13" s="89"/>
      <c r="BA13" s="88"/>
    </row>
    <row r="14" spans="1:53" x14ac:dyDescent="0.2">
      <c r="A14" s="85" t="s">
        <v>74</v>
      </c>
      <c r="B14" s="88">
        <v>8.7689399999999988</v>
      </c>
      <c r="C14" s="89">
        <f t="shared" si="0"/>
        <v>7.9134178982893048E-3</v>
      </c>
      <c r="D14" s="88">
        <v>8.281562000000001</v>
      </c>
      <c r="E14" s="89">
        <f t="shared" si="0"/>
        <v>8.5391183937225928E-3</v>
      </c>
      <c r="F14" s="88">
        <v>7.4</v>
      </c>
      <c r="G14" s="89">
        <f t="shared" ref="G14" si="73">+F14/F$16</f>
        <v>6.9285145826506224E-3</v>
      </c>
      <c r="H14" s="88">
        <v>7.56</v>
      </c>
      <c r="I14" s="89">
        <f t="shared" ref="I14" si="74">+H14/H$16</f>
        <v>7.5946315197299675E-3</v>
      </c>
      <c r="J14" s="88">
        <v>6.56</v>
      </c>
      <c r="K14" s="89">
        <f t="shared" ref="K14" si="75">+J14/J$16</f>
        <v>6.8043439927807561E-3</v>
      </c>
      <c r="L14" s="88">
        <v>8.17</v>
      </c>
      <c r="M14" s="89">
        <f t="shared" ref="M14" si="76">+L14/L$16</f>
        <v>7.5806077476223595E-3</v>
      </c>
      <c r="N14" s="88">
        <v>7.61</v>
      </c>
      <c r="O14" s="89">
        <f t="shared" ref="O14:Q14" si="77">+N14/N$16</f>
        <v>6.9931997794523077E-3</v>
      </c>
      <c r="P14" s="143">
        <v>7.76</v>
      </c>
      <c r="Q14" s="89">
        <f t="shared" si="77"/>
        <v>6.9154814101878579E-3</v>
      </c>
      <c r="R14" s="143">
        <v>6.32</v>
      </c>
      <c r="S14" s="89">
        <f t="shared" ref="S14" si="78">+R14/R$16</f>
        <v>7.5174554840551451E-3</v>
      </c>
      <c r="T14" s="143">
        <v>7.47</v>
      </c>
      <c r="U14" s="89">
        <f t="shared" ref="U14" si="79">+T14/T$16</f>
        <v>7.9489225857940944E-3</v>
      </c>
      <c r="V14" s="143">
        <v>7.9</v>
      </c>
      <c r="W14" s="89">
        <f t="shared" ref="W14" si="80">+V14/V$16</f>
        <v>8.8301701204927009E-3</v>
      </c>
      <c r="X14" s="143">
        <v>8.49</v>
      </c>
      <c r="Y14" s="89">
        <f t="shared" ref="Y14" si="81">+X14/X$16</f>
        <v>8.7860003518539596E-3</v>
      </c>
      <c r="Z14" s="88">
        <f t="shared" si="10"/>
        <v>92.290502000000004</v>
      </c>
      <c r="AA14" s="89">
        <f t="shared" ref="AA14" si="82">+Z14/Z$16</f>
        <v>7.6684906042306681E-3</v>
      </c>
      <c r="AC14" s="143">
        <f t="shared" si="12"/>
        <v>158.21228914285714</v>
      </c>
      <c r="AD14" s="89"/>
      <c r="AE14" s="88"/>
      <c r="AF14" s="89"/>
      <c r="AG14" s="88"/>
      <c r="AH14" s="89"/>
      <c r="AI14" s="88"/>
      <c r="AJ14" s="89"/>
      <c r="AK14" s="88"/>
      <c r="AL14" s="89"/>
      <c r="AM14" s="88"/>
      <c r="AN14" s="123"/>
      <c r="AO14" s="88"/>
      <c r="AP14" s="89"/>
      <c r="AQ14" s="88"/>
      <c r="AR14" s="89"/>
      <c r="AS14" s="124"/>
      <c r="AT14" s="89"/>
      <c r="AU14" s="124"/>
      <c r="AV14" s="89"/>
      <c r="AW14" s="88"/>
      <c r="AX14" s="89"/>
      <c r="AY14" s="88"/>
      <c r="AZ14" s="89"/>
      <c r="BA14" s="88"/>
    </row>
    <row r="15" spans="1:53" ht="15" x14ac:dyDescent="0.35">
      <c r="A15" s="85" t="s">
        <v>75</v>
      </c>
      <c r="B15" s="88">
        <v>0</v>
      </c>
      <c r="C15" s="89">
        <f t="shared" si="0"/>
        <v>0</v>
      </c>
      <c r="D15" s="88">
        <v>0</v>
      </c>
      <c r="E15" s="89">
        <f t="shared" si="0"/>
        <v>0</v>
      </c>
      <c r="F15" s="88">
        <v>0</v>
      </c>
      <c r="G15" s="89">
        <f t="shared" ref="G15" si="83">+F15/F$16</f>
        <v>0</v>
      </c>
      <c r="H15" s="88">
        <v>0</v>
      </c>
      <c r="I15" s="89">
        <f t="shared" ref="I15" si="84">+H15/H$16</f>
        <v>0</v>
      </c>
      <c r="J15" s="88">
        <v>0</v>
      </c>
      <c r="K15" s="89">
        <f t="shared" ref="K15" si="85">+J15/J$16</f>
        <v>0</v>
      </c>
      <c r="L15" s="88">
        <v>0</v>
      </c>
      <c r="M15" s="89">
        <f t="shared" ref="M15" si="86">+L15/L$16</f>
        <v>0</v>
      </c>
      <c r="N15" s="88">
        <v>0</v>
      </c>
      <c r="O15" s="89">
        <f t="shared" ref="O15:Q15" si="87">+N15/N$16</f>
        <v>0</v>
      </c>
      <c r="P15" s="143">
        <v>2.0699999999999998</v>
      </c>
      <c r="Q15" s="89">
        <f t="shared" si="87"/>
        <v>1.8447224895733073E-3</v>
      </c>
      <c r="R15" s="143">
        <v>2.92</v>
      </c>
      <c r="S15" s="89">
        <f t="shared" ref="S15" si="88">+R15/R$16</f>
        <v>3.4732547489621868E-3</v>
      </c>
      <c r="T15" s="143">
        <v>3.08</v>
      </c>
      <c r="U15" s="89">
        <f t="shared" ref="U15" si="89">+T15/T$16</f>
        <v>3.277467411545624E-3</v>
      </c>
      <c r="V15" s="143">
        <v>2.2400000000000002</v>
      </c>
      <c r="W15" s="89">
        <f t="shared" ref="W15" si="90">+V15/V$16</f>
        <v>2.50374443922831E-3</v>
      </c>
      <c r="X15" s="143">
        <v>0.23</v>
      </c>
      <c r="Y15" s="89">
        <f t="shared" ref="Y15" si="91">+X15/X$16</f>
        <v>2.3801885523279278E-4</v>
      </c>
      <c r="Z15" s="88">
        <f t="shared" si="10"/>
        <v>10.540000000000001</v>
      </c>
      <c r="AA15" s="89">
        <f t="shared" ref="AA15" si="92">+Z15/Z$16</f>
        <v>8.7577691330134111E-4</v>
      </c>
      <c r="AC15" s="218">
        <f t="shared" si="12"/>
        <v>18.068571428571431</v>
      </c>
      <c r="AD15" s="89"/>
      <c r="AE15" s="88"/>
      <c r="AF15" s="89"/>
      <c r="AG15" s="88"/>
      <c r="AH15" s="89"/>
      <c r="AI15" s="88"/>
      <c r="AJ15" s="89"/>
      <c r="AK15" s="88"/>
      <c r="AL15" s="89"/>
      <c r="AM15" s="88"/>
      <c r="AN15" s="123"/>
      <c r="AO15" s="88"/>
      <c r="AP15" s="89"/>
      <c r="AQ15" s="88"/>
      <c r="AR15" s="89"/>
      <c r="AS15" s="124"/>
      <c r="AT15" s="89"/>
      <c r="AU15" s="124"/>
      <c r="AV15" s="89"/>
      <c r="AW15" s="88"/>
      <c r="AX15" s="89"/>
      <c r="AY15" s="88"/>
      <c r="AZ15" s="89"/>
      <c r="BA15" s="88"/>
    </row>
    <row r="16" spans="1:53" s="125" customFormat="1" ht="13.5" thickBot="1" x14ac:dyDescent="0.25">
      <c r="A16" s="90"/>
      <c r="B16" s="91">
        <f>SUM(B6:B15)</f>
        <v>1108.1103149999999</v>
      </c>
      <c r="C16" s="102">
        <f t="shared" ref="C16:AA16" si="93">SUM(C6:C15)</f>
        <v>1</v>
      </c>
      <c r="D16" s="91">
        <f t="shared" si="93"/>
        <v>969.83805800000016</v>
      </c>
      <c r="E16" s="102">
        <f t="shared" si="93"/>
        <v>0.99999999999999989</v>
      </c>
      <c r="F16" s="91">
        <f t="shared" si="93"/>
        <v>1068.0500000000004</v>
      </c>
      <c r="G16" s="102">
        <f t="shared" si="93"/>
        <v>0.99999999999999967</v>
      </c>
      <c r="H16" s="91">
        <f t="shared" si="93"/>
        <v>995.44</v>
      </c>
      <c r="I16" s="102">
        <f t="shared" si="93"/>
        <v>1</v>
      </c>
      <c r="J16" s="91">
        <f t="shared" si="93"/>
        <v>964.09</v>
      </c>
      <c r="K16" s="102">
        <f t="shared" si="93"/>
        <v>0.99999999999999978</v>
      </c>
      <c r="L16" s="91">
        <f t="shared" si="93"/>
        <v>1077.7500000000002</v>
      </c>
      <c r="M16" s="102">
        <f t="shared" si="93"/>
        <v>0.99999999999999978</v>
      </c>
      <c r="N16" s="91">
        <f t="shared" si="93"/>
        <v>1088.1999999999998</v>
      </c>
      <c r="O16" s="102">
        <f t="shared" si="93"/>
        <v>1.0000000000000002</v>
      </c>
      <c r="P16" s="91">
        <f t="shared" si="93"/>
        <v>1122.1200000000001</v>
      </c>
      <c r="Q16" s="102">
        <f t="shared" si="93"/>
        <v>0.99999999999999989</v>
      </c>
      <c r="R16" s="91">
        <f t="shared" si="93"/>
        <v>840.70999999999992</v>
      </c>
      <c r="S16" s="102">
        <f t="shared" si="93"/>
        <v>1</v>
      </c>
      <c r="T16" s="91">
        <f t="shared" si="93"/>
        <v>939.75</v>
      </c>
      <c r="U16" s="102">
        <f t="shared" si="93"/>
        <v>0.99999999999999989</v>
      </c>
      <c r="V16" s="91">
        <f t="shared" si="93"/>
        <v>894.66000000000008</v>
      </c>
      <c r="W16" s="102">
        <f t="shared" si="93"/>
        <v>0.99999999999999989</v>
      </c>
      <c r="X16" s="91">
        <f t="shared" si="93"/>
        <v>966.31000000000006</v>
      </c>
      <c r="Y16" s="102">
        <f t="shared" si="93"/>
        <v>1.0000000000000002</v>
      </c>
      <c r="Z16" s="91">
        <f t="shared" si="93"/>
        <v>12035.028372999999</v>
      </c>
      <c r="AA16" s="102">
        <f t="shared" si="93"/>
        <v>1.0000000000000002</v>
      </c>
      <c r="AB16" s="1"/>
      <c r="AC16" s="144">
        <f>SUM(AC6:AC15)</f>
        <v>20631.477210857141</v>
      </c>
    </row>
    <row r="17" spans="1:29" ht="13.5" thickTop="1" x14ac:dyDescent="0.2"/>
    <row r="18" spans="1:29" ht="15" x14ac:dyDescent="0.35">
      <c r="A18" s="85" t="s">
        <v>76</v>
      </c>
      <c r="B18" s="128">
        <v>159.13047</v>
      </c>
      <c r="C18" s="129">
        <f>+B18/B20</f>
        <v>0.1255724025643635</v>
      </c>
      <c r="D18" s="128">
        <v>131.83351400000001</v>
      </c>
      <c r="E18" s="129">
        <f>+D18/D20</f>
        <v>0.1196668021129622</v>
      </c>
      <c r="F18" s="128">
        <v>156.19</v>
      </c>
      <c r="G18" s="129">
        <f>+F18/F20</f>
        <v>0.12758119323008554</v>
      </c>
      <c r="H18" s="128">
        <v>139.55000000000001</v>
      </c>
      <c r="I18" s="129">
        <f>+H18/H20</f>
        <v>0.12295262513326109</v>
      </c>
      <c r="J18" s="128">
        <v>140.16</v>
      </c>
      <c r="K18" s="129">
        <f>+J18/J20</f>
        <v>0.12692777903554447</v>
      </c>
      <c r="L18" s="128">
        <v>153.91999999999999</v>
      </c>
      <c r="M18" s="129">
        <f>+L18/L20</f>
        <v>0.12496853865077492</v>
      </c>
      <c r="N18" s="128">
        <v>153.16999999999999</v>
      </c>
      <c r="O18" s="129">
        <f>+N18/N20</f>
        <v>0.12338786985346835</v>
      </c>
      <c r="P18" s="142">
        <v>166.01</v>
      </c>
      <c r="Q18" s="129">
        <f>+P18/P20</f>
        <v>0.12887674380691388</v>
      </c>
      <c r="R18" s="142">
        <v>98.34</v>
      </c>
      <c r="S18" s="129">
        <f>+R18/R20</f>
        <v>0.10472285820776317</v>
      </c>
      <c r="T18" s="142">
        <v>153.34</v>
      </c>
      <c r="U18" s="129">
        <f>+T18/T20</f>
        <v>0.14028122112543343</v>
      </c>
      <c r="V18" s="142">
        <v>165.76</v>
      </c>
      <c r="W18" s="129">
        <f>+V18/V20</f>
        <v>0.15631542219120723</v>
      </c>
      <c r="X18" s="218">
        <f>169.25+9.98+1.26</f>
        <v>180.48999999999998</v>
      </c>
      <c r="Y18" s="129">
        <f>+X18/X20</f>
        <v>0.15738576909661667</v>
      </c>
      <c r="Z18" s="128">
        <f t="shared" ref="Z18" si="94">+X18+V18+T18+R18+P18+N18+L18+J18+H18+F18+D18+B18</f>
        <v>1797.893984</v>
      </c>
      <c r="AA18" s="129">
        <f>+Z18/Z20</f>
        <v>0.12997210116560767</v>
      </c>
      <c r="AC18" s="143">
        <f t="shared" ref="AC18" si="95">+Z18/7*12</f>
        <v>3082.1039725714281</v>
      </c>
    </row>
    <row r="20" spans="1:29" ht="15" x14ac:dyDescent="0.35">
      <c r="A20" s="86" t="s">
        <v>101</v>
      </c>
      <c r="B20" s="127">
        <f>+B18+B16</f>
        <v>1267.240785</v>
      </c>
      <c r="C20" s="127"/>
      <c r="D20" s="127">
        <f t="shared" ref="D20" si="96">+D18+D16</f>
        <v>1101.6715720000002</v>
      </c>
      <c r="E20" s="127"/>
      <c r="F20" s="127">
        <f t="shared" ref="F20" si="97">+F18+F16</f>
        <v>1224.2400000000005</v>
      </c>
      <c r="G20" s="127"/>
      <c r="H20" s="127">
        <f t="shared" ref="H20" si="98">+H18+H16</f>
        <v>1134.99</v>
      </c>
      <c r="I20" s="127"/>
      <c r="J20" s="127">
        <f t="shared" ref="J20" si="99">+J18+J16</f>
        <v>1104.25</v>
      </c>
      <c r="K20" s="127"/>
      <c r="L20" s="127">
        <f t="shared" ref="L20" si="100">+L18+L16</f>
        <v>1231.6700000000003</v>
      </c>
      <c r="M20" s="127"/>
      <c r="N20" s="127">
        <f t="shared" ref="N20" si="101">+N18+N16</f>
        <v>1241.3699999999999</v>
      </c>
      <c r="O20" s="127"/>
      <c r="P20" s="127">
        <f t="shared" ref="P20" si="102">+P18+P16</f>
        <v>1288.1300000000001</v>
      </c>
      <c r="Q20" s="127"/>
      <c r="R20" s="127">
        <f t="shared" ref="R20" si="103">+R18+R16</f>
        <v>939.05</v>
      </c>
      <c r="S20" s="127"/>
      <c r="T20" s="127">
        <f t="shared" ref="T20" si="104">+T18+T16</f>
        <v>1093.0899999999999</v>
      </c>
      <c r="U20" s="127"/>
      <c r="V20" s="127">
        <f t="shared" ref="V20" si="105">+V18+V16</f>
        <v>1060.42</v>
      </c>
      <c r="W20" s="127"/>
      <c r="X20" s="127">
        <f t="shared" ref="X20" si="106">+X18+X16</f>
        <v>1146.8</v>
      </c>
      <c r="Y20" s="127"/>
      <c r="Z20" s="127">
        <f t="shared" ref="Z20" si="107">+Z18+Z16</f>
        <v>13832.922356999999</v>
      </c>
    </row>
  </sheetData>
  <mergeCells count="11">
    <mergeCell ref="Z4:AA4"/>
    <mergeCell ref="P4:Q4"/>
    <mergeCell ref="R4:S4"/>
    <mergeCell ref="T4:U4"/>
    <mergeCell ref="F4:G4"/>
    <mergeCell ref="H4:I4"/>
    <mergeCell ref="J4:K4"/>
    <mergeCell ref="L4:M4"/>
    <mergeCell ref="N4:O4"/>
    <mergeCell ref="V4:W4"/>
    <mergeCell ref="X4:Y4"/>
  </mergeCells>
  <pageMargins left="0.2" right="0.2" top="0.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workbookViewId="0">
      <selection activeCell="C18" sqref="C18"/>
    </sheetView>
  </sheetViews>
  <sheetFormatPr defaultRowHeight="12" x14ac:dyDescent="0.2"/>
  <cols>
    <col min="1" max="1" width="9.140625" style="85" customWidth="1"/>
    <col min="2" max="2" width="8.5703125" style="85" bestFit="1" customWidth="1"/>
    <col min="3" max="3" width="11.140625" style="85" bestFit="1" customWidth="1"/>
    <col min="4" max="4" width="8.5703125" style="85" bestFit="1" customWidth="1"/>
    <col min="5" max="5" width="10" style="85" bestFit="1" customWidth="1"/>
    <col min="6" max="6" width="8.5703125" style="85" bestFit="1" customWidth="1"/>
    <col min="7" max="7" width="8.140625" style="85" bestFit="1" customWidth="1"/>
    <col min="8" max="8" width="8.5703125" style="85" bestFit="1" customWidth="1"/>
    <col min="9" max="9" width="11.7109375" style="85" bestFit="1" customWidth="1"/>
    <col min="10" max="10" width="12.140625" style="85" bestFit="1" customWidth="1"/>
    <col min="11" max="11" width="10.5703125" style="85" bestFit="1" customWidth="1"/>
    <col min="12" max="221" width="9.140625" style="85"/>
    <col min="222" max="222" width="12.140625" style="85" customWidth="1"/>
    <col min="223" max="223" width="13.5703125" style="85" customWidth="1"/>
    <col min="224" max="224" width="10.7109375" style="85" customWidth="1"/>
    <col min="225" max="226" width="12.140625" style="85" customWidth="1"/>
    <col min="227" max="227" width="10" style="85" customWidth="1"/>
    <col min="228" max="228" width="10.85546875" style="85" customWidth="1"/>
    <col min="229" max="229" width="9.5703125" style="85" customWidth="1"/>
    <col min="230" max="230" width="10.140625" style="85" customWidth="1"/>
    <col min="231" max="231" width="11.5703125" style="85" customWidth="1"/>
    <col min="232" max="232" width="13.42578125" style="85" customWidth="1"/>
    <col min="233" max="233" width="15.140625" style="85" customWidth="1"/>
    <col min="234" max="234" width="9.140625" style="85"/>
    <col min="235" max="235" width="17.28515625" style="85" customWidth="1"/>
    <col min="236" max="236" width="10.42578125" style="85" bestFit="1" customWidth="1"/>
    <col min="237" max="477" width="9.140625" style="85"/>
    <col min="478" max="478" width="12.140625" style="85" customWidth="1"/>
    <col min="479" max="479" width="13.5703125" style="85" customWidth="1"/>
    <col min="480" max="480" width="10.7109375" style="85" customWidth="1"/>
    <col min="481" max="482" width="12.140625" style="85" customWidth="1"/>
    <col min="483" max="483" width="10" style="85" customWidth="1"/>
    <col min="484" max="484" width="10.85546875" style="85" customWidth="1"/>
    <col min="485" max="485" width="9.5703125" style="85" customWidth="1"/>
    <col min="486" max="486" width="10.140625" style="85" customWidth="1"/>
    <col min="487" max="487" width="11.5703125" style="85" customWidth="1"/>
    <col min="488" max="488" width="13.42578125" style="85" customWidth="1"/>
    <col min="489" max="489" width="15.140625" style="85" customWidth="1"/>
    <col min="490" max="490" width="9.140625" style="85"/>
    <col min="491" max="491" width="17.28515625" style="85" customWidth="1"/>
    <col min="492" max="492" width="10.42578125" style="85" bestFit="1" customWidth="1"/>
    <col min="493" max="733" width="9.140625" style="85"/>
    <col min="734" max="734" width="12.140625" style="85" customWidth="1"/>
    <col min="735" max="735" width="13.5703125" style="85" customWidth="1"/>
    <col min="736" max="736" width="10.7109375" style="85" customWidth="1"/>
    <col min="737" max="738" width="12.140625" style="85" customWidth="1"/>
    <col min="739" max="739" width="10" style="85" customWidth="1"/>
    <col min="740" max="740" width="10.85546875" style="85" customWidth="1"/>
    <col min="741" max="741" width="9.5703125" style="85" customWidth="1"/>
    <col min="742" max="742" width="10.140625" style="85" customWidth="1"/>
    <col min="743" max="743" width="11.5703125" style="85" customWidth="1"/>
    <col min="744" max="744" width="13.42578125" style="85" customWidth="1"/>
    <col min="745" max="745" width="15.140625" style="85" customWidth="1"/>
    <col min="746" max="746" width="9.140625" style="85"/>
    <col min="747" max="747" width="17.28515625" style="85" customWidth="1"/>
    <col min="748" max="748" width="10.42578125" style="85" bestFit="1" customWidth="1"/>
    <col min="749" max="989" width="9.140625" style="85"/>
    <col min="990" max="990" width="12.140625" style="85" customWidth="1"/>
    <col min="991" max="991" width="13.5703125" style="85" customWidth="1"/>
    <col min="992" max="992" width="10.7109375" style="85" customWidth="1"/>
    <col min="993" max="994" width="12.140625" style="85" customWidth="1"/>
    <col min="995" max="995" width="10" style="85" customWidth="1"/>
    <col min="996" max="996" width="10.85546875" style="85" customWidth="1"/>
    <col min="997" max="997" width="9.5703125" style="85" customWidth="1"/>
    <col min="998" max="998" width="10.140625" style="85" customWidth="1"/>
    <col min="999" max="999" width="11.5703125" style="85" customWidth="1"/>
    <col min="1000" max="1000" width="13.42578125" style="85" customWidth="1"/>
    <col min="1001" max="1001" width="15.140625" style="85" customWidth="1"/>
    <col min="1002" max="1002" width="9.140625" style="85"/>
    <col min="1003" max="1003" width="17.28515625" style="85" customWidth="1"/>
    <col min="1004" max="1004" width="10.42578125" style="85" bestFit="1" customWidth="1"/>
    <col min="1005" max="1245" width="9.140625" style="85"/>
    <col min="1246" max="1246" width="12.140625" style="85" customWidth="1"/>
    <col min="1247" max="1247" width="13.5703125" style="85" customWidth="1"/>
    <col min="1248" max="1248" width="10.7109375" style="85" customWidth="1"/>
    <col min="1249" max="1250" width="12.140625" style="85" customWidth="1"/>
    <col min="1251" max="1251" width="10" style="85" customWidth="1"/>
    <col min="1252" max="1252" width="10.85546875" style="85" customWidth="1"/>
    <col min="1253" max="1253" width="9.5703125" style="85" customWidth="1"/>
    <col min="1254" max="1254" width="10.140625" style="85" customWidth="1"/>
    <col min="1255" max="1255" width="11.5703125" style="85" customWidth="1"/>
    <col min="1256" max="1256" width="13.42578125" style="85" customWidth="1"/>
    <col min="1257" max="1257" width="15.140625" style="85" customWidth="1"/>
    <col min="1258" max="1258" width="9.140625" style="85"/>
    <col min="1259" max="1259" width="17.28515625" style="85" customWidth="1"/>
    <col min="1260" max="1260" width="10.42578125" style="85" bestFit="1" customWidth="1"/>
    <col min="1261" max="1501" width="9.140625" style="85"/>
    <col min="1502" max="1502" width="12.140625" style="85" customWidth="1"/>
    <col min="1503" max="1503" width="13.5703125" style="85" customWidth="1"/>
    <col min="1504" max="1504" width="10.7109375" style="85" customWidth="1"/>
    <col min="1505" max="1506" width="12.140625" style="85" customWidth="1"/>
    <col min="1507" max="1507" width="10" style="85" customWidth="1"/>
    <col min="1508" max="1508" width="10.85546875" style="85" customWidth="1"/>
    <col min="1509" max="1509" width="9.5703125" style="85" customWidth="1"/>
    <col min="1510" max="1510" width="10.140625" style="85" customWidth="1"/>
    <col min="1511" max="1511" width="11.5703125" style="85" customWidth="1"/>
    <col min="1512" max="1512" width="13.42578125" style="85" customWidth="1"/>
    <col min="1513" max="1513" width="15.140625" style="85" customWidth="1"/>
    <col min="1514" max="1514" width="9.140625" style="85"/>
    <col min="1515" max="1515" width="17.28515625" style="85" customWidth="1"/>
    <col min="1516" max="1516" width="10.42578125" style="85" bestFit="1" customWidth="1"/>
    <col min="1517" max="1757" width="9.140625" style="85"/>
    <col min="1758" max="1758" width="12.140625" style="85" customWidth="1"/>
    <col min="1759" max="1759" width="13.5703125" style="85" customWidth="1"/>
    <col min="1760" max="1760" width="10.7109375" style="85" customWidth="1"/>
    <col min="1761" max="1762" width="12.140625" style="85" customWidth="1"/>
    <col min="1763" max="1763" width="10" style="85" customWidth="1"/>
    <col min="1764" max="1764" width="10.85546875" style="85" customWidth="1"/>
    <col min="1765" max="1765" width="9.5703125" style="85" customWidth="1"/>
    <col min="1766" max="1766" width="10.140625" style="85" customWidth="1"/>
    <col min="1767" max="1767" width="11.5703125" style="85" customWidth="1"/>
    <col min="1768" max="1768" width="13.42578125" style="85" customWidth="1"/>
    <col min="1769" max="1769" width="15.140625" style="85" customWidth="1"/>
    <col min="1770" max="1770" width="9.140625" style="85"/>
    <col min="1771" max="1771" width="17.28515625" style="85" customWidth="1"/>
    <col min="1772" max="1772" width="10.42578125" style="85" bestFit="1" customWidth="1"/>
    <col min="1773" max="2013" width="9.140625" style="85"/>
    <col min="2014" max="2014" width="12.140625" style="85" customWidth="1"/>
    <col min="2015" max="2015" width="13.5703125" style="85" customWidth="1"/>
    <col min="2016" max="2016" width="10.7109375" style="85" customWidth="1"/>
    <col min="2017" max="2018" width="12.140625" style="85" customWidth="1"/>
    <col min="2019" max="2019" width="10" style="85" customWidth="1"/>
    <col min="2020" max="2020" width="10.85546875" style="85" customWidth="1"/>
    <col min="2021" max="2021" width="9.5703125" style="85" customWidth="1"/>
    <col min="2022" max="2022" width="10.140625" style="85" customWidth="1"/>
    <col min="2023" max="2023" width="11.5703125" style="85" customWidth="1"/>
    <col min="2024" max="2024" width="13.42578125" style="85" customWidth="1"/>
    <col min="2025" max="2025" width="15.140625" style="85" customWidth="1"/>
    <col min="2026" max="2026" width="9.140625" style="85"/>
    <col min="2027" max="2027" width="17.28515625" style="85" customWidth="1"/>
    <col min="2028" max="2028" width="10.42578125" style="85" bestFit="1" customWidth="1"/>
    <col min="2029" max="2269" width="9.140625" style="85"/>
    <col min="2270" max="2270" width="12.140625" style="85" customWidth="1"/>
    <col min="2271" max="2271" width="13.5703125" style="85" customWidth="1"/>
    <col min="2272" max="2272" width="10.7109375" style="85" customWidth="1"/>
    <col min="2273" max="2274" width="12.140625" style="85" customWidth="1"/>
    <col min="2275" max="2275" width="10" style="85" customWidth="1"/>
    <col min="2276" max="2276" width="10.85546875" style="85" customWidth="1"/>
    <col min="2277" max="2277" width="9.5703125" style="85" customWidth="1"/>
    <col min="2278" max="2278" width="10.140625" style="85" customWidth="1"/>
    <col min="2279" max="2279" width="11.5703125" style="85" customWidth="1"/>
    <col min="2280" max="2280" width="13.42578125" style="85" customWidth="1"/>
    <col min="2281" max="2281" width="15.140625" style="85" customWidth="1"/>
    <col min="2282" max="2282" width="9.140625" style="85"/>
    <col min="2283" max="2283" width="17.28515625" style="85" customWidth="1"/>
    <col min="2284" max="2284" width="10.42578125" style="85" bestFit="1" customWidth="1"/>
    <col min="2285" max="2525" width="9.140625" style="85"/>
    <col min="2526" max="2526" width="12.140625" style="85" customWidth="1"/>
    <col min="2527" max="2527" width="13.5703125" style="85" customWidth="1"/>
    <col min="2528" max="2528" width="10.7109375" style="85" customWidth="1"/>
    <col min="2529" max="2530" width="12.140625" style="85" customWidth="1"/>
    <col min="2531" max="2531" width="10" style="85" customWidth="1"/>
    <col min="2532" max="2532" width="10.85546875" style="85" customWidth="1"/>
    <col min="2533" max="2533" width="9.5703125" style="85" customWidth="1"/>
    <col min="2534" max="2534" width="10.140625" style="85" customWidth="1"/>
    <col min="2535" max="2535" width="11.5703125" style="85" customWidth="1"/>
    <col min="2536" max="2536" width="13.42578125" style="85" customWidth="1"/>
    <col min="2537" max="2537" width="15.140625" style="85" customWidth="1"/>
    <col min="2538" max="2538" width="9.140625" style="85"/>
    <col min="2539" max="2539" width="17.28515625" style="85" customWidth="1"/>
    <col min="2540" max="2540" width="10.42578125" style="85" bestFit="1" customWidth="1"/>
    <col min="2541" max="2781" width="9.140625" style="85"/>
    <col min="2782" max="2782" width="12.140625" style="85" customWidth="1"/>
    <col min="2783" max="2783" width="13.5703125" style="85" customWidth="1"/>
    <col min="2784" max="2784" width="10.7109375" style="85" customWidth="1"/>
    <col min="2785" max="2786" width="12.140625" style="85" customWidth="1"/>
    <col min="2787" max="2787" width="10" style="85" customWidth="1"/>
    <col min="2788" max="2788" width="10.85546875" style="85" customWidth="1"/>
    <col min="2789" max="2789" width="9.5703125" style="85" customWidth="1"/>
    <col min="2790" max="2790" width="10.140625" style="85" customWidth="1"/>
    <col min="2791" max="2791" width="11.5703125" style="85" customWidth="1"/>
    <col min="2792" max="2792" width="13.42578125" style="85" customWidth="1"/>
    <col min="2793" max="2793" width="15.140625" style="85" customWidth="1"/>
    <col min="2794" max="2794" width="9.140625" style="85"/>
    <col min="2795" max="2795" width="17.28515625" style="85" customWidth="1"/>
    <col min="2796" max="2796" width="10.42578125" style="85" bestFit="1" customWidth="1"/>
    <col min="2797" max="3037" width="9.140625" style="85"/>
    <col min="3038" max="3038" width="12.140625" style="85" customWidth="1"/>
    <col min="3039" max="3039" width="13.5703125" style="85" customWidth="1"/>
    <col min="3040" max="3040" width="10.7109375" style="85" customWidth="1"/>
    <col min="3041" max="3042" width="12.140625" style="85" customWidth="1"/>
    <col min="3043" max="3043" width="10" style="85" customWidth="1"/>
    <col min="3044" max="3044" width="10.85546875" style="85" customWidth="1"/>
    <col min="3045" max="3045" width="9.5703125" style="85" customWidth="1"/>
    <col min="3046" max="3046" width="10.140625" style="85" customWidth="1"/>
    <col min="3047" max="3047" width="11.5703125" style="85" customWidth="1"/>
    <col min="3048" max="3048" width="13.42578125" style="85" customWidth="1"/>
    <col min="3049" max="3049" width="15.140625" style="85" customWidth="1"/>
    <col min="3050" max="3050" width="9.140625" style="85"/>
    <col min="3051" max="3051" width="17.28515625" style="85" customWidth="1"/>
    <col min="3052" max="3052" width="10.42578125" style="85" bestFit="1" customWidth="1"/>
    <col min="3053" max="3293" width="9.140625" style="85"/>
    <col min="3294" max="3294" width="12.140625" style="85" customWidth="1"/>
    <col min="3295" max="3295" width="13.5703125" style="85" customWidth="1"/>
    <col min="3296" max="3296" width="10.7109375" style="85" customWidth="1"/>
    <col min="3297" max="3298" width="12.140625" style="85" customWidth="1"/>
    <col min="3299" max="3299" width="10" style="85" customWidth="1"/>
    <col min="3300" max="3300" width="10.85546875" style="85" customWidth="1"/>
    <col min="3301" max="3301" width="9.5703125" style="85" customWidth="1"/>
    <col min="3302" max="3302" width="10.140625" style="85" customWidth="1"/>
    <col min="3303" max="3303" width="11.5703125" style="85" customWidth="1"/>
    <col min="3304" max="3304" width="13.42578125" style="85" customWidth="1"/>
    <col min="3305" max="3305" width="15.140625" style="85" customWidth="1"/>
    <col min="3306" max="3306" width="9.140625" style="85"/>
    <col min="3307" max="3307" width="17.28515625" style="85" customWidth="1"/>
    <col min="3308" max="3308" width="10.42578125" style="85" bestFit="1" customWidth="1"/>
    <col min="3309" max="3549" width="9.140625" style="85"/>
    <col min="3550" max="3550" width="12.140625" style="85" customWidth="1"/>
    <col min="3551" max="3551" width="13.5703125" style="85" customWidth="1"/>
    <col min="3552" max="3552" width="10.7109375" style="85" customWidth="1"/>
    <col min="3553" max="3554" width="12.140625" style="85" customWidth="1"/>
    <col min="3555" max="3555" width="10" style="85" customWidth="1"/>
    <col min="3556" max="3556" width="10.85546875" style="85" customWidth="1"/>
    <col min="3557" max="3557" width="9.5703125" style="85" customWidth="1"/>
    <col min="3558" max="3558" width="10.140625" style="85" customWidth="1"/>
    <col min="3559" max="3559" width="11.5703125" style="85" customWidth="1"/>
    <col min="3560" max="3560" width="13.42578125" style="85" customWidth="1"/>
    <col min="3561" max="3561" width="15.140625" style="85" customWidth="1"/>
    <col min="3562" max="3562" width="9.140625" style="85"/>
    <col min="3563" max="3563" width="17.28515625" style="85" customWidth="1"/>
    <col min="3564" max="3564" width="10.42578125" style="85" bestFit="1" customWidth="1"/>
    <col min="3565" max="3805" width="9.140625" style="85"/>
    <col min="3806" max="3806" width="12.140625" style="85" customWidth="1"/>
    <col min="3807" max="3807" width="13.5703125" style="85" customWidth="1"/>
    <col min="3808" max="3808" width="10.7109375" style="85" customWidth="1"/>
    <col min="3809" max="3810" width="12.140625" style="85" customWidth="1"/>
    <col min="3811" max="3811" width="10" style="85" customWidth="1"/>
    <col min="3812" max="3812" width="10.85546875" style="85" customWidth="1"/>
    <col min="3813" max="3813" width="9.5703125" style="85" customWidth="1"/>
    <col min="3814" max="3814" width="10.140625" style="85" customWidth="1"/>
    <col min="3815" max="3815" width="11.5703125" style="85" customWidth="1"/>
    <col min="3816" max="3816" width="13.42578125" style="85" customWidth="1"/>
    <col min="3817" max="3817" width="15.140625" style="85" customWidth="1"/>
    <col min="3818" max="3818" width="9.140625" style="85"/>
    <col min="3819" max="3819" width="17.28515625" style="85" customWidth="1"/>
    <col min="3820" max="3820" width="10.42578125" style="85" bestFit="1" customWidth="1"/>
    <col min="3821" max="4061" width="9.140625" style="85"/>
    <col min="4062" max="4062" width="12.140625" style="85" customWidth="1"/>
    <col min="4063" max="4063" width="13.5703125" style="85" customWidth="1"/>
    <col min="4064" max="4064" width="10.7109375" style="85" customWidth="1"/>
    <col min="4065" max="4066" width="12.140625" style="85" customWidth="1"/>
    <col min="4067" max="4067" width="10" style="85" customWidth="1"/>
    <col min="4068" max="4068" width="10.85546875" style="85" customWidth="1"/>
    <col min="4069" max="4069" width="9.5703125" style="85" customWidth="1"/>
    <col min="4070" max="4070" width="10.140625" style="85" customWidth="1"/>
    <col min="4071" max="4071" width="11.5703125" style="85" customWidth="1"/>
    <col min="4072" max="4072" width="13.42578125" style="85" customWidth="1"/>
    <col min="4073" max="4073" width="15.140625" style="85" customWidth="1"/>
    <col min="4074" max="4074" width="9.140625" style="85"/>
    <col min="4075" max="4075" width="17.28515625" style="85" customWidth="1"/>
    <col min="4076" max="4076" width="10.42578125" style="85" bestFit="1" customWidth="1"/>
    <col min="4077" max="4317" width="9.140625" style="85"/>
    <col min="4318" max="4318" width="12.140625" style="85" customWidth="1"/>
    <col min="4319" max="4319" width="13.5703125" style="85" customWidth="1"/>
    <col min="4320" max="4320" width="10.7109375" style="85" customWidth="1"/>
    <col min="4321" max="4322" width="12.140625" style="85" customWidth="1"/>
    <col min="4323" max="4323" width="10" style="85" customWidth="1"/>
    <col min="4324" max="4324" width="10.85546875" style="85" customWidth="1"/>
    <col min="4325" max="4325" width="9.5703125" style="85" customWidth="1"/>
    <col min="4326" max="4326" width="10.140625" style="85" customWidth="1"/>
    <col min="4327" max="4327" width="11.5703125" style="85" customWidth="1"/>
    <col min="4328" max="4328" width="13.42578125" style="85" customWidth="1"/>
    <col min="4329" max="4329" width="15.140625" style="85" customWidth="1"/>
    <col min="4330" max="4330" width="9.140625" style="85"/>
    <col min="4331" max="4331" width="17.28515625" style="85" customWidth="1"/>
    <col min="4332" max="4332" width="10.42578125" style="85" bestFit="1" customWidth="1"/>
    <col min="4333" max="4573" width="9.140625" style="85"/>
    <col min="4574" max="4574" width="12.140625" style="85" customWidth="1"/>
    <col min="4575" max="4575" width="13.5703125" style="85" customWidth="1"/>
    <col min="4576" max="4576" width="10.7109375" style="85" customWidth="1"/>
    <col min="4577" max="4578" width="12.140625" style="85" customWidth="1"/>
    <col min="4579" max="4579" width="10" style="85" customWidth="1"/>
    <col min="4580" max="4580" width="10.85546875" style="85" customWidth="1"/>
    <col min="4581" max="4581" width="9.5703125" style="85" customWidth="1"/>
    <col min="4582" max="4582" width="10.140625" style="85" customWidth="1"/>
    <col min="4583" max="4583" width="11.5703125" style="85" customWidth="1"/>
    <col min="4584" max="4584" width="13.42578125" style="85" customWidth="1"/>
    <col min="4585" max="4585" width="15.140625" style="85" customWidth="1"/>
    <col min="4586" max="4586" width="9.140625" style="85"/>
    <col min="4587" max="4587" width="17.28515625" style="85" customWidth="1"/>
    <col min="4588" max="4588" width="10.42578125" style="85" bestFit="1" customWidth="1"/>
    <col min="4589" max="4829" width="9.140625" style="85"/>
    <col min="4830" max="4830" width="12.140625" style="85" customWidth="1"/>
    <col min="4831" max="4831" width="13.5703125" style="85" customWidth="1"/>
    <col min="4832" max="4832" width="10.7109375" style="85" customWidth="1"/>
    <col min="4833" max="4834" width="12.140625" style="85" customWidth="1"/>
    <col min="4835" max="4835" width="10" style="85" customWidth="1"/>
    <col min="4836" max="4836" width="10.85546875" style="85" customWidth="1"/>
    <col min="4837" max="4837" width="9.5703125" style="85" customWidth="1"/>
    <col min="4838" max="4838" width="10.140625" style="85" customWidth="1"/>
    <col min="4839" max="4839" width="11.5703125" style="85" customWidth="1"/>
    <col min="4840" max="4840" width="13.42578125" style="85" customWidth="1"/>
    <col min="4841" max="4841" width="15.140625" style="85" customWidth="1"/>
    <col min="4842" max="4842" width="9.140625" style="85"/>
    <col min="4843" max="4843" width="17.28515625" style="85" customWidth="1"/>
    <col min="4844" max="4844" width="10.42578125" style="85" bestFit="1" customWidth="1"/>
    <col min="4845" max="5085" width="9.140625" style="85"/>
    <col min="5086" max="5086" width="12.140625" style="85" customWidth="1"/>
    <col min="5087" max="5087" width="13.5703125" style="85" customWidth="1"/>
    <col min="5088" max="5088" width="10.7109375" style="85" customWidth="1"/>
    <col min="5089" max="5090" width="12.140625" style="85" customWidth="1"/>
    <col min="5091" max="5091" width="10" style="85" customWidth="1"/>
    <col min="5092" max="5092" width="10.85546875" style="85" customWidth="1"/>
    <col min="5093" max="5093" width="9.5703125" style="85" customWidth="1"/>
    <col min="5094" max="5094" width="10.140625" style="85" customWidth="1"/>
    <col min="5095" max="5095" width="11.5703125" style="85" customWidth="1"/>
    <col min="5096" max="5096" width="13.42578125" style="85" customWidth="1"/>
    <col min="5097" max="5097" width="15.140625" style="85" customWidth="1"/>
    <col min="5098" max="5098" width="9.140625" style="85"/>
    <col min="5099" max="5099" width="17.28515625" style="85" customWidth="1"/>
    <col min="5100" max="5100" width="10.42578125" style="85" bestFit="1" customWidth="1"/>
    <col min="5101" max="5341" width="9.140625" style="85"/>
    <col min="5342" max="5342" width="12.140625" style="85" customWidth="1"/>
    <col min="5343" max="5343" width="13.5703125" style="85" customWidth="1"/>
    <col min="5344" max="5344" width="10.7109375" style="85" customWidth="1"/>
    <col min="5345" max="5346" width="12.140625" style="85" customWidth="1"/>
    <col min="5347" max="5347" width="10" style="85" customWidth="1"/>
    <col min="5348" max="5348" width="10.85546875" style="85" customWidth="1"/>
    <col min="5349" max="5349" width="9.5703125" style="85" customWidth="1"/>
    <col min="5350" max="5350" width="10.140625" style="85" customWidth="1"/>
    <col min="5351" max="5351" width="11.5703125" style="85" customWidth="1"/>
    <col min="5352" max="5352" width="13.42578125" style="85" customWidth="1"/>
    <col min="5353" max="5353" width="15.140625" style="85" customWidth="1"/>
    <col min="5354" max="5354" width="9.140625" style="85"/>
    <col min="5355" max="5355" width="17.28515625" style="85" customWidth="1"/>
    <col min="5356" max="5356" width="10.42578125" style="85" bestFit="1" customWidth="1"/>
    <col min="5357" max="5597" width="9.140625" style="85"/>
    <col min="5598" max="5598" width="12.140625" style="85" customWidth="1"/>
    <col min="5599" max="5599" width="13.5703125" style="85" customWidth="1"/>
    <col min="5600" max="5600" width="10.7109375" style="85" customWidth="1"/>
    <col min="5601" max="5602" width="12.140625" style="85" customWidth="1"/>
    <col min="5603" max="5603" width="10" style="85" customWidth="1"/>
    <col min="5604" max="5604" width="10.85546875" style="85" customWidth="1"/>
    <col min="5605" max="5605" width="9.5703125" style="85" customWidth="1"/>
    <col min="5606" max="5606" width="10.140625" style="85" customWidth="1"/>
    <col min="5607" max="5607" width="11.5703125" style="85" customWidth="1"/>
    <col min="5608" max="5608" width="13.42578125" style="85" customWidth="1"/>
    <col min="5609" max="5609" width="15.140625" style="85" customWidth="1"/>
    <col min="5610" max="5610" width="9.140625" style="85"/>
    <col min="5611" max="5611" width="17.28515625" style="85" customWidth="1"/>
    <col min="5612" max="5612" width="10.42578125" style="85" bestFit="1" customWidth="1"/>
    <col min="5613" max="5853" width="9.140625" style="85"/>
    <col min="5854" max="5854" width="12.140625" style="85" customWidth="1"/>
    <col min="5855" max="5855" width="13.5703125" style="85" customWidth="1"/>
    <col min="5856" max="5856" width="10.7109375" style="85" customWidth="1"/>
    <col min="5857" max="5858" width="12.140625" style="85" customWidth="1"/>
    <col min="5859" max="5859" width="10" style="85" customWidth="1"/>
    <col min="5860" max="5860" width="10.85546875" style="85" customWidth="1"/>
    <col min="5861" max="5861" width="9.5703125" style="85" customWidth="1"/>
    <col min="5862" max="5862" width="10.140625" style="85" customWidth="1"/>
    <col min="5863" max="5863" width="11.5703125" style="85" customWidth="1"/>
    <col min="5864" max="5864" width="13.42578125" style="85" customWidth="1"/>
    <col min="5865" max="5865" width="15.140625" style="85" customWidth="1"/>
    <col min="5866" max="5866" width="9.140625" style="85"/>
    <col min="5867" max="5867" width="17.28515625" style="85" customWidth="1"/>
    <col min="5868" max="5868" width="10.42578125" style="85" bestFit="1" customWidth="1"/>
    <col min="5869" max="6109" width="9.140625" style="85"/>
    <col min="6110" max="6110" width="12.140625" style="85" customWidth="1"/>
    <col min="6111" max="6111" width="13.5703125" style="85" customWidth="1"/>
    <col min="6112" max="6112" width="10.7109375" style="85" customWidth="1"/>
    <col min="6113" max="6114" width="12.140625" style="85" customWidth="1"/>
    <col min="6115" max="6115" width="10" style="85" customWidth="1"/>
    <col min="6116" max="6116" width="10.85546875" style="85" customWidth="1"/>
    <col min="6117" max="6117" width="9.5703125" style="85" customWidth="1"/>
    <col min="6118" max="6118" width="10.140625" style="85" customWidth="1"/>
    <col min="6119" max="6119" width="11.5703125" style="85" customWidth="1"/>
    <col min="6120" max="6120" width="13.42578125" style="85" customWidth="1"/>
    <col min="6121" max="6121" width="15.140625" style="85" customWidth="1"/>
    <col min="6122" max="6122" width="9.140625" style="85"/>
    <col min="6123" max="6123" width="17.28515625" style="85" customWidth="1"/>
    <col min="6124" max="6124" width="10.42578125" style="85" bestFit="1" customWidth="1"/>
    <col min="6125" max="6365" width="9.140625" style="85"/>
    <col min="6366" max="6366" width="12.140625" style="85" customWidth="1"/>
    <col min="6367" max="6367" width="13.5703125" style="85" customWidth="1"/>
    <col min="6368" max="6368" width="10.7109375" style="85" customWidth="1"/>
    <col min="6369" max="6370" width="12.140625" style="85" customWidth="1"/>
    <col min="6371" max="6371" width="10" style="85" customWidth="1"/>
    <col min="6372" max="6372" width="10.85546875" style="85" customWidth="1"/>
    <col min="6373" max="6373" width="9.5703125" style="85" customWidth="1"/>
    <col min="6374" max="6374" width="10.140625" style="85" customWidth="1"/>
    <col min="6375" max="6375" width="11.5703125" style="85" customWidth="1"/>
    <col min="6376" max="6376" width="13.42578125" style="85" customWidth="1"/>
    <col min="6377" max="6377" width="15.140625" style="85" customWidth="1"/>
    <col min="6378" max="6378" width="9.140625" style="85"/>
    <col min="6379" max="6379" width="17.28515625" style="85" customWidth="1"/>
    <col min="6380" max="6380" width="10.42578125" style="85" bestFit="1" customWidth="1"/>
    <col min="6381" max="6621" width="9.140625" style="85"/>
    <col min="6622" max="6622" width="12.140625" style="85" customWidth="1"/>
    <col min="6623" max="6623" width="13.5703125" style="85" customWidth="1"/>
    <col min="6624" max="6624" width="10.7109375" style="85" customWidth="1"/>
    <col min="6625" max="6626" width="12.140625" style="85" customWidth="1"/>
    <col min="6627" max="6627" width="10" style="85" customWidth="1"/>
    <col min="6628" max="6628" width="10.85546875" style="85" customWidth="1"/>
    <col min="6629" max="6629" width="9.5703125" style="85" customWidth="1"/>
    <col min="6630" max="6630" width="10.140625" style="85" customWidth="1"/>
    <col min="6631" max="6631" width="11.5703125" style="85" customWidth="1"/>
    <col min="6632" max="6632" width="13.42578125" style="85" customWidth="1"/>
    <col min="6633" max="6633" width="15.140625" style="85" customWidth="1"/>
    <col min="6634" max="6634" width="9.140625" style="85"/>
    <col min="6635" max="6635" width="17.28515625" style="85" customWidth="1"/>
    <col min="6636" max="6636" width="10.42578125" style="85" bestFit="1" customWidth="1"/>
    <col min="6637" max="6877" width="9.140625" style="85"/>
    <col min="6878" max="6878" width="12.140625" style="85" customWidth="1"/>
    <col min="6879" max="6879" width="13.5703125" style="85" customWidth="1"/>
    <col min="6880" max="6880" width="10.7109375" style="85" customWidth="1"/>
    <col min="6881" max="6882" width="12.140625" style="85" customWidth="1"/>
    <col min="6883" max="6883" width="10" style="85" customWidth="1"/>
    <col min="6884" max="6884" width="10.85546875" style="85" customWidth="1"/>
    <col min="6885" max="6885" width="9.5703125" style="85" customWidth="1"/>
    <col min="6886" max="6886" width="10.140625" style="85" customWidth="1"/>
    <col min="6887" max="6887" width="11.5703125" style="85" customWidth="1"/>
    <col min="6888" max="6888" width="13.42578125" style="85" customWidth="1"/>
    <col min="6889" max="6889" width="15.140625" style="85" customWidth="1"/>
    <col min="6890" max="6890" width="9.140625" style="85"/>
    <col min="6891" max="6891" width="17.28515625" style="85" customWidth="1"/>
    <col min="6892" max="6892" width="10.42578125" style="85" bestFit="1" customWidth="1"/>
    <col min="6893" max="7133" width="9.140625" style="85"/>
    <col min="7134" max="7134" width="12.140625" style="85" customWidth="1"/>
    <col min="7135" max="7135" width="13.5703125" style="85" customWidth="1"/>
    <col min="7136" max="7136" width="10.7109375" style="85" customWidth="1"/>
    <col min="7137" max="7138" width="12.140625" style="85" customWidth="1"/>
    <col min="7139" max="7139" width="10" style="85" customWidth="1"/>
    <col min="7140" max="7140" width="10.85546875" style="85" customWidth="1"/>
    <col min="7141" max="7141" width="9.5703125" style="85" customWidth="1"/>
    <col min="7142" max="7142" width="10.140625" style="85" customWidth="1"/>
    <col min="7143" max="7143" width="11.5703125" style="85" customWidth="1"/>
    <col min="7144" max="7144" width="13.42578125" style="85" customWidth="1"/>
    <col min="7145" max="7145" width="15.140625" style="85" customWidth="1"/>
    <col min="7146" max="7146" width="9.140625" style="85"/>
    <col min="7147" max="7147" width="17.28515625" style="85" customWidth="1"/>
    <col min="7148" max="7148" width="10.42578125" style="85" bestFit="1" customWidth="1"/>
    <col min="7149" max="7389" width="9.140625" style="85"/>
    <col min="7390" max="7390" width="12.140625" style="85" customWidth="1"/>
    <col min="7391" max="7391" width="13.5703125" style="85" customWidth="1"/>
    <col min="7392" max="7392" width="10.7109375" style="85" customWidth="1"/>
    <col min="7393" max="7394" width="12.140625" style="85" customWidth="1"/>
    <col min="7395" max="7395" width="10" style="85" customWidth="1"/>
    <col min="7396" max="7396" width="10.85546875" style="85" customWidth="1"/>
    <col min="7397" max="7397" width="9.5703125" style="85" customWidth="1"/>
    <col min="7398" max="7398" width="10.140625" style="85" customWidth="1"/>
    <col min="7399" max="7399" width="11.5703125" style="85" customWidth="1"/>
    <col min="7400" max="7400" width="13.42578125" style="85" customWidth="1"/>
    <col min="7401" max="7401" width="15.140625" style="85" customWidth="1"/>
    <col min="7402" max="7402" width="9.140625" style="85"/>
    <col min="7403" max="7403" width="17.28515625" style="85" customWidth="1"/>
    <col min="7404" max="7404" width="10.42578125" style="85" bestFit="1" customWidth="1"/>
    <col min="7405" max="7645" width="9.140625" style="85"/>
    <col min="7646" max="7646" width="12.140625" style="85" customWidth="1"/>
    <col min="7647" max="7647" width="13.5703125" style="85" customWidth="1"/>
    <col min="7648" max="7648" width="10.7109375" style="85" customWidth="1"/>
    <col min="7649" max="7650" width="12.140625" style="85" customWidth="1"/>
    <col min="7651" max="7651" width="10" style="85" customWidth="1"/>
    <col min="7652" max="7652" width="10.85546875" style="85" customWidth="1"/>
    <col min="7653" max="7653" width="9.5703125" style="85" customWidth="1"/>
    <col min="7654" max="7654" width="10.140625" style="85" customWidth="1"/>
    <col min="7655" max="7655" width="11.5703125" style="85" customWidth="1"/>
    <col min="7656" max="7656" width="13.42578125" style="85" customWidth="1"/>
    <col min="7657" max="7657" width="15.140625" style="85" customWidth="1"/>
    <col min="7658" max="7658" width="9.140625" style="85"/>
    <col min="7659" max="7659" width="17.28515625" style="85" customWidth="1"/>
    <col min="7660" max="7660" width="10.42578125" style="85" bestFit="1" customWidth="1"/>
    <col min="7661" max="7901" width="9.140625" style="85"/>
    <col min="7902" max="7902" width="12.140625" style="85" customWidth="1"/>
    <col min="7903" max="7903" width="13.5703125" style="85" customWidth="1"/>
    <col min="7904" max="7904" width="10.7109375" style="85" customWidth="1"/>
    <col min="7905" max="7906" width="12.140625" style="85" customWidth="1"/>
    <col min="7907" max="7907" width="10" style="85" customWidth="1"/>
    <col min="7908" max="7908" width="10.85546875" style="85" customWidth="1"/>
    <col min="7909" max="7909" width="9.5703125" style="85" customWidth="1"/>
    <col min="7910" max="7910" width="10.140625" style="85" customWidth="1"/>
    <col min="7911" max="7911" width="11.5703125" style="85" customWidth="1"/>
    <col min="7912" max="7912" width="13.42578125" style="85" customWidth="1"/>
    <col min="7913" max="7913" width="15.140625" style="85" customWidth="1"/>
    <col min="7914" max="7914" width="9.140625" style="85"/>
    <col min="7915" max="7915" width="17.28515625" style="85" customWidth="1"/>
    <col min="7916" max="7916" width="10.42578125" style="85" bestFit="1" customWidth="1"/>
    <col min="7917" max="8157" width="9.140625" style="85"/>
    <col min="8158" max="8158" width="12.140625" style="85" customWidth="1"/>
    <col min="8159" max="8159" width="13.5703125" style="85" customWidth="1"/>
    <col min="8160" max="8160" width="10.7109375" style="85" customWidth="1"/>
    <col min="8161" max="8162" width="12.140625" style="85" customWidth="1"/>
    <col min="8163" max="8163" width="10" style="85" customWidth="1"/>
    <col min="8164" max="8164" width="10.85546875" style="85" customWidth="1"/>
    <col min="8165" max="8165" width="9.5703125" style="85" customWidth="1"/>
    <col min="8166" max="8166" width="10.140625" style="85" customWidth="1"/>
    <col min="8167" max="8167" width="11.5703125" style="85" customWidth="1"/>
    <col min="8168" max="8168" width="13.42578125" style="85" customWidth="1"/>
    <col min="8169" max="8169" width="15.140625" style="85" customWidth="1"/>
    <col min="8170" max="8170" width="9.140625" style="85"/>
    <col min="8171" max="8171" width="17.28515625" style="85" customWidth="1"/>
    <col min="8172" max="8172" width="10.42578125" style="85" bestFit="1" customWidth="1"/>
    <col min="8173" max="8413" width="9.140625" style="85"/>
    <col min="8414" max="8414" width="12.140625" style="85" customWidth="1"/>
    <col min="8415" max="8415" width="13.5703125" style="85" customWidth="1"/>
    <col min="8416" max="8416" width="10.7109375" style="85" customWidth="1"/>
    <col min="8417" max="8418" width="12.140625" style="85" customWidth="1"/>
    <col min="8419" max="8419" width="10" style="85" customWidth="1"/>
    <col min="8420" max="8420" width="10.85546875" style="85" customWidth="1"/>
    <col min="8421" max="8421" width="9.5703125" style="85" customWidth="1"/>
    <col min="8422" max="8422" width="10.140625" style="85" customWidth="1"/>
    <col min="8423" max="8423" width="11.5703125" style="85" customWidth="1"/>
    <col min="8424" max="8424" width="13.42578125" style="85" customWidth="1"/>
    <col min="8425" max="8425" width="15.140625" style="85" customWidth="1"/>
    <col min="8426" max="8426" width="9.140625" style="85"/>
    <col min="8427" max="8427" width="17.28515625" style="85" customWidth="1"/>
    <col min="8428" max="8428" width="10.42578125" style="85" bestFit="1" customWidth="1"/>
    <col min="8429" max="8669" width="9.140625" style="85"/>
    <col min="8670" max="8670" width="12.140625" style="85" customWidth="1"/>
    <col min="8671" max="8671" width="13.5703125" style="85" customWidth="1"/>
    <col min="8672" max="8672" width="10.7109375" style="85" customWidth="1"/>
    <col min="8673" max="8674" width="12.140625" style="85" customWidth="1"/>
    <col min="8675" max="8675" width="10" style="85" customWidth="1"/>
    <col min="8676" max="8676" width="10.85546875" style="85" customWidth="1"/>
    <col min="8677" max="8677" width="9.5703125" style="85" customWidth="1"/>
    <col min="8678" max="8678" width="10.140625" style="85" customWidth="1"/>
    <col min="8679" max="8679" width="11.5703125" style="85" customWidth="1"/>
    <col min="8680" max="8680" width="13.42578125" style="85" customWidth="1"/>
    <col min="8681" max="8681" width="15.140625" style="85" customWidth="1"/>
    <col min="8682" max="8682" width="9.140625" style="85"/>
    <col min="8683" max="8683" width="17.28515625" style="85" customWidth="1"/>
    <col min="8684" max="8684" width="10.42578125" style="85" bestFit="1" customWidth="1"/>
    <col min="8685" max="8925" width="9.140625" style="85"/>
    <col min="8926" max="8926" width="12.140625" style="85" customWidth="1"/>
    <col min="8927" max="8927" width="13.5703125" style="85" customWidth="1"/>
    <col min="8928" max="8928" width="10.7109375" style="85" customWidth="1"/>
    <col min="8929" max="8930" width="12.140625" style="85" customWidth="1"/>
    <col min="8931" max="8931" width="10" style="85" customWidth="1"/>
    <col min="8932" max="8932" width="10.85546875" style="85" customWidth="1"/>
    <col min="8933" max="8933" width="9.5703125" style="85" customWidth="1"/>
    <col min="8934" max="8934" width="10.140625" style="85" customWidth="1"/>
    <col min="8935" max="8935" width="11.5703125" style="85" customWidth="1"/>
    <col min="8936" max="8936" width="13.42578125" style="85" customWidth="1"/>
    <col min="8937" max="8937" width="15.140625" style="85" customWidth="1"/>
    <col min="8938" max="8938" width="9.140625" style="85"/>
    <col min="8939" max="8939" width="17.28515625" style="85" customWidth="1"/>
    <col min="8940" max="8940" width="10.42578125" style="85" bestFit="1" customWidth="1"/>
    <col min="8941" max="9181" width="9.140625" style="85"/>
    <col min="9182" max="9182" width="12.140625" style="85" customWidth="1"/>
    <col min="9183" max="9183" width="13.5703125" style="85" customWidth="1"/>
    <col min="9184" max="9184" width="10.7109375" style="85" customWidth="1"/>
    <col min="9185" max="9186" width="12.140625" style="85" customWidth="1"/>
    <col min="9187" max="9187" width="10" style="85" customWidth="1"/>
    <col min="9188" max="9188" width="10.85546875" style="85" customWidth="1"/>
    <col min="9189" max="9189" width="9.5703125" style="85" customWidth="1"/>
    <col min="9190" max="9190" width="10.140625" style="85" customWidth="1"/>
    <col min="9191" max="9191" width="11.5703125" style="85" customWidth="1"/>
    <col min="9192" max="9192" width="13.42578125" style="85" customWidth="1"/>
    <col min="9193" max="9193" width="15.140625" style="85" customWidth="1"/>
    <col min="9194" max="9194" width="9.140625" style="85"/>
    <col min="9195" max="9195" width="17.28515625" style="85" customWidth="1"/>
    <col min="9196" max="9196" width="10.42578125" style="85" bestFit="1" customWidth="1"/>
    <col min="9197" max="9437" width="9.140625" style="85"/>
    <col min="9438" max="9438" width="12.140625" style="85" customWidth="1"/>
    <col min="9439" max="9439" width="13.5703125" style="85" customWidth="1"/>
    <col min="9440" max="9440" width="10.7109375" style="85" customWidth="1"/>
    <col min="9441" max="9442" width="12.140625" style="85" customWidth="1"/>
    <col min="9443" max="9443" width="10" style="85" customWidth="1"/>
    <col min="9444" max="9444" width="10.85546875" style="85" customWidth="1"/>
    <col min="9445" max="9445" width="9.5703125" style="85" customWidth="1"/>
    <col min="9446" max="9446" width="10.140625" style="85" customWidth="1"/>
    <col min="9447" max="9447" width="11.5703125" style="85" customWidth="1"/>
    <col min="9448" max="9448" width="13.42578125" style="85" customWidth="1"/>
    <col min="9449" max="9449" width="15.140625" style="85" customWidth="1"/>
    <col min="9450" max="9450" width="9.140625" style="85"/>
    <col min="9451" max="9451" width="17.28515625" style="85" customWidth="1"/>
    <col min="9452" max="9452" width="10.42578125" style="85" bestFit="1" customWidth="1"/>
    <col min="9453" max="9693" width="9.140625" style="85"/>
    <col min="9694" max="9694" width="12.140625" style="85" customWidth="1"/>
    <col min="9695" max="9695" width="13.5703125" style="85" customWidth="1"/>
    <col min="9696" max="9696" width="10.7109375" style="85" customWidth="1"/>
    <col min="9697" max="9698" width="12.140625" style="85" customWidth="1"/>
    <col min="9699" max="9699" width="10" style="85" customWidth="1"/>
    <col min="9700" max="9700" width="10.85546875" style="85" customWidth="1"/>
    <col min="9701" max="9701" width="9.5703125" style="85" customWidth="1"/>
    <col min="9702" max="9702" width="10.140625" style="85" customWidth="1"/>
    <col min="9703" max="9703" width="11.5703125" style="85" customWidth="1"/>
    <col min="9704" max="9704" width="13.42578125" style="85" customWidth="1"/>
    <col min="9705" max="9705" width="15.140625" style="85" customWidth="1"/>
    <col min="9706" max="9706" width="9.140625" style="85"/>
    <col min="9707" max="9707" width="17.28515625" style="85" customWidth="1"/>
    <col min="9708" max="9708" width="10.42578125" style="85" bestFit="1" customWidth="1"/>
    <col min="9709" max="9949" width="9.140625" style="85"/>
    <col min="9950" max="9950" width="12.140625" style="85" customWidth="1"/>
    <col min="9951" max="9951" width="13.5703125" style="85" customWidth="1"/>
    <col min="9952" max="9952" width="10.7109375" style="85" customWidth="1"/>
    <col min="9953" max="9954" width="12.140625" style="85" customWidth="1"/>
    <col min="9955" max="9955" width="10" style="85" customWidth="1"/>
    <col min="9956" max="9956" width="10.85546875" style="85" customWidth="1"/>
    <col min="9957" max="9957" width="9.5703125" style="85" customWidth="1"/>
    <col min="9958" max="9958" width="10.140625" style="85" customWidth="1"/>
    <col min="9959" max="9959" width="11.5703125" style="85" customWidth="1"/>
    <col min="9960" max="9960" width="13.42578125" style="85" customWidth="1"/>
    <col min="9961" max="9961" width="15.140625" style="85" customWidth="1"/>
    <col min="9962" max="9962" width="9.140625" style="85"/>
    <col min="9963" max="9963" width="17.28515625" style="85" customWidth="1"/>
    <col min="9964" max="9964" width="10.42578125" style="85" bestFit="1" customWidth="1"/>
    <col min="9965" max="10205" width="9.140625" style="85"/>
    <col min="10206" max="10206" width="12.140625" style="85" customWidth="1"/>
    <col min="10207" max="10207" width="13.5703125" style="85" customWidth="1"/>
    <col min="10208" max="10208" width="10.7109375" style="85" customWidth="1"/>
    <col min="10209" max="10210" width="12.140625" style="85" customWidth="1"/>
    <col min="10211" max="10211" width="10" style="85" customWidth="1"/>
    <col min="10212" max="10212" width="10.85546875" style="85" customWidth="1"/>
    <col min="10213" max="10213" width="9.5703125" style="85" customWidth="1"/>
    <col min="10214" max="10214" width="10.140625" style="85" customWidth="1"/>
    <col min="10215" max="10215" width="11.5703125" style="85" customWidth="1"/>
    <col min="10216" max="10216" width="13.42578125" style="85" customWidth="1"/>
    <col min="10217" max="10217" width="15.140625" style="85" customWidth="1"/>
    <col min="10218" max="10218" width="9.140625" style="85"/>
    <col min="10219" max="10219" width="17.28515625" style="85" customWidth="1"/>
    <col min="10220" max="10220" width="10.42578125" style="85" bestFit="1" customWidth="1"/>
    <col min="10221" max="10461" width="9.140625" style="85"/>
    <col min="10462" max="10462" width="12.140625" style="85" customWidth="1"/>
    <col min="10463" max="10463" width="13.5703125" style="85" customWidth="1"/>
    <col min="10464" max="10464" width="10.7109375" style="85" customWidth="1"/>
    <col min="10465" max="10466" width="12.140625" style="85" customWidth="1"/>
    <col min="10467" max="10467" width="10" style="85" customWidth="1"/>
    <col min="10468" max="10468" width="10.85546875" style="85" customWidth="1"/>
    <col min="10469" max="10469" width="9.5703125" style="85" customWidth="1"/>
    <col min="10470" max="10470" width="10.140625" style="85" customWidth="1"/>
    <col min="10471" max="10471" width="11.5703125" style="85" customWidth="1"/>
    <col min="10472" max="10472" width="13.42578125" style="85" customWidth="1"/>
    <col min="10473" max="10473" width="15.140625" style="85" customWidth="1"/>
    <col min="10474" max="10474" width="9.140625" style="85"/>
    <col min="10475" max="10475" width="17.28515625" style="85" customWidth="1"/>
    <col min="10476" max="10476" width="10.42578125" style="85" bestFit="1" customWidth="1"/>
    <col min="10477" max="10717" width="9.140625" style="85"/>
    <col min="10718" max="10718" width="12.140625" style="85" customWidth="1"/>
    <col min="10719" max="10719" width="13.5703125" style="85" customWidth="1"/>
    <col min="10720" max="10720" width="10.7109375" style="85" customWidth="1"/>
    <col min="10721" max="10722" width="12.140625" style="85" customWidth="1"/>
    <col min="10723" max="10723" width="10" style="85" customWidth="1"/>
    <col min="10724" max="10724" width="10.85546875" style="85" customWidth="1"/>
    <col min="10725" max="10725" width="9.5703125" style="85" customWidth="1"/>
    <col min="10726" max="10726" width="10.140625" style="85" customWidth="1"/>
    <col min="10727" max="10727" width="11.5703125" style="85" customWidth="1"/>
    <col min="10728" max="10728" width="13.42578125" style="85" customWidth="1"/>
    <col min="10729" max="10729" width="15.140625" style="85" customWidth="1"/>
    <col min="10730" max="10730" width="9.140625" style="85"/>
    <col min="10731" max="10731" width="17.28515625" style="85" customWidth="1"/>
    <col min="10732" max="10732" width="10.42578125" style="85" bestFit="1" customWidth="1"/>
    <col min="10733" max="10973" width="9.140625" style="85"/>
    <col min="10974" max="10974" width="12.140625" style="85" customWidth="1"/>
    <col min="10975" max="10975" width="13.5703125" style="85" customWidth="1"/>
    <col min="10976" max="10976" width="10.7109375" style="85" customWidth="1"/>
    <col min="10977" max="10978" width="12.140625" style="85" customWidth="1"/>
    <col min="10979" max="10979" width="10" style="85" customWidth="1"/>
    <col min="10980" max="10980" width="10.85546875" style="85" customWidth="1"/>
    <col min="10981" max="10981" width="9.5703125" style="85" customWidth="1"/>
    <col min="10982" max="10982" width="10.140625" style="85" customWidth="1"/>
    <col min="10983" max="10983" width="11.5703125" style="85" customWidth="1"/>
    <col min="10984" max="10984" width="13.42578125" style="85" customWidth="1"/>
    <col min="10985" max="10985" width="15.140625" style="85" customWidth="1"/>
    <col min="10986" max="10986" width="9.140625" style="85"/>
    <col min="10987" max="10987" width="17.28515625" style="85" customWidth="1"/>
    <col min="10988" max="10988" width="10.42578125" style="85" bestFit="1" customWidth="1"/>
    <col min="10989" max="11229" width="9.140625" style="85"/>
    <col min="11230" max="11230" width="12.140625" style="85" customWidth="1"/>
    <col min="11231" max="11231" width="13.5703125" style="85" customWidth="1"/>
    <col min="11232" max="11232" width="10.7109375" style="85" customWidth="1"/>
    <col min="11233" max="11234" width="12.140625" style="85" customWidth="1"/>
    <col min="11235" max="11235" width="10" style="85" customWidth="1"/>
    <col min="11236" max="11236" width="10.85546875" style="85" customWidth="1"/>
    <col min="11237" max="11237" width="9.5703125" style="85" customWidth="1"/>
    <col min="11238" max="11238" width="10.140625" style="85" customWidth="1"/>
    <col min="11239" max="11239" width="11.5703125" style="85" customWidth="1"/>
    <col min="11240" max="11240" width="13.42578125" style="85" customWidth="1"/>
    <col min="11241" max="11241" width="15.140625" style="85" customWidth="1"/>
    <col min="11242" max="11242" width="9.140625" style="85"/>
    <col min="11243" max="11243" width="17.28515625" style="85" customWidth="1"/>
    <col min="11244" max="11244" width="10.42578125" style="85" bestFit="1" customWidth="1"/>
    <col min="11245" max="11485" width="9.140625" style="85"/>
    <col min="11486" max="11486" width="12.140625" style="85" customWidth="1"/>
    <col min="11487" max="11487" width="13.5703125" style="85" customWidth="1"/>
    <col min="11488" max="11488" width="10.7109375" style="85" customWidth="1"/>
    <col min="11489" max="11490" width="12.140625" style="85" customWidth="1"/>
    <col min="11491" max="11491" width="10" style="85" customWidth="1"/>
    <col min="11492" max="11492" width="10.85546875" style="85" customWidth="1"/>
    <col min="11493" max="11493" width="9.5703125" style="85" customWidth="1"/>
    <col min="11494" max="11494" width="10.140625" style="85" customWidth="1"/>
    <col min="11495" max="11495" width="11.5703125" style="85" customWidth="1"/>
    <col min="11496" max="11496" width="13.42578125" style="85" customWidth="1"/>
    <col min="11497" max="11497" width="15.140625" style="85" customWidth="1"/>
    <col min="11498" max="11498" width="9.140625" style="85"/>
    <col min="11499" max="11499" width="17.28515625" style="85" customWidth="1"/>
    <col min="11500" max="11500" width="10.42578125" style="85" bestFit="1" customWidth="1"/>
    <col min="11501" max="11741" width="9.140625" style="85"/>
    <col min="11742" max="11742" width="12.140625" style="85" customWidth="1"/>
    <col min="11743" max="11743" width="13.5703125" style="85" customWidth="1"/>
    <col min="11744" max="11744" width="10.7109375" style="85" customWidth="1"/>
    <col min="11745" max="11746" width="12.140625" style="85" customWidth="1"/>
    <col min="11747" max="11747" width="10" style="85" customWidth="1"/>
    <col min="11748" max="11748" width="10.85546875" style="85" customWidth="1"/>
    <col min="11749" max="11749" width="9.5703125" style="85" customWidth="1"/>
    <col min="11750" max="11750" width="10.140625" style="85" customWidth="1"/>
    <col min="11751" max="11751" width="11.5703125" style="85" customWidth="1"/>
    <col min="11752" max="11752" width="13.42578125" style="85" customWidth="1"/>
    <col min="11753" max="11753" width="15.140625" style="85" customWidth="1"/>
    <col min="11754" max="11754" width="9.140625" style="85"/>
    <col min="11755" max="11755" width="17.28515625" style="85" customWidth="1"/>
    <col min="11756" max="11756" width="10.42578125" style="85" bestFit="1" customWidth="1"/>
    <col min="11757" max="11997" width="9.140625" style="85"/>
    <col min="11998" max="11998" width="12.140625" style="85" customWidth="1"/>
    <col min="11999" max="11999" width="13.5703125" style="85" customWidth="1"/>
    <col min="12000" max="12000" width="10.7109375" style="85" customWidth="1"/>
    <col min="12001" max="12002" width="12.140625" style="85" customWidth="1"/>
    <col min="12003" max="12003" width="10" style="85" customWidth="1"/>
    <col min="12004" max="12004" width="10.85546875" style="85" customWidth="1"/>
    <col min="12005" max="12005" width="9.5703125" style="85" customWidth="1"/>
    <col min="12006" max="12006" width="10.140625" style="85" customWidth="1"/>
    <col min="12007" max="12007" width="11.5703125" style="85" customWidth="1"/>
    <col min="12008" max="12008" width="13.42578125" style="85" customWidth="1"/>
    <col min="12009" max="12009" width="15.140625" style="85" customWidth="1"/>
    <col min="12010" max="12010" width="9.140625" style="85"/>
    <col min="12011" max="12011" width="17.28515625" style="85" customWidth="1"/>
    <col min="12012" max="12012" width="10.42578125" style="85" bestFit="1" customWidth="1"/>
    <col min="12013" max="12253" width="9.140625" style="85"/>
    <col min="12254" max="12254" width="12.140625" style="85" customWidth="1"/>
    <col min="12255" max="12255" width="13.5703125" style="85" customWidth="1"/>
    <col min="12256" max="12256" width="10.7109375" style="85" customWidth="1"/>
    <col min="12257" max="12258" width="12.140625" style="85" customWidth="1"/>
    <col min="12259" max="12259" width="10" style="85" customWidth="1"/>
    <col min="12260" max="12260" width="10.85546875" style="85" customWidth="1"/>
    <col min="12261" max="12261" width="9.5703125" style="85" customWidth="1"/>
    <col min="12262" max="12262" width="10.140625" style="85" customWidth="1"/>
    <col min="12263" max="12263" width="11.5703125" style="85" customWidth="1"/>
    <col min="12264" max="12264" width="13.42578125" style="85" customWidth="1"/>
    <col min="12265" max="12265" width="15.140625" style="85" customWidth="1"/>
    <col min="12266" max="12266" width="9.140625" style="85"/>
    <col min="12267" max="12267" width="17.28515625" style="85" customWidth="1"/>
    <col min="12268" max="12268" width="10.42578125" style="85" bestFit="1" customWidth="1"/>
    <col min="12269" max="12509" width="9.140625" style="85"/>
    <col min="12510" max="12510" width="12.140625" style="85" customWidth="1"/>
    <col min="12511" max="12511" width="13.5703125" style="85" customWidth="1"/>
    <col min="12512" max="12512" width="10.7109375" style="85" customWidth="1"/>
    <col min="12513" max="12514" width="12.140625" style="85" customWidth="1"/>
    <col min="12515" max="12515" width="10" style="85" customWidth="1"/>
    <col min="12516" max="12516" width="10.85546875" style="85" customWidth="1"/>
    <col min="12517" max="12517" width="9.5703125" style="85" customWidth="1"/>
    <col min="12518" max="12518" width="10.140625" style="85" customWidth="1"/>
    <col min="12519" max="12519" width="11.5703125" style="85" customWidth="1"/>
    <col min="12520" max="12520" width="13.42578125" style="85" customWidth="1"/>
    <col min="12521" max="12521" width="15.140625" style="85" customWidth="1"/>
    <col min="12522" max="12522" width="9.140625" style="85"/>
    <col min="12523" max="12523" width="17.28515625" style="85" customWidth="1"/>
    <col min="12524" max="12524" width="10.42578125" style="85" bestFit="1" customWidth="1"/>
    <col min="12525" max="12765" width="9.140625" style="85"/>
    <col min="12766" max="12766" width="12.140625" style="85" customWidth="1"/>
    <col min="12767" max="12767" width="13.5703125" style="85" customWidth="1"/>
    <col min="12768" max="12768" width="10.7109375" style="85" customWidth="1"/>
    <col min="12769" max="12770" width="12.140625" style="85" customWidth="1"/>
    <col min="12771" max="12771" width="10" style="85" customWidth="1"/>
    <col min="12772" max="12772" width="10.85546875" style="85" customWidth="1"/>
    <col min="12773" max="12773" width="9.5703125" style="85" customWidth="1"/>
    <col min="12774" max="12774" width="10.140625" style="85" customWidth="1"/>
    <col min="12775" max="12775" width="11.5703125" style="85" customWidth="1"/>
    <col min="12776" max="12776" width="13.42578125" style="85" customWidth="1"/>
    <col min="12777" max="12777" width="15.140625" style="85" customWidth="1"/>
    <col min="12778" max="12778" width="9.140625" style="85"/>
    <col min="12779" max="12779" width="17.28515625" style="85" customWidth="1"/>
    <col min="12780" max="12780" width="10.42578125" style="85" bestFit="1" customWidth="1"/>
    <col min="12781" max="13021" width="9.140625" style="85"/>
    <col min="13022" max="13022" width="12.140625" style="85" customWidth="1"/>
    <col min="13023" max="13023" width="13.5703125" style="85" customWidth="1"/>
    <col min="13024" max="13024" width="10.7109375" style="85" customWidth="1"/>
    <col min="13025" max="13026" width="12.140625" style="85" customWidth="1"/>
    <col min="13027" max="13027" width="10" style="85" customWidth="1"/>
    <col min="13028" max="13028" width="10.85546875" style="85" customWidth="1"/>
    <col min="13029" max="13029" width="9.5703125" style="85" customWidth="1"/>
    <col min="13030" max="13030" width="10.140625" style="85" customWidth="1"/>
    <col min="13031" max="13031" width="11.5703125" style="85" customWidth="1"/>
    <col min="13032" max="13032" width="13.42578125" style="85" customWidth="1"/>
    <col min="13033" max="13033" width="15.140625" style="85" customWidth="1"/>
    <col min="13034" max="13034" width="9.140625" style="85"/>
    <col min="13035" max="13035" width="17.28515625" style="85" customWidth="1"/>
    <col min="13036" max="13036" width="10.42578125" style="85" bestFit="1" customWidth="1"/>
    <col min="13037" max="13277" width="9.140625" style="85"/>
    <col min="13278" max="13278" width="12.140625" style="85" customWidth="1"/>
    <col min="13279" max="13279" width="13.5703125" style="85" customWidth="1"/>
    <col min="13280" max="13280" width="10.7109375" style="85" customWidth="1"/>
    <col min="13281" max="13282" width="12.140625" style="85" customWidth="1"/>
    <col min="13283" max="13283" width="10" style="85" customWidth="1"/>
    <col min="13284" max="13284" width="10.85546875" style="85" customWidth="1"/>
    <col min="13285" max="13285" width="9.5703125" style="85" customWidth="1"/>
    <col min="13286" max="13286" width="10.140625" style="85" customWidth="1"/>
    <col min="13287" max="13287" width="11.5703125" style="85" customWidth="1"/>
    <col min="13288" max="13288" width="13.42578125" style="85" customWidth="1"/>
    <col min="13289" max="13289" width="15.140625" style="85" customWidth="1"/>
    <col min="13290" max="13290" width="9.140625" style="85"/>
    <col min="13291" max="13291" width="17.28515625" style="85" customWidth="1"/>
    <col min="13292" max="13292" width="10.42578125" style="85" bestFit="1" customWidth="1"/>
    <col min="13293" max="13533" width="9.140625" style="85"/>
    <col min="13534" max="13534" width="12.140625" style="85" customWidth="1"/>
    <col min="13535" max="13535" width="13.5703125" style="85" customWidth="1"/>
    <col min="13536" max="13536" width="10.7109375" style="85" customWidth="1"/>
    <col min="13537" max="13538" width="12.140625" style="85" customWidth="1"/>
    <col min="13539" max="13539" width="10" style="85" customWidth="1"/>
    <col min="13540" max="13540" width="10.85546875" style="85" customWidth="1"/>
    <col min="13541" max="13541" width="9.5703125" style="85" customWidth="1"/>
    <col min="13542" max="13542" width="10.140625" style="85" customWidth="1"/>
    <col min="13543" max="13543" width="11.5703125" style="85" customWidth="1"/>
    <col min="13544" max="13544" width="13.42578125" style="85" customWidth="1"/>
    <col min="13545" max="13545" width="15.140625" style="85" customWidth="1"/>
    <col min="13546" max="13546" width="9.140625" style="85"/>
    <col min="13547" max="13547" width="17.28515625" style="85" customWidth="1"/>
    <col min="13548" max="13548" width="10.42578125" style="85" bestFit="1" customWidth="1"/>
    <col min="13549" max="13789" width="9.140625" style="85"/>
    <col min="13790" max="13790" width="12.140625" style="85" customWidth="1"/>
    <col min="13791" max="13791" width="13.5703125" style="85" customWidth="1"/>
    <col min="13792" max="13792" width="10.7109375" style="85" customWidth="1"/>
    <col min="13793" max="13794" width="12.140625" style="85" customWidth="1"/>
    <col min="13795" max="13795" width="10" style="85" customWidth="1"/>
    <col min="13796" max="13796" width="10.85546875" style="85" customWidth="1"/>
    <col min="13797" max="13797" width="9.5703125" style="85" customWidth="1"/>
    <col min="13798" max="13798" width="10.140625" style="85" customWidth="1"/>
    <col min="13799" max="13799" width="11.5703125" style="85" customWidth="1"/>
    <col min="13800" max="13800" width="13.42578125" style="85" customWidth="1"/>
    <col min="13801" max="13801" width="15.140625" style="85" customWidth="1"/>
    <col min="13802" max="13802" width="9.140625" style="85"/>
    <col min="13803" max="13803" width="17.28515625" style="85" customWidth="1"/>
    <col min="13804" max="13804" width="10.42578125" style="85" bestFit="1" customWidth="1"/>
    <col min="13805" max="14045" width="9.140625" style="85"/>
    <col min="14046" max="14046" width="12.140625" style="85" customWidth="1"/>
    <col min="14047" max="14047" width="13.5703125" style="85" customWidth="1"/>
    <col min="14048" max="14048" width="10.7109375" style="85" customWidth="1"/>
    <col min="14049" max="14050" width="12.140625" style="85" customWidth="1"/>
    <col min="14051" max="14051" width="10" style="85" customWidth="1"/>
    <col min="14052" max="14052" width="10.85546875" style="85" customWidth="1"/>
    <col min="14053" max="14053" width="9.5703125" style="85" customWidth="1"/>
    <col min="14054" max="14054" width="10.140625" style="85" customWidth="1"/>
    <col min="14055" max="14055" width="11.5703125" style="85" customWidth="1"/>
    <col min="14056" max="14056" width="13.42578125" style="85" customWidth="1"/>
    <col min="14057" max="14057" width="15.140625" style="85" customWidth="1"/>
    <col min="14058" max="14058" width="9.140625" style="85"/>
    <col min="14059" max="14059" width="17.28515625" style="85" customWidth="1"/>
    <col min="14060" max="14060" width="10.42578125" style="85" bestFit="1" customWidth="1"/>
    <col min="14061" max="14301" width="9.140625" style="85"/>
    <col min="14302" max="14302" width="12.140625" style="85" customWidth="1"/>
    <col min="14303" max="14303" width="13.5703125" style="85" customWidth="1"/>
    <col min="14304" max="14304" width="10.7109375" style="85" customWidth="1"/>
    <col min="14305" max="14306" width="12.140625" style="85" customWidth="1"/>
    <col min="14307" max="14307" width="10" style="85" customWidth="1"/>
    <col min="14308" max="14308" width="10.85546875" style="85" customWidth="1"/>
    <col min="14309" max="14309" width="9.5703125" style="85" customWidth="1"/>
    <col min="14310" max="14310" width="10.140625" style="85" customWidth="1"/>
    <col min="14311" max="14311" width="11.5703125" style="85" customWidth="1"/>
    <col min="14312" max="14312" width="13.42578125" style="85" customWidth="1"/>
    <col min="14313" max="14313" width="15.140625" style="85" customWidth="1"/>
    <col min="14314" max="14314" width="9.140625" style="85"/>
    <col min="14315" max="14315" width="17.28515625" style="85" customWidth="1"/>
    <col min="14316" max="14316" width="10.42578125" style="85" bestFit="1" customWidth="1"/>
    <col min="14317" max="14557" width="9.140625" style="85"/>
    <col min="14558" max="14558" width="12.140625" style="85" customWidth="1"/>
    <col min="14559" max="14559" width="13.5703125" style="85" customWidth="1"/>
    <col min="14560" max="14560" width="10.7109375" style="85" customWidth="1"/>
    <col min="14561" max="14562" width="12.140625" style="85" customWidth="1"/>
    <col min="14563" max="14563" width="10" style="85" customWidth="1"/>
    <col min="14564" max="14564" width="10.85546875" style="85" customWidth="1"/>
    <col min="14565" max="14565" width="9.5703125" style="85" customWidth="1"/>
    <col min="14566" max="14566" width="10.140625" style="85" customWidth="1"/>
    <col min="14567" max="14567" width="11.5703125" style="85" customWidth="1"/>
    <col min="14568" max="14568" width="13.42578125" style="85" customWidth="1"/>
    <col min="14569" max="14569" width="15.140625" style="85" customWidth="1"/>
    <col min="14570" max="14570" width="9.140625" style="85"/>
    <col min="14571" max="14571" width="17.28515625" style="85" customWidth="1"/>
    <col min="14572" max="14572" width="10.42578125" style="85" bestFit="1" customWidth="1"/>
    <col min="14573" max="14813" width="9.140625" style="85"/>
    <col min="14814" max="14814" width="12.140625" style="85" customWidth="1"/>
    <col min="14815" max="14815" width="13.5703125" style="85" customWidth="1"/>
    <col min="14816" max="14816" width="10.7109375" style="85" customWidth="1"/>
    <col min="14817" max="14818" width="12.140625" style="85" customWidth="1"/>
    <col min="14819" max="14819" width="10" style="85" customWidth="1"/>
    <col min="14820" max="14820" width="10.85546875" style="85" customWidth="1"/>
    <col min="14821" max="14821" width="9.5703125" style="85" customWidth="1"/>
    <col min="14822" max="14822" width="10.140625" style="85" customWidth="1"/>
    <col min="14823" max="14823" width="11.5703125" style="85" customWidth="1"/>
    <col min="14824" max="14824" width="13.42578125" style="85" customWidth="1"/>
    <col min="14825" max="14825" width="15.140625" style="85" customWidth="1"/>
    <col min="14826" max="14826" width="9.140625" style="85"/>
    <col min="14827" max="14827" width="17.28515625" style="85" customWidth="1"/>
    <col min="14828" max="14828" width="10.42578125" style="85" bestFit="1" customWidth="1"/>
    <col min="14829" max="15069" width="9.140625" style="85"/>
    <col min="15070" max="15070" width="12.140625" style="85" customWidth="1"/>
    <col min="15071" max="15071" width="13.5703125" style="85" customWidth="1"/>
    <col min="15072" max="15072" width="10.7109375" style="85" customWidth="1"/>
    <col min="15073" max="15074" width="12.140625" style="85" customWidth="1"/>
    <col min="15075" max="15075" width="10" style="85" customWidth="1"/>
    <col min="15076" max="15076" width="10.85546875" style="85" customWidth="1"/>
    <col min="15077" max="15077" width="9.5703125" style="85" customWidth="1"/>
    <col min="15078" max="15078" width="10.140625" style="85" customWidth="1"/>
    <col min="15079" max="15079" width="11.5703125" style="85" customWidth="1"/>
    <col min="15080" max="15080" width="13.42578125" style="85" customWidth="1"/>
    <col min="15081" max="15081" width="15.140625" style="85" customWidth="1"/>
    <col min="15082" max="15082" width="9.140625" style="85"/>
    <col min="15083" max="15083" width="17.28515625" style="85" customWidth="1"/>
    <col min="15084" max="15084" width="10.42578125" style="85" bestFit="1" customWidth="1"/>
    <col min="15085" max="15325" width="9.140625" style="85"/>
    <col min="15326" max="15326" width="12.140625" style="85" customWidth="1"/>
    <col min="15327" max="15327" width="13.5703125" style="85" customWidth="1"/>
    <col min="15328" max="15328" width="10.7109375" style="85" customWidth="1"/>
    <col min="15329" max="15330" width="12.140625" style="85" customWidth="1"/>
    <col min="15331" max="15331" width="10" style="85" customWidth="1"/>
    <col min="15332" max="15332" width="10.85546875" style="85" customWidth="1"/>
    <col min="15333" max="15333" width="9.5703125" style="85" customWidth="1"/>
    <col min="15334" max="15334" width="10.140625" style="85" customWidth="1"/>
    <col min="15335" max="15335" width="11.5703125" style="85" customWidth="1"/>
    <col min="15336" max="15336" width="13.42578125" style="85" customWidth="1"/>
    <col min="15337" max="15337" width="15.140625" style="85" customWidth="1"/>
    <col min="15338" max="15338" width="9.140625" style="85"/>
    <col min="15339" max="15339" width="17.28515625" style="85" customWidth="1"/>
    <col min="15340" max="15340" width="10.42578125" style="85" bestFit="1" customWidth="1"/>
    <col min="15341" max="15581" width="9.140625" style="85"/>
    <col min="15582" max="15582" width="12.140625" style="85" customWidth="1"/>
    <col min="15583" max="15583" width="13.5703125" style="85" customWidth="1"/>
    <col min="15584" max="15584" width="10.7109375" style="85" customWidth="1"/>
    <col min="15585" max="15586" width="12.140625" style="85" customWidth="1"/>
    <col min="15587" max="15587" width="10" style="85" customWidth="1"/>
    <col min="15588" max="15588" width="10.85546875" style="85" customWidth="1"/>
    <col min="15589" max="15589" width="9.5703125" style="85" customWidth="1"/>
    <col min="15590" max="15590" width="10.140625" style="85" customWidth="1"/>
    <col min="15591" max="15591" width="11.5703125" style="85" customWidth="1"/>
    <col min="15592" max="15592" width="13.42578125" style="85" customWidth="1"/>
    <col min="15593" max="15593" width="15.140625" style="85" customWidth="1"/>
    <col min="15594" max="15594" width="9.140625" style="85"/>
    <col min="15595" max="15595" width="17.28515625" style="85" customWidth="1"/>
    <col min="15596" max="15596" width="10.42578125" style="85" bestFit="1" customWidth="1"/>
    <col min="15597" max="15837" width="9.140625" style="85"/>
    <col min="15838" max="15838" width="12.140625" style="85" customWidth="1"/>
    <col min="15839" max="15839" width="13.5703125" style="85" customWidth="1"/>
    <col min="15840" max="15840" width="10.7109375" style="85" customWidth="1"/>
    <col min="15841" max="15842" width="12.140625" style="85" customWidth="1"/>
    <col min="15843" max="15843" width="10" style="85" customWidth="1"/>
    <col min="15844" max="15844" width="10.85546875" style="85" customWidth="1"/>
    <col min="15845" max="15845" width="9.5703125" style="85" customWidth="1"/>
    <col min="15846" max="15846" width="10.140625" style="85" customWidth="1"/>
    <col min="15847" max="15847" width="11.5703125" style="85" customWidth="1"/>
    <col min="15848" max="15848" width="13.42578125" style="85" customWidth="1"/>
    <col min="15849" max="15849" width="15.140625" style="85" customWidth="1"/>
    <col min="15850" max="15850" width="9.140625" style="85"/>
    <col min="15851" max="15851" width="17.28515625" style="85" customWidth="1"/>
    <col min="15852" max="15852" width="10.42578125" style="85" bestFit="1" customWidth="1"/>
    <col min="15853" max="16093" width="9.140625" style="85"/>
    <col min="16094" max="16094" width="12.140625" style="85" customWidth="1"/>
    <col min="16095" max="16095" width="13.5703125" style="85" customWidth="1"/>
    <col min="16096" max="16096" width="10.7109375" style="85" customWidth="1"/>
    <col min="16097" max="16098" width="12.140625" style="85" customWidth="1"/>
    <col min="16099" max="16099" width="10" style="85" customWidth="1"/>
    <col min="16100" max="16100" width="10.85546875" style="85" customWidth="1"/>
    <col min="16101" max="16101" width="9.5703125" style="85" customWidth="1"/>
    <col min="16102" max="16102" width="10.140625" style="85" customWidth="1"/>
    <col min="16103" max="16103" width="11.5703125" style="85" customWidth="1"/>
    <col min="16104" max="16104" width="13.42578125" style="85" customWidth="1"/>
    <col min="16105" max="16105" width="15.140625" style="85" customWidth="1"/>
    <col min="16106" max="16106" width="9.140625" style="85"/>
    <col min="16107" max="16107" width="17.28515625" style="85" customWidth="1"/>
    <col min="16108" max="16108" width="10.42578125" style="85" bestFit="1" customWidth="1"/>
    <col min="16109" max="16384" width="9.140625" style="85"/>
  </cols>
  <sheetData>
    <row r="1" spans="1:22" x14ac:dyDescent="0.2">
      <c r="A1" s="92"/>
      <c r="C1" s="93"/>
      <c r="D1" s="93"/>
      <c r="E1" s="94"/>
      <c r="F1" s="93"/>
      <c r="G1" s="93"/>
      <c r="H1" s="93"/>
      <c r="I1" s="94"/>
      <c r="J1" s="94"/>
      <c r="K1" s="94"/>
    </row>
    <row r="2" spans="1:22" x14ac:dyDescent="0.2">
      <c r="A2" s="86"/>
      <c r="C2" s="93"/>
      <c r="D2" s="93"/>
      <c r="E2" s="93"/>
      <c r="F2" s="93"/>
      <c r="G2" s="93"/>
      <c r="H2" s="93"/>
      <c r="I2" s="93"/>
      <c r="J2" s="93"/>
      <c r="K2" s="93"/>
    </row>
    <row r="4" spans="1:22" x14ac:dyDescent="0.2">
      <c r="A4" s="92" t="s">
        <v>77</v>
      </c>
      <c r="C4" s="93"/>
      <c r="D4" s="93"/>
      <c r="E4" s="94"/>
      <c r="F4" s="93"/>
      <c r="G4" s="93"/>
      <c r="H4" s="93"/>
      <c r="J4" s="94"/>
      <c r="K4" s="94"/>
      <c r="L4" s="94"/>
    </row>
    <row r="5" spans="1:22" x14ac:dyDescent="0.2">
      <c r="A5" s="86"/>
      <c r="C5" s="93"/>
      <c r="D5" s="93"/>
      <c r="E5" s="93"/>
      <c r="F5" s="93"/>
      <c r="G5" s="93"/>
      <c r="H5" s="93"/>
      <c r="J5" s="93"/>
      <c r="K5" s="93"/>
      <c r="L5" s="93"/>
    </row>
    <row r="6" spans="1:22" x14ac:dyDescent="0.2">
      <c r="A6" s="93"/>
      <c r="B6" s="95" t="s">
        <v>78</v>
      </c>
      <c r="C6" s="95" t="s">
        <v>79</v>
      </c>
      <c r="D6" s="95" t="s">
        <v>24</v>
      </c>
      <c r="E6" s="95" t="s">
        <v>80</v>
      </c>
      <c r="F6" s="95" t="s">
        <v>23</v>
      </c>
      <c r="G6" s="95" t="s">
        <v>16</v>
      </c>
      <c r="H6" s="95" t="s">
        <v>1</v>
      </c>
      <c r="I6" s="95" t="s">
        <v>81</v>
      </c>
      <c r="J6" s="95" t="s">
        <v>82</v>
      </c>
      <c r="K6" s="96" t="s">
        <v>83</v>
      </c>
    </row>
    <row r="7" spans="1:22" x14ac:dyDescent="0.2">
      <c r="A7" s="97">
        <v>42887</v>
      </c>
      <c r="B7" s="98">
        <v>94.93</v>
      </c>
      <c r="C7" s="98"/>
      <c r="D7" s="98">
        <v>180.67</v>
      </c>
      <c r="E7" s="98">
        <v>1208.28</v>
      </c>
      <c r="F7" s="98">
        <v>106.18</v>
      </c>
      <c r="G7" s="98">
        <v>-53.34</v>
      </c>
      <c r="H7" s="98">
        <v>185.89</v>
      </c>
      <c r="I7" s="98">
        <v>554</v>
      </c>
      <c r="J7" s="98">
        <v>274</v>
      </c>
      <c r="K7" s="98">
        <v>-93.6</v>
      </c>
      <c r="M7" s="98"/>
      <c r="N7" s="98"/>
      <c r="O7" s="98"/>
      <c r="P7" s="98"/>
      <c r="Q7" s="98"/>
      <c r="R7" s="98"/>
      <c r="S7" s="98"/>
      <c r="T7" s="98"/>
      <c r="U7" s="98"/>
      <c r="V7" s="98"/>
    </row>
    <row r="8" spans="1:22" x14ac:dyDescent="0.2">
      <c r="A8" s="97">
        <v>42917</v>
      </c>
      <c r="B8" s="98">
        <v>107.79</v>
      </c>
      <c r="C8" s="98"/>
      <c r="D8" s="98">
        <v>185.8</v>
      </c>
      <c r="E8" s="98">
        <v>1254.32</v>
      </c>
      <c r="F8" s="98">
        <v>105.96</v>
      </c>
      <c r="G8" s="98">
        <v>-53.34</v>
      </c>
      <c r="H8" s="98">
        <v>171</v>
      </c>
      <c r="I8" s="98">
        <v>528.14</v>
      </c>
      <c r="J8" s="98">
        <v>284</v>
      </c>
      <c r="K8" s="98">
        <v>-93.6</v>
      </c>
      <c r="M8" s="98"/>
      <c r="N8" s="98"/>
      <c r="O8" s="98"/>
      <c r="P8" s="98"/>
      <c r="Q8" s="98"/>
      <c r="R8" s="98"/>
      <c r="S8" s="98"/>
      <c r="T8" s="98"/>
      <c r="U8" s="98"/>
      <c r="V8" s="98"/>
    </row>
    <row r="9" spans="1:22" x14ac:dyDescent="0.2">
      <c r="A9" s="97">
        <v>42948</v>
      </c>
      <c r="B9" s="98">
        <v>98.41</v>
      </c>
      <c r="C9" s="98"/>
      <c r="D9" s="98">
        <v>175.98</v>
      </c>
      <c r="E9" s="98">
        <v>1335.85</v>
      </c>
      <c r="F9" s="98">
        <v>123.37</v>
      </c>
      <c r="G9" s="98">
        <v>-53.34</v>
      </c>
      <c r="H9" s="98">
        <v>214.2</v>
      </c>
      <c r="I9" s="98">
        <v>464</v>
      </c>
      <c r="J9" s="98">
        <v>324</v>
      </c>
      <c r="K9" s="98">
        <v>-93.6</v>
      </c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22" x14ac:dyDescent="0.2">
      <c r="A10" s="97">
        <v>42979</v>
      </c>
      <c r="B10" s="98">
        <v>73.209999999999994</v>
      </c>
      <c r="C10" s="98"/>
      <c r="D10" s="98">
        <v>145.01</v>
      </c>
      <c r="E10" s="98">
        <v>1340.4</v>
      </c>
      <c r="F10" s="98">
        <v>145.97999999999999</v>
      </c>
      <c r="G10" s="98">
        <v>-53.34</v>
      </c>
      <c r="H10" s="98">
        <v>124.69</v>
      </c>
      <c r="I10" s="98">
        <v>457</v>
      </c>
      <c r="J10" s="98">
        <v>296</v>
      </c>
      <c r="K10" s="98">
        <v>-93.6</v>
      </c>
      <c r="M10" s="98"/>
      <c r="N10" s="98"/>
      <c r="O10" s="98"/>
      <c r="P10" s="98"/>
      <c r="Q10" s="98"/>
      <c r="R10" s="98"/>
      <c r="S10" s="98"/>
      <c r="T10" s="98"/>
      <c r="U10" s="98"/>
      <c r="V10" s="98"/>
    </row>
    <row r="11" spans="1:22" x14ac:dyDescent="0.2">
      <c r="A11" s="97">
        <v>43009</v>
      </c>
      <c r="B11" s="98">
        <v>56.47</v>
      </c>
      <c r="C11" s="98"/>
      <c r="D11" s="98">
        <v>81.02</v>
      </c>
      <c r="E11" s="98">
        <v>1321.56</v>
      </c>
      <c r="F11" s="98">
        <v>130.02000000000001</v>
      </c>
      <c r="G11" s="98">
        <v>-53.34</v>
      </c>
      <c r="H11" s="98">
        <v>102.17</v>
      </c>
      <c r="I11" s="98">
        <v>544.20000000000005</v>
      </c>
      <c r="J11" s="98">
        <v>304</v>
      </c>
      <c r="K11" s="98">
        <v>-131</v>
      </c>
      <c r="M11" s="98"/>
      <c r="N11" s="98"/>
      <c r="O11" s="98"/>
      <c r="P11" s="98"/>
      <c r="Q11" s="98"/>
      <c r="R11" s="98"/>
      <c r="S11" s="98"/>
      <c r="T11" s="98"/>
      <c r="U11" s="98"/>
      <c r="V11" s="98"/>
    </row>
    <row r="12" spans="1:22" x14ac:dyDescent="0.2">
      <c r="A12" s="97">
        <v>43040</v>
      </c>
      <c r="B12" s="98">
        <v>75.239999999999995</v>
      </c>
      <c r="C12" s="98"/>
      <c r="D12" s="98">
        <v>130.77000000000001</v>
      </c>
      <c r="E12" s="98">
        <v>1385.33</v>
      </c>
      <c r="F12" s="98">
        <v>131.05000000000001</v>
      </c>
      <c r="G12" s="98">
        <v>-53.34</v>
      </c>
      <c r="H12" s="98">
        <v>96.94</v>
      </c>
      <c r="I12" s="98">
        <v>544.20000000000005</v>
      </c>
      <c r="J12" s="98">
        <v>359</v>
      </c>
      <c r="K12" s="98">
        <v>-131</v>
      </c>
      <c r="M12" s="98"/>
      <c r="N12" s="98"/>
      <c r="O12" s="98"/>
      <c r="P12" s="98"/>
      <c r="Q12" s="98"/>
      <c r="R12" s="98"/>
      <c r="S12" s="98"/>
      <c r="T12" s="98"/>
      <c r="U12" s="98"/>
      <c r="V12" s="98"/>
    </row>
    <row r="13" spans="1:22" x14ac:dyDescent="0.2">
      <c r="A13" s="97">
        <v>43070</v>
      </c>
      <c r="B13" s="98">
        <v>79.180000000000007</v>
      </c>
      <c r="C13" s="98"/>
      <c r="D13" s="98">
        <v>128.43</v>
      </c>
      <c r="E13" s="98">
        <v>1347.37</v>
      </c>
      <c r="F13" s="98">
        <v>143.63</v>
      </c>
      <c r="G13" s="98">
        <v>-53.34</v>
      </c>
      <c r="H13" s="98">
        <v>79.06</v>
      </c>
      <c r="I13" s="98">
        <v>544</v>
      </c>
      <c r="J13" s="98">
        <v>314</v>
      </c>
      <c r="K13" s="98">
        <v>-131</v>
      </c>
      <c r="M13" s="98"/>
      <c r="N13" s="98"/>
      <c r="O13" s="98"/>
      <c r="P13" s="98"/>
      <c r="Q13" s="98"/>
      <c r="R13" s="98"/>
      <c r="S13" s="98"/>
      <c r="T13" s="98"/>
      <c r="U13" s="98"/>
      <c r="V13" s="98"/>
    </row>
    <row r="14" spans="1:22" x14ac:dyDescent="0.2">
      <c r="A14" s="97">
        <v>43101</v>
      </c>
      <c r="B14" s="98">
        <v>74.02</v>
      </c>
      <c r="C14" s="98">
        <v>-28</v>
      </c>
      <c r="D14" s="98">
        <v>127.9</v>
      </c>
      <c r="E14" s="98">
        <v>1424.1</v>
      </c>
      <c r="F14" s="98">
        <v>172.7</v>
      </c>
      <c r="G14" s="98">
        <v>-53.34</v>
      </c>
      <c r="H14" s="98">
        <v>156.49</v>
      </c>
      <c r="I14" s="98">
        <v>557</v>
      </c>
      <c r="J14" s="98">
        <v>343</v>
      </c>
      <c r="K14" s="98">
        <v>-78</v>
      </c>
      <c r="M14" s="98"/>
      <c r="N14" s="98"/>
      <c r="O14" s="98"/>
      <c r="P14" s="98"/>
      <c r="Q14" s="98"/>
      <c r="R14" s="98"/>
      <c r="S14" s="98"/>
      <c r="T14" s="98"/>
      <c r="U14" s="98"/>
      <c r="V14" s="98"/>
    </row>
    <row r="15" spans="1:22" x14ac:dyDescent="0.2">
      <c r="A15" s="97">
        <v>43132</v>
      </c>
      <c r="B15" s="98">
        <v>70.98</v>
      </c>
      <c r="C15" s="98">
        <v>-38</v>
      </c>
      <c r="D15" s="98">
        <v>107.35</v>
      </c>
      <c r="E15" s="98">
        <v>1398.46</v>
      </c>
      <c r="F15" s="98">
        <v>185.26</v>
      </c>
      <c r="G15" s="98">
        <v>-53.34</v>
      </c>
      <c r="H15" s="98">
        <v>103.65</v>
      </c>
      <c r="I15" s="98">
        <v>637</v>
      </c>
      <c r="J15" s="98">
        <v>387</v>
      </c>
      <c r="K15" s="98">
        <v>-78</v>
      </c>
      <c r="M15" s="98"/>
      <c r="N15" s="98"/>
      <c r="O15" s="98"/>
      <c r="P15" s="98"/>
      <c r="Q15" s="98"/>
      <c r="R15" s="98"/>
      <c r="S15" s="98"/>
      <c r="T15" s="98"/>
      <c r="U15" s="98"/>
      <c r="V15" s="98"/>
    </row>
    <row r="16" spans="1:22" x14ac:dyDescent="0.2">
      <c r="A16" s="97">
        <v>43160</v>
      </c>
      <c r="B16" s="98">
        <v>65.069999999999993</v>
      </c>
      <c r="C16" s="98">
        <v>-48</v>
      </c>
      <c r="D16" s="98">
        <v>80.06</v>
      </c>
      <c r="E16" s="98">
        <v>1305</v>
      </c>
      <c r="F16" s="98">
        <v>182.95</v>
      </c>
      <c r="G16" s="98">
        <v>-53.34</v>
      </c>
      <c r="H16" s="98">
        <v>173.81</v>
      </c>
      <c r="I16" s="98">
        <v>687</v>
      </c>
      <c r="J16" s="98">
        <v>447</v>
      </c>
      <c r="K16" s="98">
        <v>-108</v>
      </c>
      <c r="M16" s="98"/>
      <c r="N16" s="98"/>
      <c r="O16" s="98"/>
      <c r="P16" s="98"/>
      <c r="Q16" s="98"/>
      <c r="R16" s="98"/>
      <c r="S16" s="98"/>
      <c r="T16" s="98"/>
      <c r="U16" s="98"/>
      <c r="V16" s="98"/>
    </row>
    <row r="17" spans="1:22" x14ac:dyDescent="0.2">
      <c r="A17" s="97">
        <v>43191</v>
      </c>
      <c r="B17" s="98">
        <v>67.510000000000005</v>
      </c>
      <c r="C17" s="98">
        <v>-48</v>
      </c>
      <c r="D17" s="98">
        <v>69.61</v>
      </c>
      <c r="E17" s="98">
        <v>1350.92</v>
      </c>
      <c r="F17" s="98">
        <v>194.63</v>
      </c>
      <c r="G17" s="98">
        <v>-53.34</v>
      </c>
      <c r="H17" s="98">
        <v>177</v>
      </c>
      <c r="I17" s="98">
        <v>777</v>
      </c>
      <c r="J17" s="98">
        <v>437</v>
      </c>
      <c r="K17" s="98">
        <v>-113</v>
      </c>
      <c r="M17" s="98"/>
      <c r="N17" s="98"/>
      <c r="O17" s="98"/>
      <c r="P17" s="98"/>
      <c r="Q17" s="98"/>
      <c r="R17" s="98"/>
      <c r="S17" s="98"/>
      <c r="T17" s="98"/>
      <c r="U17" s="98"/>
      <c r="V17" s="98"/>
    </row>
    <row r="18" spans="1:22" x14ac:dyDescent="0.2">
      <c r="A18" s="97">
        <v>43221</v>
      </c>
      <c r="B18" s="98">
        <v>69.790000000000006</v>
      </c>
      <c r="C18" s="98">
        <v>-48</v>
      </c>
      <c r="D18" s="98">
        <v>68.150000000000006</v>
      </c>
      <c r="E18" s="98">
        <v>1527.45</v>
      </c>
      <c r="F18" s="98">
        <v>184.06</v>
      </c>
      <c r="G18" s="98">
        <v>-53.34</v>
      </c>
      <c r="H18" s="98">
        <v>168.06</v>
      </c>
      <c r="I18" s="98">
        <v>779</v>
      </c>
      <c r="J18" s="98">
        <v>394</v>
      </c>
      <c r="K18" s="98">
        <v>-113</v>
      </c>
      <c r="M18" s="98"/>
      <c r="N18" s="98"/>
      <c r="O18" s="98"/>
      <c r="P18" s="98"/>
      <c r="Q18" s="98"/>
      <c r="R18" s="98"/>
      <c r="S18" s="98"/>
      <c r="T18" s="98"/>
      <c r="U18" s="98"/>
      <c r="V18" s="98"/>
    </row>
    <row r="20" spans="1:22" s="90" customFormat="1" x14ac:dyDescent="0.2">
      <c r="A20" s="90" t="s">
        <v>141</v>
      </c>
      <c r="B20" s="227">
        <f>AVERAGE(B7:B18)</f>
        <v>77.716666666666654</v>
      </c>
      <c r="C20" s="227">
        <f t="shared" ref="C20:K20" si="0">AVERAGE(C7:C18)</f>
        <v>-42</v>
      </c>
      <c r="D20" s="227">
        <f t="shared" si="0"/>
        <v>123.39583333333333</v>
      </c>
      <c r="E20" s="227">
        <f t="shared" si="0"/>
        <v>1349.9200000000003</v>
      </c>
      <c r="F20" s="227">
        <f t="shared" si="0"/>
        <v>150.48249999999999</v>
      </c>
      <c r="G20" s="227">
        <f t="shared" si="0"/>
        <v>-53.340000000000025</v>
      </c>
      <c r="H20" s="227">
        <f t="shared" si="0"/>
        <v>146.07999999999998</v>
      </c>
      <c r="I20" s="227">
        <f t="shared" si="0"/>
        <v>589.37833333333333</v>
      </c>
      <c r="J20" s="227">
        <f t="shared" si="0"/>
        <v>346.91666666666669</v>
      </c>
      <c r="K20" s="227">
        <f t="shared" si="0"/>
        <v>-104.78333333333335</v>
      </c>
    </row>
  </sheetData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5"/>
  <sheetViews>
    <sheetView workbookViewId="0">
      <selection activeCell="K9" sqref="K9"/>
    </sheetView>
  </sheetViews>
  <sheetFormatPr defaultRowHeight="12.75" x14ac:dyDescent="0.2"/>
  <cols>
    <col min="1" max="1" width="38.85546875" bestFit="1" customWidth="1"/>
    <col min="2" max="2" width="4.7109375" customWidth="1"/>
    <col min="3" max="3" width="12.85546875" bestFit="1" customWidth="1"/>
    <col min="4" max="14" width="10.28515625" bestFit="1" customWidth="1"/>
    <col min="15" max="15" width="3.7109375" customWidth="1"/>
    <col min="16" max="16" width="11.28515625" bestFit="1" customWidth="1"/>
  </cols>
  <sheetData>
    <row r="1" spans="1:16" ht="23.25" x14ac:dyDescent="0.35">
      <c r="A1" s="22" t="s">
        <v>36</v>
      </c>
    </row>
    <row r="2" spans="1:16" x14ac:dyDescent="0.2">
      <c r="A2" s="1" t="s">
        <v>100</v>
      </c>
    </row>
    <row r="4" spans="1:16" x14ac:dyDescent="0.2">
      <c r="A4" s="3"/>
      <c r="B4" s="3"/>
      <c r="C4" s="106">
        <v>42887</v>
      </c>
      <c r="D4" s="106">
        <v>42917</v>
      </c>
      <c r="E4" s="106">
        <v>42948</v>
      </c>
      <c r="F4" s="106">
        <v>42979</v>
      </c>
      <c r="G4" s="106">
        <v>43009</v>
      </c>
      <c r="H4" s="106">
        <v>43040</v>
      </c>
      <c r="I4" s="106">
        <v>43070</v>
      </c>
      <c r="J4" s="106">
        <v>43101</v>
      </c>
      <c r="K4" s="106">
        <v>43132</v>
      </c>
      <c r="L4" s="106">
        <v>43160</v>
      </c>
      <c r="M4" s="106">
        <v>43191</v>
      </c>
      <c r="N4" s="106">
        <v>43221</v>
      </c>
      <c r="O4" s="107"/>
      <c r="P4" s="101"/>
    </row>
    <row r="5" spans="1:16" x14ac:dyDescent="0.2">
      <c r="A5" s="3" t="s">
        <v>94</v>
      </c>
      <c r="B5" s="1"/>
    </row>
    <row r="6" spans="1:16" x14ac:dyDescent="0.2">
      <c r="A6" s="105" t="s">
        <v>87</v>
      </c>
      <c r="B6" s="104"/>
      <c r="C6" s="75">
        <v>611</v>
      </c>
      <c r="D6" s="75">
        <v>623</v>
      </c>
      <c r="E6" s="75">
        <v>627</v>
      </c>
      <c r="F6" s="75">
        <v>633</v>
      </c>
      <c r="G6" s="75">
        <v>641</v>
      </c>
      <c r="H6" s="75">
        <v>643</v>
      </c>
      <c r="I6" s="75">
        <v>650</v>
      </c>
      <c r="J6" s="215">
        <v>654</v>
      </c>
      <c r="K6" s="215">
        <v>663</v>
      </c>
      <c r="L6" s="215">
        <v>673</v>
      </c>
      <c r="M6" s="215">
        <v>677</v>
      </c>
      <c r="N6" s="215">
        <v>691</v>
      </c>
      <c r="O6" s="103"/>
      <c r="P6" s="103"/>
    </row>
    <row r="7" spans="1:16" x14ac:dyDescent="0.2">
      <c r="A7" s="105" t="s">
        <v>86</v>
      </c>
      <c r="B7" s="104"/>
      <c r="C7" s="75">
        <v>1371</v>
      </c>
      <c r="D7" s="75">
        <v>1375</v>
      </c>
      <c r="E7" s="75">
        <v>1378</v>
      </c>
      <c r="F7" s="75">
        <v>1374</v>
      </c>
      <c r="G7" s="75">
        <v>1371</v>
      </c>
      <c r="H7" s="75">
        <v>1357</v>
      </c>
      <c r="I7" s="75">
        <v>1361</v>
      </c>
      <c r="J7" s="215">
        <v>1363</v>
      </c>
      <c r="K7" s="215">
        <v>1373</v>
      </c>
      <c r="L7" s="215">
        <v>1373</v>
      </c>
      <c r="M7" s="215">
        <v>1391</v>
      </c>
      <c r="N7" s="215">
        <v>1397</v>
      </c>
      <c r="O7" s="103"/>
      <c r="P7" s="103"/>
    </row>
    <row r="8" spans="1:16" x14ac:dyDescent="0.2">
      <c r="A8" s="105" t="s">
        <v>88</v>
      </c>
      <c r="B8" s="104"/>
      <c r="C8" s="75">
        <v>3222</v>
      </c>
      <c r="D8" s="75">
        <v>3221</v>
      </c>
      <c r="E8" s="75">
        <v>3253</v>
      </c>
      <c r="F8" s="75">
        <v>3241</v>
      </c>
      <c r="G8" s="75">
        <v>3251</v>
      </c>
      <c r="H8" s="75">
        <v>3261</v>
      </c>
      <c r="I8" s="75">
        <v>3260</v>
      </c>
      <c r="J8" s="215">
        <v>3259</v>
      </c>
      <c r="K8" s="215">
        <v>3276</v>
      </c>
      <c r="L8" s="215">
        <v>3299</v>
      </c>
      <c r="M8" s="215">
        <v>3343</v>
      </c>
      <c r="N8" s="215">
        <v>3373</v>
      </c>
      <c r="O8" s="103"/>
      <c r="P8" s="103"/>
    </row>
    <row r="9" spans="1:16" ht="15" x14ac:dyDescent="0.35">
      <c r="A9" s="105" t="s">
        <v>89</v>
      </c>
      <c r="B9" s="104"/>
      <c r="C9" s="108">
        <v>23067</v>
      </c>
      <c r="D9" s="108">
        <v>23216</v>
      </c>
      <c r="E9" s="108">
        <v>23338</v>
      </c>
      <c r="F9" s="108">
        <v>23260</v>
      </c>
      <c r="G9" s="108">
        <v>23367</v>
      </c>
      <c r="H9" s="108">
        <v>23372</v>
      </c>
      <c r="I9" s="108">
        <v>23349</v>
      </c>
      <c r="J9" s="108">
        <v>23259</v>
      </c>
      <c r="K9" s="108">
        <v>23329</v>
      </c>
      <c r="L9" s="108">
        <v>23489</v>
      </c>
      <c r="M9" s="108">
        <v>23573</v>
      </c>
      <c r="N9" s="108">
        <v>23747</v>
      </c>
      <c r="O9" s="103"/>
      <c r="P9" s="103"/>
    </row>
    <row r="10" spans="1:16" ht="15" x14ac:dyDescent="0.35">
      <c r="A10" s="104" t="s">
        <v>93</v>
      </c>
      <c r="B10" s="104"/>
      <c r="C10" s="112">
        <f t="shared" ref="C10:N10" si="0">SUM(C6:C9)</f>
        <v>28271</v>
      </c>
      <c r="D10" s="112">
        <f t="shared" si="0"/>
        <v>28435</v>
      </c>
      <c r="E10" s="112">
        <f t="shared" si="0"/>
        <v>28596</v>
      </c>
      <c r="F10" s="112">
        <f t="shared" si="0"/>
        <v>28508</v>
      </c>
      <c r="G10" s="112">
        <f t="shared" si="0"/>
        <v>28630</v>
      </c>
      <c r="H10" s="112">
        <f t="shared" si="0"/>
        <v>28633</v>
      </c>
      <c r="I10" s="112">
        <f t="shared" si="0"/>
        <v>28620</v>
      </c>
      <c r="J10" s="112">
        <f t="shared" si="0"/>
        <v>28535</v>
      </c>
      <c r="K10" s="112">
        <f t="shared" si="0"/>
        <v>28641</v>
      </c>
      <c r="L10" s="112">
        <f t="shared" si="0"/>
        <v>28834</v>
      </c>
      <c r="M10" s="112">
        <f t="shared" si="0"/>
        <v>28984</v>
      </c>
      <c r="N10" s="112">
        <f t="shared" si="0"/>
        <v>29208</v>
      </c>
      <c r="O10" s="103"/>
      <c r="P10" s="103"/>
    </row>
    <row r="11" spans="1:16" x14ac:dyDescent="0.2">
      <c r="A11" s="104"/>
      <c r="B11" s="104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3"/>
      <c r="P11" s="103"/>
    </row>
    <row r="12" spans="1:16" x14ac:dyDescent="0.2">
      <c r="A12" s="104" t="s">
        <v>92</v>
      </c>
      <c r="B12" s="110"/>
      <c r="C12" s="111">
        <v>22300</v>
      </c>
      <c r="D12" s="111">
        <v>22393</v>
      </c>
      <c r="E12" s="111">
        <v>22507</v>
      </c>
      <c r="F12" s="111">
        <v>22544</v>
      </c>
      <c r="G12" s="111">
        <v>22563</v>
      </c>
      <c r="H12" s="111">
        <v>22536</v>
      </c>
      <c r="I12" s="111">
        <v>22509</v>
      </c>
      <c r="J12" s="111">
        <f>22454+3</f>
        <v>22457</v>
      </c>
      <c r="K12" s="111">
        <f>22461+3</f>
        <v>22464</v>
      </c>
      <c r="L12" s="111">
        <f>22605+3</f>
        <v>22608</v>
      </c>
      <c r="M12" s="111">
        <f>22817+5</f>
        <v>22822</v>
      </c>
      <c r="N12" s="111">
        <f>22953+4</f>
        <v>22957</v>
      </c>
      <c r="O12" s="110"/>
      <c r="P12" s="110"/>
    </row>
    <row r="14" spans="1:16" ht="15" x14ac:dyDescent="0.35">
      <c r="C14" s="14">
        <f>+C12+C10</f>
        <v>50571</v>
      </c>
      <c r="D14" s="14">
        <f t="shared" ref="D14:N14" si="1">+D12+D10</f>
        <v>50828</v>
      </c>
      <c r="E14" s="14">
        <f t="shared" si="1"/>
        <v>51103</v>
      </c>
      <c r="F14" s="14">
        <f t="shared" si="1"/>
        <v>51052</v>
      </c>
      <c r="G14" s="14">
        <f t="shared" si="1"/>
        <v>51193</v>
      </c>
      <c r="H14" s="14">
        <f t="shared" si="1"/>
        <v>51169</v>
      </c>
      <c r="I14" s="14">
        <f t="shared" si="1"/>
        <v>51129</v>
      </c>
      <c r="J14" s="14">
        <f t="shared" si="1"/>
        <v>50992</v>
      </c>
      <c r="K14" s="14">
        <f t="shared" si="1"/>
        <v>51105</v>
      </c>
      <c r="L14" s="14">
        <f t="shared" si="1"/>
        <v>51442</v>
      </c>
      <c r="M14" s="14">
        <f t="shared" si="1"/>
        <v>51806</v>
      </c>
      <c r="N14" s="14">
        <f t="shared" si="1"/>
        <v>52165</v>
      </c>
    </row>
    <row r="16" spans="1:16" x14ac:dyDescent="0.2">
      <c r="A16" s="1" t="s">
        <v>95</v>
      </c>
      <c r="C16" s="100">
        <f>+C12/C14</f>
        <v>0.44096418896205336</v>
      </c>
      <c r="D16" s="100">
        <f t="shared" ref="D16:N16" si="2">+D12/D14</f>
        <v>0.44056425592193277</v>
      </c>
      <c r="E16" s="100">
        <f t="shared" si="2"/>
        <v>0.44042424123828344</v>
      </c>
      <c r="F16" s="100">
        <f t="shared" si="2"/>
        <v>0.44158896811094572</v>
      </c>
      <c r="G16" s="100">
        <f t="shared" si="2"/>
        <v>0.44074385169847441</v>
      </c>
      <c r="H16" s="100">
        <f t="shared" si="2"/>
        <v>0.44042291231018782</v>
      </c>
      <c r="I16" s="100">
        <f t="shared" si="2"/>
        <v>0.44023939447280408</v>
      </c>
      <c r="J16" s="100">
        <f t="shared" si="2"/>
        <v>0.44040241606526515</v>
      </c>
      <c r="K16" s="100">
        <f t="shared" si="2"/>
        <v>0.43956560023481067</v>
      </c>
      <c r="L16" s="100">
        <f t="shared" si="2"/>
        <v>0.43948524551922552</v>
      </c>
      <c r="M16" s="100">
        <f t="shared" si="2"/>
        <v>0.44052812415550324</v>
      </c>
      <c r="N16" s="100">
        <f t="shared" si="2"/>
        <v>0.44008434774273941</v>
      </c>
    </row>
    <row r="18" spans="1:29" x14ac:dyDescent="0.2">
      <c r="A18" s="1" t="s">
        <v>96</v>
      </c>
      <c r="C18" s="114">
        <f>1-C16</f>
        <v>0.55903581103794664</v>
      </c>
      <c r="D18" s="114">
        <f t="shared" ref="D18:N18" si="3">1-D16</f>
        <v>0.55943574407806729</v>
      </c>
      <c r="E18" s="114">
        <f t="shared" si="3"/>
        <v>0.5595757587617165</v>
      </c>
      <c r="F18" s="114">
        <f t="shared" si="3"/>
        <v>0.55841103188905428</v>
      </c>
      <c r="G18" s="114">
        <f t="shared" si="3"/>
        <v>0.55925614830152559</v>
      </c>
      <c r="H18" s="114">
        <f t="shared" si="3"/>
        <v>0.55957708768981218</v>
      </c>
      <c r="I18" s="114">
        <f t="shared" si="3"/>
        <v>0.55976060552719598</v>
      </c>
      <c r="J18" s="114">
        <f t="shared" si="3"/>
        <v>0.55959758393473491</v>
      </c>
      <c r="K18" s="114">
        <f t="shared" si="3"/>
        <v>0.56043439976518927</v>
      </c>
      <c r="L18" s="114">
        <f t="shared" si="3"/>
        <v>0.56051475448077448</v>
      </c>
      <c r="M18" s="114">
        <f t="shared" si="3"/>
        <v>0.55947187584449676</v>
      </c>
      <c r="N18" s="114">
        <f t="shared" si="3"/>
        <v>0.55991565225726059</v>
      </c>
    </row>
    <row r="20" spans="1:29" x14ac:dyDescent="0.2"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1:29" x14ac:dyDescent="0.2">
      <c r="A21" s="1" t="s">
        <v>99</v>
      </c>
      <c r="B21" s="1"/>
      <c r="C21" s="120">
        <v>-352.32</v>
      </c>
      <c r="D21" s="120">
        <v>-352.32</v>
      </c>
      <c r="E21" s="120">
        <v>-655.36</v>
      </c>
      <c r="F21" s="120">
        <v>-752.08</v>
      </c>
      <c r="G21" s="120">
        <v>-752.08</v>
      </c>
      <c r="H21" s="120">
        <v>-748.98</v>
      </c>
      <c r="I21" s="120">
        <v>-748.36</v>
      </c>
      <c r="J21" s="120">
        <v>-752.08</v>
      </c>
      <c r="K21" s="120">
        <v>-766.96</v>
      </c>
      <c r="L21" s="120">
        <v>-766.96</v>
      </c>
      <c r="M21" s="120">
        <v>-766.96</v>
      </c>
      <c r="N21" s="120">
        <v>-766.96</v>
      </c>
      <c r="O21" s="120"/>
      <c r="P21" s="120">
        <f>SUM(C21:N21)</f>
        <v>-8181.42</v>
      </c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1:29" x14ac:dyDescent="0.2">
      <c r="A22" s="6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P22" s="13"/>
    </row>
    <row r="23" spans="1:29" ht="15" x14ac:dyDescent="0.35">
      <c r="A23" s="1" t="s">
        <v>97</v>
      </c>
      <c r="C23" s="121">
        <v>0.23</v>
      </c>
      <c r="D23" s="121">
        <v>0.23</v>
      </c>
      <c r="E23" s="115">
        <v>0.43</v>
      </c>
      <c r="F23" s="115">
        <v>0.43</v>
      </c>
      <c r="G23" s="115">
        <v>0.43</v>
      </c>
      <c r="H23" s="115">
        <v>0.43</v>
      </c>
      <c r="I23" s="115">
        <v>0.43</v>
      </c>
      <c r="J23" s="115">
        <v>0.43</v>
      </c>
      <c r="K23" s="115">
        <v>0.43</v>
      </c>
      <c r="L23" s="115">
        <v>0.43</v>
      </c>
      <c r="M23" s="115">
        <v>0.43</v>
      </c>
      <c r="N23" s="115">
        <v>0.43</v>
      </c>
      <c r="O23" s="115"/>
      <c r="P23" s="115"/>
    </row>
    <row r="25" spans="1:29" ht="15" x14ac:dyDescent="0.35">
      <c r="A25" s="1" t="s">
        <v>98</v>
      </c>
      <c r="B25" s="116"/>
      <c r="C25" s="117">
        <f t="shared" ref="C25:N25" si="4">-(C21)/C23</f>
        <v>1531.8260869565217</v>
      </c>
      <c r="D25" s="117">
        <f t="shared" si="4"/>
        <v>1531.8260869565217</v>
      </c>
      <c r="E25" s="117">
        <f t="shared" si="4"/>
        <v>1524.0930232558139</v>
      </c>
      <c r="F25" s="117">
        <f t="shared" si="4"/>
        <v>1749.0232558139537</v>
      </c>
      <c r="G25" s="117">
        <f t="shared" si="4"/>
        <v>1749.0232558139537</v>
      </c>
      <c r="H25" s="117">
        <f t="shared" si="4"/>
        <v>1741.8139534883721</v>
      </c>
      <c r="I25" s="117">
        <f t="shared" si="4"/>
        <v>1740.372093023256</v>
      </c>
      <c r="J25" s="117">
        <f t="shared" si="4"/>
        <v>1749.0232558139537</v>
      </c>
      <c r="K25" s="117">
        <f t="shared" si="4"/>
        <v>1783.6279069767443</v>
      </c>
      <c r="L25" s="117">
        <f t="shared" si="4"/>
        <v>1783.6279069767443</v>
      </c>
      <c r="M25" s="117">
        <f t="shared" si="4"/>
        <v>1783.6279069767443</v>
      </c>
      <c r="N25" s="117">
        <f t="shared" si="4"/>
        <v>1783.6279069767443</v>
      </c>
      <c r="O25" s="118"/>
      <c r="P25" s="14">
        <f>SUM(C25:O25)</f>
        <v>20451.512639029323</v>
      </c>
    </row>
  </sheetData>
  <pageMargins left="0.7" right="0.7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workbookViewId="0">
      <selection activeCell="A8" sqref="A8"/>
    </sheetView>
  </sheetViews>
  <sheetFormatPr defaultRowHeight="12.75" x14ac:dyDescent="0.2"/>
  <cols>
    <col min="1" max="1" width="72.5703125" bestFit="1" customWidth="1"/>
    <col min="4" max="4" width="12.28515625" bestFit="1" customWidth="1"/>
  </cols>
  <sheetData>
    <row r="1" spans="1:4" ht="23.25" x14ac:dyDescent="0.35">
      <c r="A1" s="146" t="s">
        <v>156</v>
      </c>
      <c r="B1" s="146"/>
      <c r="C1" s="147"/>
      <c r="D1" s="147"/>
    </row>
    <row r="2" spans="1:4" ht="15.75" x14ac:dyDescent="0.25">
      <c r="A2" s="148" t="s">
        <v>157</v>
      </c>
      <c r="B2" s="148"/>
      <c r="C2" s="149"/>
      <c r="D2" s="150"/>
    </row>
    <row r="3" spans="1:4" ht="15" x14ac:dyDescent="0.25">
      <c r="A3" s="151"/>
      <c r="B3" s="151"/>
      <c r="C3" s="149"/>
      <c r="D3" s="152"/>
    </row>
    <row r="4" spans="1:4" ht="17.25" x14ac:dyDescent="0.4">
      <c r="A4" s="147"/>
      <c r="B4" s="147"/>
      <c r="C4" s="149"/>
      <c r="D4" s="153" t="s">
        <v>114</v>
      </c>
    </row>
    <row r="5" spans="1:4" ht="15" x14ac:dyDescent="0.25">
      <c r="A5" s="154" t="s">
        <v>115</v>
      </c>
      <c r="B5" s="154"/>
      <c r="C5" s="149"/>
      <c r="D5" s="155"/>
    </row>
    <row r="6" spans="1:4" ht="17.25" x14ac:dyDescent="0.4">
      <c r="A6" s="147" t="s">
        <v>26</v>
      </c>
      <c r="B6" s="147"/>
      <c r="C6" s="149"/>
      <c r="D6" s="156">
        <f>+'Res''l &amp; MF Customers'!N12</f>
        <v>22957</v>
      </c>
    </row>
    <row r="7" spans="1:4" ht="15" x14ac:dyDescent="0.25">
      <c r="A7" s="147"/>
      <c r="B7" s="147"/>
      <c r="C7" s="149"/>
      <c r="D7" s="157"/>
    </row>
    <row r="8" spans="1:4" ht="15" x14ac:dyDescent="0.25">
      <c r="A8" s="154" t="s">
        <v>116</v>
      </c>
      <c r="B8" s="154"/>
      <c r="C8" s="149"/>
      <c r="D8" s="157"/>
    </row>
    <row r="9" spans="1:4" ht="17.25" x14ac:dyDescent="0.4">
      <c r="A9" s="158" t="s">
        <v>148</v>
      </c>
      <c r="B9" s="158"/>
      <c r="C9" s="149"/>
      <c r="D9" s="159">
        <f>+'Tons &amp; Revenue'!H21*2</f>
        <v>10601.306073548018</v>
      </c>
    </row>
    <row r="10" spans="1:4" ht="15" x14ac:dyDescent="0.25">
      <c r="A10" s="160"/>
      <c r="B10" s="160"/>
      <c r="C10" s="149"/>
      <c r="D10" s="157"/>
    </row>
    <row r="11" spans="1:4" ht="21" x14ac:dyDescent="0.35">
      <c r="A11" s="161" t="s">
        <v>117</v>
      </c>
      <c r="B11" s="161"/>
      <c r="C11" s="149"/>
      <c r="D11" s="155"/>
    </row>
    <row r="12" spans="1:4" ht="32.25" x14ac:dyDescent="0.4">
      <c r="A12" s="162" t="s">
        <v>150</v>
      </c>
      <c r="B12" s="162"/>
      <c r="C12" s="163"/>
      <c r="D12" s="164">
        <f>ROUND((+'Tons &amp; Revenue'!O139+'Tons &amp; Revenue'!O123)/5*12*2,-2)</f>
        <v>896600</v>
      </c>
    </row>
    <row r="13" spans="1:4" ht="15" x14ac:dyDescent="0.25">
      <c r="A13" s="162"/>
      <c r="B13" s="162"/>
      <c r="C13" s="163"/>
      <c r="D13" s="165"/>
    </row>
    <row r="14" spans="1:4" ht="21" x14ac:dyDescent="0.35">
      <c r="A14" s="161" t="s">
        <v>118</v>
      </c>
      <c r="B14" s="162"/>
      <c r="C14" s="163"/>
      <c r="D14" s="165"/>
    </row>
    <row r="15" spans="1:4" ht="15" x14ac:dyDescent="0.25">
      <c r="A15" s="162" t="s">
        <v>119</v>
      </c>
      <c r="B15" s="162"/>
      <c r="C15" s="166">
        <v>0.5</v>
      </c>
      <c r="D15" s="167">
        <f>ROUND(+D12*C15,-2)</f>
        <v>448300</v>
      </c>
    </row>
    <row r="16" spans="1:4" ht="15" x14ac:dyDescent="0.25">
      <c r="A16" s="232" t="s">
        <v>149</v>
      </c>
      <c r="B16" s="147"/>
      <c r="C16" s="233">
        <v>0.05</v>
      </c>
      <c r="D16" s="234">
        <f>-ROUND(+D28*C16,-2)</f>
        <v>-20400</v>
      </c>
    </row>
    <row r="17" spans="1:4" ht="17.25" x14ac:dyDescent="0.4">
      <c r="A17" s="232"/>
      <c r="B17" s="147"/>
      <c r="C17" s="149"/>
      <c r="D17" s="235">
        <f>+D15+D16</f>
        <v>427900</v>
      </c>
    </row>
    <row r="18" spans="1:4" ht="18.75" x14ac:dyDescent="0.3">
      <c r="A18" s="168" t="s">
        <v>120</v>
      </c>
      <c r="B18" s="168"/>
      <c r="C18" s="149"/>
      <c r="D18" s="155"/>
    </row>
    <row r="19" spans="1:4" ht="17.25" x14ac:dyDescent="0.4">
      <c r="A19" s="169" t="s">
        <v>121</v>
      </c>
      <c r="B19" s="169"/>
      <c r="C19" s="149"/>
      <c r="D19" s="181">
        <f>+D44</f>
        <v>124300</v>
      </c>
    </row>
    <row r="20" spans="1:4" ht="17.25" x14ac:dyDescent="0.4">
      <c r="A20" s="169"/>
      <c r="B20" s="169"/>
      <c r="C20" s="171"/>
      <c r="D20" s="172"/>
    </row>
    <row r="21" spans="1:4" ht="17.25" x14ac:dyDescent="0.4">
      <c r="A21" s="173" t="s">
        <v>122</v>
      </c>
      <c r="B21" s="173"/>
      <c r="C21" s="174"/>
      <c r="D21" s="172"/>
    </row>
    <row r="22" spans="1:4" ht="15" x14ac:dyDescent="0.25">
      <c r="A22" s="175" t="s">
        <v>152</v>
      </c>
      <c r="B22" s="175"/>
      <c r="C22" s="176"/>
      <c r="D22" s="177">
        <v>125000</v>
      </c>
    </row>
    <row r="23" spans="1:4" ht="15" x14ac:dyDescent="0.25">
      <c r="A23" s="175" t="s">
        <v>153</v>
      </c>
      <c r="B23" s="175"/>
      <c r="C23" s="178"/>
      <c r="D23" s="177">
        <v>25000</v>
      </c>
    </row>
    <row r="24" spans="1:4" ht="15" x14ac:dyDescent="0.25">
      <c r="A24" s="175" t="s">
        <v>154</v>
      </c>
      <c r="B24" s="175"/>
      <c r="C24" s="179"/>
      <c r="D24" s="177">
        <v>80000</v>
      </c>
    </row>
    <row r="25" spans="1:4" ht="17.25" x14ac:dyDescent="0.4">
      <c r="A25" s="175" t="s">
        <v>155</v>
      </c>
      <c r="B25" s="175"/>
      <c r="C25" s="179"/>
      <c r="D25" s="180">
        <v>53200</v>
      </c>
    </row>
    <row r="26" spans="1:4" ht="17.25" x14ac:dyDescent="0.4">
      <c r="A26" s="169" t="s">
        <v>123</v>
      </c>
      <c r="B26" s="169"/>
      <c r="C26" s="163"/>
      <c r="D26" s="181">
        <f>SUM(D22:D25)</f>
        <v>283200</v>
      </c>
    </row>
    <row r="27" spans="1:4" ht="15" x14ac:dyDescent="0.25">
      <c r="A27" s="169"/>
      <c r="B27" s="169"/>
      <c r="C27" s="182"/>
      <c r="D27" s="183"/>
    </row>
    <row r="28" spans="1:4" ht="17.25" x14ac:dyDescent="0.4">
      <c r="A28" s="169" t="s">
        <v>124</v>
      </c>
      <c r="B28" s="169"/>
      <c r="C28" s="182"/>
      <c r="D28" s="170">
        <f>+D26+D19</f>
        <v>407500</v>
      </c>
    </row>
    <row r="29" spans="1:4" ht="17.25" x14ac:dyDescent="0.4">
      <c r="A29" s="169"/>
      <c r="B29" s="169"/>
      <c r="C29" s="182"/>
      <c r="D29" s="170"/>
    </row>
    <row r="30" spans="1:4" ht="17.25" x14ac:dyDescent="0.4">
      <c r="A30" s="169" t="s">
        <v>125</v>
      </c>
      <c r="B30" s="169"/>
      <c r="C30" s="182"/>
      <c r="D30" s="181">
        <f>ROUND(+D28*0.05,-2)</f>
        <v>20400</v>
      </c>
    </row>
    <row r="31" spans="1:4" ht="15" x14ac:dyDescent="0.25">
      <c r="A31" s="169"/>
      <c r="B31" s="169"/>
      <c r="C31" s="182"/>
      <c r="D31" s="184"/>
    </row>
    <row r="32" spans="1:4" ht="15" x14ac:dyDescent="0.25">
      <c r="A32" s="169" t="s">
        <v>126</v>
      </c>
      <c r="B32" s="169"/>
      <c r="C32" s="185"/>
      <c r="D32" s="184">
        <f>+D30+D28</f>
        <v>427900</v>
      </c>
    </row>
    <row r="33" spans="1:4" ht="15" x14ac:dyDescent="0.25">
      <c r="A33" s="151"/>
      <c r="B33" s="151"/>
      <c r="C33" s="186"/>
      <c r="D33" s="187"/>
    </row>
    <row r="34" spans="1:4" ht="15" x14ac:dyDescent="0.25">
      <c r="A34" s="169" t="s">
        <v>127</v>
      </c>
      <c r="B34" s="169"/>
      <c r="C34" s="186"/>
      <c r="D34" s="188">
        <f>+D9*2000/D6/24</f>
        <v>38.482474748254042</v>
      </c>
    </row>
    <row r="35" spans="1:4" ht="15" x14ac:dyDescent="0.25">
      <c r="C35" s="186"/>
      <c r="D35" s="188"/>
    </row>
    <row r="36" spans="1:4" ht="15" x14ac:dyDescent="0.25">
      <c r="A36" s="169" t="s">
        <v>128</v>
      </c>
      <c r="B36" s="169"/>
      <c r="C36" s="186"/>
      <c r="D36" s="189">
        <f>+D12/D9</f>
        <v>84.574484858725356</v>
      </c>
    </row>
    <row r="37" spans="1:4" ht="13.5" thickBot="1" x14ac:dyDescent="0.25">
      <c r="A37" s="190"/>
      <c r="B37" s="190"/>
      <c r="C37" s="178"/>
      <c r="D37" s="178"/>
    </row>
    <row r="38" spans="1:4" x14ac:dyDescent="0.2">
      <c r="A38" s="191"/>
      <c r="B38" s="192"/>
      <c r="C38" s="193"/>
      <c r="D38" s="194"/>
    </row>
    <row r="39" spans="1:4" ht="30" x14ac:dyDescent="0.25">
      <c r="A39" s="195" t="s">
        <v>129</v>
      </c>
      <c r="B39" s="196" t="s">
        <v>130</v>
      </c>
      <c r="C39" s="197" t="s">
        <v>131</v>
      </c>
      <c r="D39" s="198" t="s">
        <v>132</v>
      </c>
    </row>
    <row r="40" spans="1:4" ht="15" x14ac:dyDescent="0.25">
      <c r="A40" s="199" t="s">
        <v>133</v>
      </c>
      <c r="B40" s="200">
        <v>50</v>
      </c>
      <c r="C40" s="201">
        <v>80</v>
      </c>
      <c r="D40" s="202">
        <f t="shared" ref="D40:D43" si="0">ROUND(B40*C40,-2)</f>
        <v>4000</v>
      </c>
    </row>
    <row r="41" spans="1:4" ht="15" x14ac:dyDescent="0.25">
      <c r="A41" s="199" t="s">
        <v>134</v>
      </c>
      <c r="B41" s="200">
        <v>50</v>
      </c>
      <c r="C41" s="201">
        <v>140</v>
      </c>
      <c r="D41" s="202">
        <f t="shared" si="0"/>
        <v>7000</v>
      </c>
    </row>
    <row r="42" spans="1:4" ht="15" x14ac:dyDescent="0.25">
      <c r="A42" s="203" t="s">
        <v>151</v>
      </c>
      <c r="B42" s="200">
        <v>960</v>
      </c>
      <c r="C42" s="201">
        <v>110</v>
      </c>
      <c r="D42" s="202">
        <f t="shared" si="0"/>
        <v>105600</v>
      </c>
    </row>
    <row r="43" spans="1:4" ht="17.25" x14ac:dyDescent="0.4">
      <c r="A43" s="199" t="s">
        <v>135</v>
      </c>
      <c r="B43" s="204">
        <v>96</v>
      </c>
      <c r="C43" s="201">
        <v>80</v>
      </c>
      <c r="D43" s="205">
        <f t="shared" si="0"/>
        <v>7700</v>
      </c>
    </row>
    <row r="44" spans="1:4" ht="17.25" x14ac:dyDescent="0.4">
      <c r="A44" s="206" t="s">
        <v>136</v>
      </c>
      <c r="B44" s="207">
        <f>SUM(B40:B43)</f>
        <v>1156</v>
      </c>
      <c r="C44" s="201"/>
      <c r="D44" s="208">
        <f>SUM(D40:D43)</f>
        <v>124300</v>
      </c>
    </row>
    <row r="45" spans="1:4" ht="13.5" thickBot="1" x14ac:dyDescent="0.25">
      <c r="A45" s="209"/>
      <c r="B45" s="210"/>
      <c r="C45" s="211"/>
      <c r="D45" s="212"/>
    </row>
  </sheetData>
  <pageMargins left="0.7" right="0.2" top="0.5" bottom="0.5" header="0.3" footer="0.3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62AD8D29CA36D4595260FB4C93BDEC6" ma:contentTypeVersion="76" ma:contentTypeDescription="" ma:contentTypeScope="" ma:versionID="648462fcf9311b86ee992c3f0c64f09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2018-06-12T07:00:00+00:00</OpenedDate>
    <SignificantOrder xmlns="dc463f71-b30c-4ab2-9473-d307f9d35888">false</SignificantOrder>
    <Date1 xmlns="dc463f71-b30c-4ab2-9473-d307f9d35888">2018-06-12T07:00:00+00:00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180531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CC49798-58EE-43DE-A4DB-CC733623BB12}"/>
</file>

<file path=customXml/itemProps2.xml><?xml version="1.0" encoding="utf-8"?>
<ds:datastoreItem xmlns:ds="http://schemas.openxmlformats.org/officeDocument/2006/customXml" ds:itemID="{BBA80EE1-310B-4E43-8EAD-C47CAB5BC1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CD76EC-DDB2-42CB-AF9B-46F240AA15BA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6a7bd91e-004b-490a-8704-e368d63d59a0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2D857A4-9140-4C1E-B132-11AF725865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Rebate Calculation</vt:lpstr>
      <vt:lpstr>Tons &amp; Revenue</vt:lpstr>
      <vt:lpstr>Composition</vt:lpstr>
      <vt:lpstr>Prices</vt:lpstr>
      <vt:lpstr>Res'l &amp; MF Customers</vt:lpstr>
      <vt:lpstr>Budget</vt:lpstr>
      <vt:lpstr>Budget!Print_Area</vt:lpstr>
      <vt:lpstr>Composition!Print_Area</vt:lpstr>
      <vt:lpstr>Prices!Print_Area</vt:lpstr>
      <vt:lpstr>'Rebate Calculation'!Print_Area</vt:lpstr>
      <vt:lpstr>'Res''l &amp; MF Customers'!Print_Area</vt:lpstr>
      <vt:lpstr>'Tons &amp; Revenue'!Print_Area</vt:lpstr>
      <vt:lpstr>'Tons &amp; Revenue'!Print_Titles</vt:lpstr>
    </vt:vector>
  </TitlesOfParts>
  <Company>Waste Management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Weinstein</dc:creator>
  <cp:lastModifiedBy>Weinstein, Mike</cp:lastModifiedBy>
  <cp:lastPrinted>2018-06-12T15:36:38Z</cp:lastPrinted>
  <dcterms:created xsi:type="dcterms:W3CDTF">2004-02-20T19:40:08Z</dcterms:created>
  <dcterms:modified xsi:type="dcterms:W3CDTF">2018-06-12T15:36:59Z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0x0101006E56B4D1795A2E4DB2F0B01679ED314A00A62AD8D29CA36D4595260FB4C93BDEC6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