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externalLinks/externalLink8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7.xml" ContentType="application/vnd.openxmlformats-officedocument.spreadsheetml.externalLink+xml"/>
  <Override PartName="/xl/comments3.xml" ContentType="application/vnd.openxmlformats-officedocument.spreadsheetml.comment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externalLinks/externalLink12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5135" windowHeight="6840" tabRatio="782"/>
  </bookViews>
  <sheets>
    <sheet name="References" sheetId="5" r:id="rId1"/>
    <sheet name="DF Calc (Kitsap Co.)" sheetId="11" r:id="rId2"/>
    <sheet name="Prop. Rates" sheetId="9" r:id="rId3"/>
    <sheet name="Co Cust Cnt - Kitsap" sheetId="12" r:id="rId4"/>
    <sheet name="Co Cust Cnt - Ref Only" sheetId="1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_CYA1">[1]Hidden!$N$11</definedName>
    <definedName name="___CYA10">[1]Hidden!$E$11</definedName>
    <definedName name="___CYA11">[1]Hidden!$P$11</definedName>
    <definedName name="___CYA2">[1]Hidden!$M$11</definedName>
    <definedName name="___CYA3">[1]Hidden!$L$11</definedName>
    <definedName name="___CYA4">[1]Hidden!$K$11</definedName>
    <definedName name="___CYA5">[1]Hidden!$J$11</definedName>
    <definedName name="___CYA6">[1]Hidden!$I$11</definedName>
    <definedName name="___CYA7">[1]Hidden!$H$11</definedName>
    <definedName name="___CYA8">[1]Hidden!$G$11</definedName>
    <definedName name="___CYA9">[1]Hidden!$F$11</definedName>
    <definedName name="___LYA12">[1]Hidden!$O$11</definedName>
    <definedName name="__CYA1">[1]Hidden!$N$11</definedName>
    <definedName name="__CYA10">[1]Hidden!$E$11</definedName>
    <definedName name="__CYA11">[1]Hidden!$P$11</definedName>
    <definedName name="__CYA2">[1]Hidden!$M$11</definedName>
    <definedName name="__CYA3">[1]Hidden!$L$11</definedName>
    <definedName name="__CYA4">[1]Hidden!$K$11</definedName>
    <definedName name="__CYA5">[1]Hidden!$J$11</definedName>
    <definedName name="__CYA6">[1]Hidden!$I$11</definedName>
    <definedName name="__CYA7">[1]Hidden!$H$11</definedName>
    <definedName name="__CYA8">[1]Hidden!$G$11</definedName>
    <definedName name="__CYA9">[1]Hidden!$F$11</definedName>
    <definedName name="__LYA12">[1]Hidden!$O$11</definedName>
    <definedName name="_ACT1" localSheetId="3">[2]Hidden!#REF!</definedName>
    <definedName name="_ACT1" localSheetId="1">[2]Hidden!#REF!</definedName>
    <definedName name="_ACT1">[2]Hidden!#REF!</definedName>
    <definedName name="_ACT2" localSheetId="3">[2]Hidden!#REF!</definedName>
    <definedName name="_ACT2" localSheetId="1">[2]Hidden!#REF!</definedName>
    <definedName name="_ACT2">[2]Hidden!#REF!</definedName>
    <definedName name="_ACT3" localSheetId="1">[2]Hidden!#REF!</definedName>
    <definedName name="_ACT3">[2]Hidden!#REF!</definedName>
    <definedName name="_CYA1">[1]Hidden!$N$11</definedName>
    <definedName name="_CYA10">[1]Hidden!$E$11</definedName>
    <definedName name="_CYA11">[1]Hidden!$P$11</definedName>
    <definedName name="_CYA2">[1]Hidden!$M$11</definedName>
    <definedName name="_CYA3">[1]Hidden!$L$11</definedName>
    <definedName name="_CYA4">[1]Hidden!$K$11</definedName>
    <definedName name="_CYA5">[1]Hidden!$J$11</definedName>
    <definedName name="_CYA6">[1]Hidden!$I$11</definedName>
    <definedName name="_CYA7">[1]Hidden!$H$11</definedName>
    <definedName name="_CYA8">[1]Hidden!$G$11</definedName>
    <definedName name="_CYA9">[1]Hidden!$F$11</definedName>
    <definedName name="_LYA12">[1]Hidden!$O$11</definedName>
    <definedName name="ACCT" localSheetId="3">[2]Hidden!#REF!</definedName>
    <definedName name="ACCT" localSheetId="4">[2]Hidden!#REF!</definedName>
    <definedName name="ACCT">[1]Hidden!$D$11</definedName>
    <definedName name="ACCT.ConsolSum">[1]Hidden!$Q$11</definedName>
    <definedName name="ACT_CUR" localSheetId="3">[2]Hidden!#REF!</definedName>
    <definedName name="ACT_CUR" localSheetId="1">[2]Hidden!#REF!</definedName>
    <definedName name="ACT_CUR">[2]Hidden!#REF!</definedName>
    <definedName name="ACT_YTD" localSheetId="3">[2]Hidden!#REF!</definedName>
    <definedName name="ACT_YTD" localSheetId="1">[2]Hidden!#REF!</definedName>
    <definedName name="ACT_YTD">[2]Hidden!#REF!</definedName>
    <definedName name="AmountCount" localSheetId="3">#REF!</definedName>
    <definedName name="AmountCount" localSheetId="1">#REF!</definedName>
    <definedName name="AmountCount">#REF!</definedName>
    <definedName name="AmountTotal" localSheetId="3">#REF!</definedName>
    <definedName name="AmountTotal" localSheetId="1">#REF!</definedName>
    <definedName name="AmountTotal">#REF!</definedName>
    <definedName name="BookRev">'[3]Pacific Regulated - Price Out'!$F$50</definedName>
    <definedName name="BookRev_com">'[3]Pacific Regulated - Price Out'!$F$214</definedName>
    <definedName name="BookRev_mfr">'[3]Pacific Regulated - Price Out'!$F$222</definedName>
    <definedName name="BookRev_ro">'[3]Pacific Regulated - Price Out'!$F$282</definedName>
    <definedName name="BookRev_rr">'[3]Pacific Regulated - Price Out'!$F$59</definedName>
    <definedName name="BookRev_yw">'[3]Pacific Regulated - Price Out'!$F$70</definedName>
    <definedName name="BREMAIR_COST_of_SERVICE_STUDY" localSheetId="3">#REF!</definedName>
    <definedName name="BREMAIR_COST_of_SERVICE_STUDY" localSheetId="4">#REF!</definedName>
    <definedName name="BREMAIR_COST_of_SERVICE_STUDY" localSheetId="1">#REF!</definedName>
    <definedName name="BREMAIR_COST_of_SERVICE_STUDY">#REF!</definedName>
    <definedName name="BUD_CUR" localSheetId="3">[2]Hidden!#REF!</definedName>
    <definedName name="BUD_CUR" localSheetId="1">[2]Hidden!#REF!</definedName>
    <definedName name="BUD_CUR">[2]Hidden!#REF!</definedName>
    <definedName name="BUD_YTD" localSheetId="3">[2]Hidden!#REF!</definedName>
    <definedName name="BUD_YTD" localSheetId="1">[2]Hidden!#REF!</definedName>
    <definedName name="BUD_YTD">[2]Hidden!#REF!</definedName>
    <definedName name="CalRecyTons">'[4]Recycl Tons, Commodity Value'!$L$23</definedName>
    <definedName name="CheckTotals" localSheetId="3">#REF!</definedName>
    <definedName name="CheckTotals" localSheetId="4">#REF!</definedName>
    <definedName name="CheckTotals" localSheetId="1">#REF!</definedName>
    <definedName name="CheckTotals">#REF!</definedName>
    <definedName name="colgroup">[1]Orientation!$G$6</definedName>
    <definedName name="colsegment">[1]Orientation!$F$6</definedName>
    <definedName name="CRCTable" localSheetId="3">#REF!</definedName>
    <definedName name="CRCTable" localSheetId="4">#REF!</definedName>
    <definedName name="CRCTable" localSheetId="1">#REF!</definedName>
    <definedName name="CRCTable">#REF!</definedName>
    <definedName name="CRCTableOLD" localSheetId="3">#REF!</definedName>
    <definedName name="CRCTableOLD" localSheetId="4">#REF!</definedName>
    <definedName name="CRCTableOLD" localSheetId="1">#REF!</definedName>
    <definedName name="CRCTableOLD">#REF!</definedName>
    <definedName name="CriteriaType">[5]ControlPanel!$Z$2:$Z$5</definedName>
    <definedName name="Cutomers" localSheetId="3">#REF!</definedName>
    <definedName name="Cutomers" localSheetId="1">#REF!</definedName>
    <definedName name="Cutomers">#REF!</definedName>
    <definedName name="_xlnm.Database" localSheetId="3">#REF!</definedName>
    <definedName name="_xlnm.Database" localSheetId="4">#REF!</definedName>
    <definedName name="_xlnm.Database" localSheetId="1">#REF!</definedName>
    <definedName name="_xlnm.Database">#REF!</definedName>
    <definedName name="Database1" localSheetId="3">#REF!</definedName>
    <definedName name="Database1" localSheetId="4">#REF!</definedName>
    <definedName name="Database1" localSheetId="1">#REF!</definedName>
    <definedName name="Database1">#REF!</definedName>
    <definedName name="DEPT" localSheetId="3">[2]Hidden!#REF!</definedName>
    <definedName name="DEPT" localSheetId="1">[2]Hidden!#REF!</definedName>
    <definedName name="DEPT">[2]Hidden!#REF!</definedName>
    <definedName name="District" localSheetId="3">'[6]Vashon BS'!#REF!</definedName>
    <definedName name="District" localSheetId="1">'[6]Vashon BS'!#REF!</definedName>
    <definedName name="District">'[6]Vashon BS'!#REF!</definedName>
    <definedName name="DistrictNum" localSheetId="3">#REF!</definedName>
    <definedName name="DistrictNum" localSheetId="4">#REF!</definedName>
    <definedName name="DistrictNum" localSheetId="1">#REF!</definedName>
    <definedName name="DistrictNum">#REF!</definedName>
    <definedName name="drlFilter">[1]Settings!$D$27</definedName>
    <definedName name="End" localSheetId="3">#REF!</definedName>
    <definedName name="End" localSheetId="4">#REF!</definedName>
    <definedName name="End" localSheetId="1">#REF!</definedName>
    <definedName name="End">#REF!</definedName>
    <definedName name="ExcludeIC" localSheetId="3">'[6]Vashon BS'!#REF!</definedName>
    <definedName name="ExcludeIC" localSheetId="1">'[6]Vashon BS'!#REF!</definedName>
    <definedName name="ExcludeIC">'[6]Vashon BS'!#REF!</definedName>
    <definedName name="FBTable" localSheetId="3">#REF!</definedName>
    <definedName name="FBTable" localSheetId="4">#REF!</definedName>
    <definedName name="FBTable" localSheetId="1">#REF!</definedName>
    <definedName name="FBTable">#REF!</definedName>
    <definedName name="FBTableOld" localSheetId="3">#REF!</definedName>
    <definedName name="FBTableOld" localSheetId="4">#REF!</definedName>
    <definedName name="FBTableOld" localSheetId="1">#REF!</definedName>
    <definedName name="FBTableOld">#REF!</definedName>
    <definedName name="filter">[1]Settings!$B$14:$H$25</definedName>
    <definedName name="GLMappingStart" localSheetId="3">#REF!</definedName>
    <definedName name="GLMappingStart" localSheetId="1">#REF!</definedName>
    <definedName name="GLMappingStart">#REF!</definedName>
    <definedName name="IncomeStmnt" localSheetId="3">#REF!</definedName>
    <definedName name="IncomeStmnt" localSheetId="1">#REF!</definedName>
    <definedName name="IncomeStmnt">#REF!</definedName>
    <definedName name="INPUT" localSheetId="3">#REF!</definedName>
    <definedName name="INPUT" localSheetId="4">#REF!</definedName>
    <definedName name="INPUT" localSheetId="1">#REF!</definedName>
    <definedName name="INPUT">#REF!</definedName>
    <definedName name="Insurance" localSheetId="3">#REF!</definedName>
    <definedName name="Insurance" localSheetId="1">#REF!</definedName>
    <definedName name="Insurance">#REF!</definedName>
    <definedName name="JEDetail" localSheetId="3">#REF!</definedName>
    <definedName name="JEDetail" localSheetId="1">#REF!</definedName>
    <definedName name="JEDetail">#REF!</definedName>
    <definedName name="JEType" localSheetId="3">#REF!</definedName>
    <definedName name="JEType" localSheetId="1">#REF!</definedName>
    <definedName name="JEType">#REF!</definedName>
    <definedName name="lblBillAreaStatus" localSheetId="3">#REF!</definedName>
    <definedName name="lblBillAreaStatus" localSheetId="1">#REF!</definedName>
    <definedName name="lblBillAreaStatus">#REF!</definedName>
    <definedName name="lblBillCycleStatus" localSheetId="3">#REF!</definedName>
    <definedName name="lblBillCycleStatus" localSheetId="1">#REF!</definedName>
    <definedName name="lblBillCycleStatus">#REF!</definedName>
    <definedName name="lblCategoryStatus" localSheetId="3">#REF!</definedName>
    <definedName name="lblCategoryStatus" localSheetId="1">#REF!</definedName>
    <definedName name="lblCategoryStatus">#REF!</definedName>
    <definedName name="lblCompanyStatus" localSheetId="3">#REF!</definedName>
    <definedName name="lblCompanyStatus" localSheetId="1">#REF!</definedName>
    <definedName name="lblCompanyStatus">#REF!</definedName>
    <definedName name="lblDatabaseStatus" localSheetId="3">#REF!</definedName>
    <definedName name="lblDatabaseStatus" localSheetId="1">#REF!</definedName>
    <definedName name="lblDatabaseStatus">#REF!</definedName>
    <definedName name="lblPullStatus" localSheetId="3">#REF!</definedName>
    <definedName name="lblPullStatus" localSheetId="1">#REF!</definedName>
    <definedName name="lblPullStatus">#REF!</definedName>
    <definedName name="lllllllllllllllllllll" localSheetId="3">#REF!</definedName>
    <definedName name="lllllllllllllllllllll" localSheetId="1">#REF!</definedName>
    <definedName name="lllllllllllllllllllll">#REF!</definedName>
    <definedName name="MainDataEnd" localSheetId="3">#REF!</definedName>
    <definedName name="MainDataEnd" localSheetId="1">#REF!</definedName>
    <definedName name="MainDataEnd">#REF!</definedName>
    <definedName name="MainDataStart" localSheetId="3">#REF!</definedName>
    <definedName name="MainDataStart" localSheetId="1">#REF!</definedName>
    <definedName name="MainDataStart">#REF!</definedName>
    <definedName name="MapKeyStart" localSheetId="3">#REF!</definedName>
    <definedName name="MapKeyStart" localSheetId="1">#REF!</definedName>
    <definedName name="MapKeyStart">#REF!</definedName>
    <definedName name="master_def" localSheetId="3">#REF!</definedName>
    <definedName name="master_def" localSheetId="4">#REF!</definedName>
    <definedName name="master_def" localSheetId="1">#REF!</definedName>
    <definedName name="master_def">#REF!</definedName>
    <definedName name="MemoAttachment" localSheetId="3">#REF!</definedName>
    <definedName name="MemoAttachment" localSheetId="4">#REF!</definedName>
    <definedName name="MemoAttachment" localSheetId="1">#REF!</definedName>
    <definedName name="MemoAttachment">#REF!</definedName>
    <definedName name="MetaSet">[1]Orientation!$C$22</definedName>
    <definedName name="NewOnlyOrg">#N/A</definedName>
    <definedName name="NOTES" localSheetId="3">#REF!</definedName>
    <definedName name="NOTES" localSheetId="4">#REF!</definedName>
    <definedName name="NOTES" localSheetId="1">#REF!</definedName>
    <definedName name="NOTES">#REF!</definedName>
    <definedName name="NR" localSheetId="3">#REF!</definedName>
    <definedName name="NR" localSheetId="4">#REF!</definedName>
    <definedName name="NR" localSheetId="1">#REF!</definedName>
    <definedName name="NR">#REF!</definedName>
    <definedName name="OfficerSalary">#N/A</definedName>
    <definedName name="OffsetAcctBil">[7]JEexport!$L$10</definedName>
    <definedName name="OffsetAcctPmt">[7]JEexport!$L$9</definedName>
    <definedName name="Org11_13">#N/A</definedName>
    <definedName name="Org7_10">#N/A</definedName>
    <definedName name="p" localSheetId="3">#REF!</definedName>
    <definedName name="p" localSheetId="1">#REF!</definedName>
    <definedName name="p">#REF!</definedName>
    <definedName name="PAGE_1" localSheetId="3">#REF!</definedName>
    <definedName name="PAGE_1" localSheetId="4">#REF!</definedName>
    <definedName name="PAGE_1" localSheetId="1">#REF!</definedName>
    <definedName name="PAGE_1">#REF!</definedName>
    <definedName name="pBatchID" localSheetId="3">#REF!</definedName>
    <definedName name="pBatchID" localSheetId="1">#REF!</definedName>
    <definedName name="pBatchID">#REF!</definedName>
    <definedName name="pBillArea" localSheetId="3">#REF!</definedName>
    <definedName name="pBillArea" localSheetId="1">#REF!</definedName>
    <definedName name="pBillArea">#REF!</definedName>
    <definedName name="pBillCycle" localSheetId="3">#REF!</definedName>
    <definedName name="pBillCycle" localSheetId="1">#REF!</definedName>
    <definedName name="pBillCycle">#REF!</definedName>
    <definedName name="pCategory" localSheetId="3">#REF!</definedName>
    <definedName name="pCategory" localSheetId="1">#REF!</definedName>
    <definedName name="pCategory">#REF!</definedName>
    <definedName name="pCompany" localSheetId="3">#REF!</definedName>
    <definedName name="pCompany" localSheetId="1">#REF!</definedName>
    <definedName name="pCompany">#REF!</definedName>
    <definedName name="pCustomerNumber" localSheetId="3">#REF!</definedName>
    <definedName name="pCustomerNumber" localSheetId="1">#REF!</definedName>
    <definedName name="pCustomerNumber">#REF!</definedName>
    <definedName name="pDatabase" localSheetId="3">#REF!</definedName>
    <definedName name="pDatabase" localSheetId="1">#REF!</definedName>
    <definedName name="pDatabase">#REF!</definedName>
    <definedName name="pEndPostDate" localSheetId="3">#REF!</definedName>
    <definedName name="pEndPostDate" localSheetId="1">#REF!</definedName>
    <definedName name="pEndPostDate">#REF!</definedName>
    <definedName name="Period" localSheetId="3">#REF!</definedName>
    <definedName name="Period" localSheetId="1">#REF!</definedName>
    <definedName name="Period">#REF!</definedName>
    <definedName name="pMonth" localSheetId="3">#REF!</definedName>
    <definedName name="pMonth" localSheetId="1">#REF!</definedName>
    <definedName name="pMonth">#REF!</definedName>
    <definedName name="pOnlyShowLastTranx" localSheetId="3">#REF!</definedName>
    <definedName name="pOnlyShowLastTranx" localSheetId="1">#REF!</definedName>
    <definedName name="pOnlyShowLastTranx">#REF!</definedName>
    <definedName name="primtbl">[1]Orientation!$C$23</definedName>
    <definedName name="_xlnm.Print_Area" localSheetId="3">'Co Cust Cnt - Kitsap'!$A$1:$D$80</definedName>
    <definedName name="_xlnm.Print_Area" localSheetId="4">'Co Cust Cnt - Ref Only'!$A$1:$D$85</definedName>
    <definedName name="_xlnm.Print_Area">#REF!</definedName>
    <definedName name="Print_Area_MI" localSheetId="3">#REF!</definedName>
    <definedName name="Print_Area_MI" localSheetId="4">#REF!</definedName>
    <definedName name="Print_Area_MI" localSheetId="1">#REF!</definedName>
    <definedName name="Print_Area_MI">#REF!</definedName>
    <definedName name="Print_Area1" localSheetId="3">#REF!</definedName>
    <definedName name="Print_Area1" localSheetId="4">#REF!</definedName>
    <definedName name="Print_Area1" localSheetId="1">#REF!</definedName>
    <definedName name="Print_Area1">#REF!</definedName>
    <definedName name="Print_Area2" localSheetId="3">#REF!</definedName>
    <definedName name="Print_Area2" localSheetId="4">#REF!</definedName>
    <definedName name="Print_Area2" localSheetId="1">#REF!</definedName>
    <definedName name="Print_Area2">#REF!</definedName>
    <definedName name="Print_Area3" localSheetId="3">#REF!</definedName>
    <definedName name="Print_Area3" localSheetId="4">#REF!</definedName>
    <definedName name="Print_Area3" localSheetId="1">#REF!</definedName>
    <definedName name="Print_Area3">#REF!</definedName>
    <definedName name="Print_Area5" localSheetId="3">#REF!</definedName>
    <definedName name="Print_Area5" localSheetId="4">#REF!</definedName>
    <definedName name="Print_Area5" localSheetId="1">#REF!</definedName>
    <definedName name="Print_Area5">#REF!</definedName>
    <definedName name="_xlnm.Print_Titles" localSheetId="3">'Co Cust Cnt - Kitsap'!$A:$A,'Co Cust Cnt - Kitsap'!$4:$4</definedName>
    <definedName name="_xlnm.Print_Titles" localSheetId="4">'Co Cust Cnt - Ref Only'!$A:$A,'Co Cust Cnt - Ref Only'!$5:$5</definedName>
    <definedName name="_xlnm.Print_Titles" localSheetId="1">'DF Calc (Kitsap Co.)'!$A:$D,'DF Calc (Kitsap Co.)'!$5:$5</definedName>
    <definedName name="_xlnm.Print_Titles" localSheetId="2">'Prop. Rates'!$2:$5</definedName>
    <definedName name="Print1" localSheetId="3">#REF!</definedName>
    <definedName name="Print1" localSheetId="4">#REF!</definedName>
    <definedName name="Print1" localSheetId="1">#REF!</definedName>
    <definedName name="Print1">#REF!</definedName>
    <definedName name="Print2" localSheetId="3">#REF!</definedName>
    <definedName name="Print2" localSheetId="4">#REF!</definedName>
    <definedName name="Print2" localSheetId="1">#REF!</definedName>
    <definedName name="Print2">#REF!</definedName>
    <definedName name="Print5" localSheetId="3">#REF!</definedName>
    <definedName name="Print5" localSheetId="4">#REF!</definedName>
    <definedName name="Print5" localSheetId="1">#REF!</definedName>
    <definedName name="Print5">#REF!</definedName>
    <definedName name="ProRev">'[3]Pacific Regulated - Price Out'!$M$49</definedName>
    <definedName name="ProRev_com">'[3]Pacific Regulated - Price Out'!$M$213</definedName>
    <definedName name="ProRev_mfr">'[3]Pacific Regulated - Price Out'!$M$221</definedName>
    <definedName name="ProRev_ro">'[3]Pacific Regulated - Price Out'!$M$281</definedName>
    <definedName name="ProRev_rr">'[3]Pacific Regulated - Price Out'!$M$58</definedName>
    <definedName name="ProRev_yw">'[3]Pacific Regulated - Price Out'!$M$69</definedName>
    <definedName name="pServer" localSheetId="3">#REF!</definedName>
    <definedName name="pServer" localSheetId="1">#REF!</definedName>
    <definedName name="pServer">#REF!</definedName>
    <definedName name="pServiceCode" localSheetId="3">#REF!</definedName>
    <definedName name="pServiceCode" localSheetId="1">#REF!</definedName>
    <definedName name="pServiceCode">#REF!</definedName>
    <definedName name="pShowAllUnposted" localSheetId="3">#REF!</definedName>
    <definedName name="pShowAllUnposted" localSheetId="1">#REF!</definedName>
    <definedName name="pShowAllUnposted">#REF!</definedName>
    <definedName name="pShowCustomerDetail" localSheetId="3">#REF!</definedName>
    <definedName name="pShowCustomerDetail" localSheetId="1">#REF!</definedName>
    <definedName name="pShowCustomerDetail">#REF!</definedName>
    <definedName name="pSortOption" localSheetId="3">#REF!</definedName>
    <definedName name="pSortOption" localSheetId="1">#REF!</definedName>
    <definedName name="pSortOption">#REF!</definedName>
    <definedName name="pStartPostDate" localSheetId="3">#REF!</definedName>
    <definedName name="pStartPostDate" localSheetId="1">#REF!</definedName>
    <definedName name="pStartPostDate">#REF!</definedName>
    <definedName name="pTransType" localSheetId="3">#REF!</definedName>
    <definedName name="pTransType" localSheetId="1">#REF!</definedName>
    <definedName name="pTransType">#REF!</definedName>
    <definedName name="RCW_81.04.080">#N/A</definedName>
    <definedName name="RecyDisposal">#N/A</definedName>
    <definedName name="RelatedSalary">#N/A</definedName>
    <definedName name="report_type">[1]Orientation!$C$24</definedName>
    <definedName name="ReportNames" localSheetId="3">[5]ControlPanel!$X$2:$X$8</definedName>
    <definedName name="ReportNames" localSheetId="4">[5]ControlPanel!$X$2:$X$8</definedName>
    <definedName name="ReportNames">[8]ControlPanel!$S$2:$S$16</definedName>
    <definedName name="ReportVersion">[1]Settings!$D$5</definedName>
    <definedName name="RetainedEarnings" localSheetId="3">#REF!</definedName>
    <definedName name="RetainedEarnings" localSheetId="1">#REF!</definedName>
    <definedName name="RetainedEarnings">#REF!</definedName>
    <definedName name="RevCust" localSheetId="3">[9]RevenuesCust!#REF!</definedName>
    <definedName name="RevCust" localSheetId="4">[9]RevenuesCust!#REF!</definedName>
    <definedName name="RevCust" localSheetId="1">[9]RevenuesCust!#REF!</definedName>
    <definedName name="RevCust">[9]RevenuesCust!#REF!</definedName>
    <definedName name="rngCreateLog">[1]Delivery!$B$12</definedName>
    <definedName name="rngFilePassword">[1]Delivery!$B$6</definedName>
    <definedName name="rngSourceTab">[1]Delivery!$E$8</definedName>
    <definedName name="rowgroup">[1]Orientation!$C$17</definedName>
    <definedName name="rowsegment">[1]Orientation!$B$17</definedName>
    <definedName name="Sequential_Group">[1]Settings!$J$6</definedName>
    <definedName name="Sequential_Segment">[1]Settings!$I$6</definedName>
    <definedName name="Sequential_sort">[1]Settings!$I$10:$J$11</definedName>
    <definedName name="sortcol" localSheetId="3">#REF!</definedName>
    <definedName name="sortcol" localSheetId="4">#REF!</definedName>
    <definedName name="sortcol" localSheetId="1">#REF!</definedName>
    <definedName name="sortcol">#REF!</definedName>
    <definedName name="sSRCDate" localSheetId="3">'[10]Feb''12 FAR Data'!#REF!</definedName>
    <definedName name="sSRCDate" localSheetId="1">'[10]Feb''12 FAR Data'!#REF!</definedName>
    <definedName name="sSRCDate">'[10]Feb''12 FAR Data'!#REF!</definedName>
    <definedName name="Supplemental_filter">[1]Settings!$C$31</definedName>
    <definedName name="SWDisposal">#N/A</definedName>
    <definedName name="System">[11]BS_Close!$V$8</definedName>
    <definedName name="TemplateEnd" localSheetId="3">#REF!</definedName>
    <definedName name="TemplateEnd" localSheetId="1">#REF!</definedName>
    <definedName name="TemplateEnd">#REF!</definedName>
    <definedName name="TemplateStart" localSheetId="3">#REF!</definedName>
    <definedName name="TemplateStart" localSheetId="1">#REF!</definedName>
    <definedName name="TemplateStart">#REF!</definedName>
    <definedName name="TheTable" localSheetId="3">#REF!</definedName>
    <definedName name="TheTable" localSheetId="4">#REF!</definedName>
    <definedName name="TheTable" localSheetId="1">#REF!</definedName>
    <definedName name="TheTable">#REF!</definedName>
    <definedName name="TheTableOLD" localSheetId="3">#REF!</definedName>
    <definedName name="TheTableOLD" localSheetId="4">#REF!</definedName>
    <definedName name="TheTableOLD" localSheetId="1">#REF!</definedName>
    <definedName name="TheTableOLD">#REF!</definedName>
    <definedName name="timeseries">[1]Orientation!$B$6:$C$13</definedName>
    <definedName name="Total_Comm">'[4]Tariff Rate Sheet'!$L$214</definedName>
    <definedName name="Total_DB">'[4]Tariff Rate Sheet'!$L$278</definedName>
    <definedName name="Total_Resi">'[4]Tariff Rate Sheet'!$L$107</definedName>
    <definedName name="Transactions" localSheetId="3">#REF!</definedName>
    <definedName name="Transactions" localSheetId="1">#REF!</definedName>
    <definedName name="Transactions">#REF!</definedName>
    <definedName name="WTable" localSheetId="3">#REF!</definedName>
    <definedName name="WTable" localSheetId="4">#REF!</definedName>
    <definedName name="WTable" localSheetId="1">#REF!</definedName>
    <definedName name="WTable">#REF!</definedName>
    <definedName name="WTableOld" localSheetId="3">#REF!</definedName>
    <definedName name="WTableOld" localSheetId="4">#REF!</definedName>
    <definedName name="WTableOld" localSheetId="1">#REF!</definedName>
    <definedName name="WTableOld">#REF!</definedName>
    <definedName name="ww" localSheetId="3">#REF!</definedName>
    <definedName name="ww" localSheetId="1">#REF!</definedName>
    <definedName name="ww">#REF!</definedName>
    <definedName name="xperiod">[1]Orientation!$G$15</definedName>
    <definedName name="xtabin" localSheetId="3">[2]Hidden!#REF!</definedName>
    <definedName name="xtabin" localSheetId="1">[2]Hidden!#REF!</definedName>
    <definedName name="xtabin">[2]Hidden!#REF!</definedName>
    <definedName name="xx" localSheetId="3">#REF!</definedName>
    <definedName name="xx" localSheetId="4">#REF!</definedName>
    <definedName name="xx" localSheetId="1">#REF!</definedName>
    <definedName name="xx">#REF!</definedName>
    <definedName name="xxx" localSheetId="3">#REF!</definedName>
    <definedName name="xxx" localSheetId="4">#REF!</definedName>
    <definedName name="xxx" localSheetId="1">#REF!</definedName>
    <definedName name="xxx">#REF!</definedName>
    <definedName name="xxxx" localSheetId="3">#REF!</definedName>
    <definedName name="xxxx" localSheetId="4">#REF!</definedName>
    <definedName name="xxxx" localSheetId="1">#REF!</definedName>
    <definedName name="xxxx">#REF!</definedName>
    <definedName name="YearMonth" localSheetId="3">'[6]Vashon BS'!#REF!</definedName>
    <definedName name="YearMonth" localSheetId="1">'[6]Vashon BS'!#REF!</definedName>
    <definedName name="YearMonth">'[6]Vashon BS'!#REF!</definedName>
    <definedName name="YWMedWasteDisp">#N/A</definedName>
  </definedNames>
  <calcPr calcId="145621" concurrentManualCount="4"/>
</workbook>
</file>

<file path=xl/calcChain.xml><?xml version="1.0" encoding="utf-8"?>
<calcChain xmlns="http://schemas.openxmlformats.org/spreadsheetml/2006/main">
  <c r="C56" i="9" l="1"/>
  <c r="D56" i="9"/>
  <c r="G24" i="11" l="1"/>
  <c r="G23" i="11"/>
  <c r="G22" i="11"/>
  <c r="G21" i="11"/>
  <c r="G73" i="11" l="1"/>
  <c r="G10" i="11"/>
  <c r="F55" i="11" l="1"/>
  <c r="B25" i="5"/>
  <c r="B24" i="5"/>
  <c r="B23" i="5"/>
  <c r="C19" i="5"/>
  <c r="C18" i="5"/>
  <c r="C17" i="5"/>
  <c r="B27" i="5"/>
  <c r="B26" i="5"/>
  <c r="D75" i="12" l="1"/>
  <c r="D74" i="12"/>
  <c r="D73" i="12"/>
  <c r="D72" i="12"/>
  <c r="D71" i="12"/>
  <c r="D70" i="12"/>
  <c r="D69" i="12"/>
  <c r="D68" i="12"/>
  <c r="D67" i="12"/>
  <c r="D66" i="12"/>
  <c r="D65" i="12"/>
  <c r="D64" i="12"/>
  <c r="D63" i="12"/>
  <c r="D62" i="12"/>
  <c r="D61" i="12"/>
  <c r="D60" i="12"/>
  <c r="D53" i="12"/>
  <c r="D52" i="12"/>
  <c r="A1" i="12"/>
  <c r="C51" i="12"/>
  <c r="D51" i="12" s="1"/>
  <c r="C79" i="12"/>
  <c r="D79" i="12" s="1"/>
  <c r="C78" i="12"/>
  <c r="D78" i="12" s="1"/>
  <c r="C77" i="12"/>
  <c r="D77" i="12" s="1"/>
  <c r="C76" i="12"/>
  <c r="D76" i="12" s="1"/>
  <c r="C57" i="12"/>
  <c r="D57" i="12" s="1"/>
  <c r="C56" i="12"/>
  <c r="D56" i="12" s="1"/>
  <c r="C55" i="12"/>
  <c r="D55" i="12" s="1"/>
  <c r="C54" i="12"/>
  <c r="D54" i="12" s="1"/>
  <c r="C7" i="12"/>
  <c r="D7" i="12" s="1"/>
  <c r="C8" i="12"/>
  <c r="D8" i="12" s="1"/>
  <c r="C9" i="12"/>
  <c r="D9" i="12" s="1"/>
  <c r="C10" i="12"/>
  <c r="D10" i="12" s="1"/>
  <c r="C11" i="12"/>
  <c r="D11" i="12" s="1"/>
  <c r="C12" i="12"/>
  <c r="D12" i="12" s="1"/>
  <c r="C13" i="12"/>
  <c r="D13" i="12" s="1"/>
  <c r="C14" i="12"/>
  <c r="D14" i="12" s="1"/>
  <c r="C15" i="12"/>
  <c r="D15" i="12" s="1"/>
  <c r="C17" i="12"/>
  <c r="D17" i="12" s="1"/>
  <c r="C18" i="12"/>
  <c r="D18" i="12" s="1"/>
  <c r="C19" i="12"/>
  <c r="D19" i="12" s="1"/>
  <c r="C20" i="12"/>
  <c r="D20" i="12" s="1"/>
  <c r="C21" i="12"/>
  <c r="D21" i="12" s="1"/>
  <c r="C22" i="12"/>
  <c r="D22" i="12" s="1"/>
  <c r="C24" i="12"/>
  <c r="D24" i="12" s="1"/>
  <c r="C25" i="12"/>
  <c r="D25" i="12" s="1"/>
  <c r="C26" i="12"/>
  <c r="D26" i="12" s="1"/>
  <c r="C27" i="12"/>
  <c r="D27" i="12" s="1"/>
  <c r="C29" i="12"/>
  <c r="D29" i="12" s="1"/>
  <c r="C30" i="12"/>
  <c r="D30" i="12" s="1"/>
  <c r="C31" i="12"/>
  <c r="D31" i="12" s="1"/>
  <c r="C33" i="12"/>
  <c r="D33" i="12" s="1"/>
  <c r="C34" i="12"/>
  <c r="D34" i="12" s="1"/>
  <c r="C38" i="12"/>
  <c r="D38" i="12" s="1"/>
  <c r="C59" i="12"/>
  <c r="D59" i="12" s="1"/>
  <c r="C40" i="12"/>
  <c r="D40" i="12" s="1"/>
  <c r="C41" i="12"/>
  <c r="D41" i="12" s="1"/>
  <c r="C43" i="12"/>
  <c r="D43" i="12" s="1"/>
  <c r="C44" i="12"/>
  <c r="D44" i="12" s="1"/>
  <c r="C45" i="12"/>
  <c r="D45" i="12" s="1"/>
  <c r="C6" i="12"/>
  <c r="D6" i="12" s="1"/>
  <c r="B47" i="12"/>
  <c r="B35" i="12"/>
  <c r="C70" i="9" l="1"/>
  <c r="C71" i="9"/>
  <c r="C72" i="9"/>
  <c r="C73" i="9"/>
  <c r="C74" i="9"/>
  <c r="C75" i="9"/>
  <c r="C76" i="9"/>
  <c r="C77" i="9"/>
  <c r="D69" i="9"/>
  <c r="C69" i="9" s="1"/>
  <c r="T12" i="11" l="1"/>
  <c r="T17" i="11"/>
  <c r="T20" i="11"/>
  <c r="T25" i="11"/>
  <c r="T31" i="11"/>
  <c r="T37" i="11"/>
  <c r="M78" i="11"/>
  <c r="A1" i="11" l="1"/>
  <c r="D83" i="1" l="1"/>
  <c r="D82" i="1"/>
  <c r="D81" i="1"/>
  <c r="D80" i="1"/>
  <c r="D79" i="1"/>
  <c r="D78" i="1"/>
  <c r="D77" i="1"/>
  <c r="D76" i="1"/>
  <c r="D75" i="1"/>
  <c r="D74" i="1"/>
  <c r="D73" i="1"/>
  <c r="D72" i="1"/>
  <c r="D71" i="1"/>
  <c r="C68" i="1"/>
  <c r="D68" i="1" s="1"/>
  <c r="D66" i="1"/>
  <c r="D65" i="1"/>
  <c r="D63" i="1"/>
  <c r="D62" i="1"/>
  <c r="D60" i="1"/>
  <c r="B56" i="1"/>
  <c r="C54" i="1"/>
  <c r="D54" i="1" s="1"/>
  <c r="C53" i="1"/>
  <c r="D53" i="1" s="1"/>
  <c r="C52" i="1"/>
  <c r="D52" i="1" s="1"/>
  <c r="C50" i="1"/>
  <c r="D50" i="1" s="1"/>
  <c r="B50" i="1"/>
  <c r="D49" i="1"/>
  <c r="C49" i="1"/>
  <c r="C48" i="1"/>
  <c r="D48" i="1" s="1"/>
  <c r="D46" i="1"/>
  <c r="C46" i="1"/>
  <c r="B43" i="1"/>
  <c r="D42" i="1"/>
  <c r="C42" i="1"/>
  <c r="D41" i="1"/>
  <c r="C41" i="1"/>
  <c r="D40" i="1"/>
  <c r="C40" i="1"/>
  <c r="D38" i="1"/>
  <c r="C38" i="1"/>
  <c r="D37" i="1"/>
  <c r="C37" i="1"/>
  <c r="D36" i="1"/>
  <c r="C36" i="1"/>
  <c r="D35" i="1"/>
  <c r="C35" i="1"/>
  <c r="D34" i="1"/>
  <c r="C34" i="1"/>
  <c r="D32" i="1"/>
  <c r="C32" i="1"/>
  <c r="D31" i="1"/>
  <c r="C31" i="1"/>
  <c r="D30" i="1"/>
  <c r="C30" i="1"/>
  <c r="D29" i="1"/>
  <c r="C29" i="1"/>
  <c r="D28" i="1"/>
  <c r="C28" i="1"/>
  <c r="D26" i="1"/>
  <c r="C26" i="1"/>
  <c r="D25" i="1"/>
  <c r="C25" i="1"/>
  <c r="D24" i="1"/>
  <c r="C24" i="1"/>
  <c r="D23" i="1"/>
  <c r="C23" i="1"/>
  <c r="D22" i="1"/>
  <c r="C22" i="1"/>
  <c r="D21" i="1"/>
  <c r="C21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D43" i="1" s="1"/>
  <c r="C7" i="1"/>
  <c r="C92" i="11"/>
  <c r="C93" i="11" s="1"/>
  <c r="M86" i="11"/>
  <c r="G86" i="11"/>
  <c r="M85" i="11"/>
  <c r="G85" i="11"/>
  <c r="M84" i="11"/>
  <c r="G84" i="11"/>
  <c r="M83" i="11"/>
  <c r="G83" i="11"/>
  <c r="M82" i="11"/>
  <c r="G82" i="11"/>
  <c r="M81" i="11"/>
  <c r="G81" i="11"/>
  <c r="M80" i="11"/>
  <c r="G80" i="11"/>
  <c r="M79" i="11"/>
  <c r="G78" i="11"/>
  <c r="M77" i="11"/>
  <c r="G77" i="11"/>
  <c r="M76" i="11"/>
  <c r="G76" i="11"/>
  <c r="M75" i="11"/>
  <c r="G75" i="11"/>
  <c r="M74" i="11"/>
  <c r="G74" i="11"/>
  <c r="M73" i="11"/>
  <c r="M72" i="11"/>
  <c r="G72" i="11"/>
  <c r="M71" i="11"/>
  <c r="G71" i="11"/>
  <c r="M70" i="11"/>
  <c r="G70" i="11"/>
  <c r="M69" i="11"/>
  <c r="G69" i="11"/>
  <c r="M68" i="11"/>
  <c r="G68" i="11"/>
  <c r="G79" i="11" s="1"/>
  <c r="M67" i="11"/>
  <c r="G67" i="11"/>
  <c r="M65" i="11"/>
  <c r="G65" i="11"/>
  <c r="M64" i="11"/>
  <c r="G64" i="11"/>
  <c r="M63" i="11"/>
  <c r="G63" i="11"/>
  <c r="M62" i="11"/>
  <c r="G62" i="11"/>
  <c r="M61" i="11"/>
  <c r="G61" i="11"/>
  <c r="M60" i="11"/>
  <c r="G60" i="11"/>
  <c r="M59" i="11"/>
  <c r="G59" i="11"/>
  <c r="M57" i="11"/>
  <c r="G57" i="11"/>
  <c r="M56" i="11"/>
  <c r="G56" i="11"/>
  <c r="M55" i="11"/>
  <c r="G55" i="11"/>
  <c r="M54" i="11"/>
  <c r="G54" i="11"/>
  <c r="D50" i="11"/>
  <c r="D49" i="11"/>
  <c r="M47" i="11"/>
  <c r="G47" i="11"/>
  <c r="M46" i="11"/>
  <c r="G46" i="11"/>
  <c r="M45" i="11"/>
  <c r="G45" i="11"/>
  <c r="M44" i="11"/>
  <c r="G44" i="11"/>
  <c r="M43" i="11"/>
  <c r="G43" i="11"/>
  <c r="M42" i="11"/>
  <c r="G42" i="11"/>
  <c r="D41" i="11"/>
  <c r="M39" i="11"/>
  <c r="G39" i="11"/>
  <c r="M38" i="11"/>
  <c r="G38" i="11"/>
  <c r="M36" i="11"/>
  <c r="P36" i="11" s="1"/>
  <c r="G36" i="11"/>
  <c r="H36" i="11" s="1"/>
  <c r="M35" i="11"/>
  <c r="P35" i="11" s="1"/>
  <c r="G35" i="11"/>
  <c r="H35" i="11" s="1"/>
  <c r="M34" i="11"/>
  <c r="G34" i="11"/>
  <c r="M33" i="11"/>
  <c r="G33" i="11"/>
  <c r="M32" i="11"/>
  <c r="G32" i="11"/>
  <c r="M30" i="11"/>
  <c r="P30" i="11" s="1"/>
  <c r="G30" i="11"/>
  <c r="M29" i="11"/>
  <c r="P29" i="11" s="1"/>
  <c r="G29" i="11"/>
  <c r="M28" i="11"/>
  <c r="P28" i="11" s="1"/>
  <c r="G28" i="11"/>
  <c r="H28" i="11" s="1"/>
  <c r="M27" i="11"/>
  <c r="P27" i="11" s="1"/>
  <c r="G27" i="11"/>
  <c r="M26" i="11"/>
  <c r="P26" i="11" s="1"/>
  <c r="G26" i="11"/>
  <c r="M24" i="11"/>
  <c r="P24" i="11" s="1"/>
  <c r="M23" i="11"/>
  <c r="P23" i="11" s="1"/>
  <c r="M22" i="11"/>
  <c r="P22" i="11" s="1"/>
  <c r="M21" i="11"/>
  <c r="P21" i="11" s="1"/>
  <c r="M19" i="11"/>
  <c r="P19" i="11" s="1"/>
  <c r="M18" i="11"/>
  <c r="P18" i="11" s="1"/>
  <c r="G18" i="11"/>
  <c r="M16" i="11"/>
  <c r="P16" i="11" s="1"/>
  <c r="G16" i="11"/>
  <c r="M15" i="11"/>
  <c r="P15" i="11" s="1"/>
  <c r="G15" i="11"/>
  <c r="M14" i="11"/>
  <c r="P14" i="11" s="1"/>
  <c r="G14" i="11"/>
  <c r="M13" i="11"/>
  <c r="P13" i="11" s="1"/>
  <c r="G13" i="11"/>
  <c r="M10" i="11"/>
  <c r="M11" i="11" s="1"/>
  <c r="P11" i="11" s="1"/>
  <c r="G11" i="11"/>
  <c r="M9" i="11"/>
  <c r="P9" i="11" s="1"/>
  <c r="G9" i="11"/>
  <c r="M8" i="11"/>
  <c r="P8" i="11" s="1"/>
  <c r="G8" i="11"/>
  <c r="G19" i="11" s="1"/>
  <c r="M7" i="11"/>
  <c r="P7" i="11" s="1"/>
  <c r="G7" i="11"/>
  <c r="M6" i="11"/>
  <c r="P6" i="11" s="1"/>
  <c r="G6" i="11"/>
  <c r="G56" i="5"/>
  <c r="G55" i="5"/>
  <c r="B54" i="5"/>
  <c r="B58" i="5" s="1"/>
  <c r="C53" i="5"/>
  <c r="C52" i="5"/>
  <c r="D12" i="5"/>
  <c r="B12" i="5"/>
  <c r="E82" i="11" s="1"/>
  <c r="F82" i="11" s="1"/>
  <c r="G11" i="5"/>
  <c r="D11" i="5"/>
  <c r="B11" i="5"/>
  <c r="E45" i="11" s="1"/>
  <c r="F45" i="11" s="1"/>
  <c r="B10" i="5"/>
  <c r="E86" i="11" s="1"/>
  <c r="F86" i="11" s="1"/>
  <c r="B9" i="5"/>
  <c r="G9" i="5" s="1"/>
  <c r="B8" i="5"/>
  <c r="F8" i="5" s="1"/>
  <c r="C7" i="5"/>
  <c r="B7" i="5"/>
  <c r="E7" i="5" s="1"/>
  <c r="B6" i="5"/>
  <c r="H6" i="5" s="1"/>
  <c r="D56" i="1" l="1"/>
  <c r="P10" i="11"/>
  <c r="D54" i="5"/>
  <c r="S59" i="11" s="1"/>
  <c r="E9" i="5"/>
  <c r="E12" i="5"/>
  <c r="B59" i="5"/>
  <c r="B61" i="5" s="1"/>
  <c r="H12" i="5"/>
  <c r="C12" i="5"/>
  <c r="G58" i="5"/>
  <c r="G60" i="5" s="1"/>
  <c r="G8" i="5"/>
  <c r="H7" i="5"/>
  <c r="E8" i="5"/>
  <c r="H8" i="5"/>
  <c r="D7" i="5"/>
  <c r="C8" i="5"/>
  <c r="H11" i="5"/>
  <c r="F6" i="5"/>
  <c r="G7" i="5"/>
  <c r="D8" i="5"/>
  <c r="C11" i="5"/>
  <c r="G12" i="5"/>
  <c r="F10" i="5"/>
  <c r="G6" i="5"/>
  <c r="E6" i="5"/>
  <c r="F7" i="5"/>
  <c r="D9" i="5"/>
  <c r="H9" i="5"/>
  <c r="E10" i="5"/>
  <c r="F11" i="5"/>
  <c r="E9" i="11"/>
  <c r="F9" i="11" s="1"/>
  <c r="H9" i="11" s="1"/>
  <c r="E13" i="11"/>
  <c r="F13" i="11" s="1"/>
  <c r="H13" i="11" s="1"/>
  <c r="E19" i="11"/>
  <c r="F19" i="11" s="1"/>
  <c r="E27" i="11"/>
  <c r="F27" i="11" s="1"/>
  <c r="E28" i="11"/>
  <c r="E35" i="11"/>
  <c r="E36" i="11"/>
  <c r="E44" i="11"/>
  <c r="F44" i="11" s="1"/>
  <c r="E56" i="11"/>
  <c r="F56" i="11" s="1"/>
  <c r="E61" i="11"/>
  <c r="F61" i="11" s="1"/>
  <c r="H61" i="11" s="1"/>
  <c r="E65" i="11"/>
  <c r="F65" i="11" s="1"/>
  <c r="H65" i="11" s="1"/>
  <c r="E70" i="11"/>
  <c r="F70" i="11" s="1"/>
  <c r="H70" i="11" s="1"/>
  <c r="E74" i="11"/>
  <c r="F74" i="11" s="1"/>
  <c r="H74" i="11" s="1"/>
  <c r="E78" i="11"/>
  <c r="F78" i="11" s="1"/>
  <c r="H78" i="11" s="1"/>
  <c r="E81" i="11"/>
  <c r="F81" i="11" s="1"/>
  <c r="H81" i="11" s="1"/>
  <c r="E85" i="11"/>
  <c r="F85" i="11" s="1"/>
  <c r="H85" i="11" s="1"/>
  <c r="E8" i="11"/>
  <c r="F8" i="11" s="1"/>
  <c r="H8" i="11" s="1"/>
  <c r="E18" i="11"/>
  <c r="F18" i="11" s="1"/>
  <c r="E26" i="11"/>
  <c r="F26" i="11" s="1"/>
  <c r="E34" i="11"/>
  <c r="F34" i="11" s="1"/>
  <c r="E43" i="11"/>
  <c r="F43" i="11" s="1"/>
  <c r="E47" i="11"/>
  <c r="F47" i="11" s="1"/>
  <c r="E55" i="11"/>
  <c r="E60" i="11"/>
  <c r="F60" i="11" s="1"/>
  <c r="E64" i="11"/>
  <c r="F64" i="11" s="1"/>
  <c r="H64" i="11" s="1"/>
  <c r="E69" i="11"/>
  <c r="F69" i="11" s="1"/>
  <c r="H69" i="11" s="1"/>
  <c r="E73" i="11"/>
  <c r="F73" i="11" s="1"/>
  <c r="H73" i="11" s="1"/>
  <c r="E77" i="11"/>
  <c r="F77" i="11" s="1"/>
  <c r="H77" i="11" s="1"/>
  <c r="E80" i="11"/>
  <c r="F80" i="11" s="1"/>
  <c r="H80" i="11" s="1"/>
  <c r="E84" i="11"/>
  <c r="F84" i="11" s="1"/>
  <c r="H84" i="11" s="1"/>
  <c r="F9" i="5"/>
  <c r="E6" i="11"/>
  <c r="F6" i="11" s="1"/>
  <c r="E7" i="11"/>
  <c r="F7" i="11" s="1"/>
  <c r="H7" i="11" s="1"/>
  <c r="E15" i="11"/>
  <c r="F15" i="11" s="1"/>
  <c r="H15" i="11" s="1"/>
  <c r="E16" i="11"/>
  <c r="F16" i="11" s="1"/>
  <c r="H16" i="11" s="1"/>
  <c r="E21" i="11"/>
  <c r="F21" i="11" s="1"/>
  <c r="H21" i="11" s="1"/>
  <c r="E22" i="11"/>
  <c r="F22" i="11" s="1"/>
  <c r="E23" i="11"/>
  <c r="F23" i="11" s="1"/>
  <c r="H23" i="11" s="1"/>
  <c r="E24" i="11"/>
  <c r="F24" i="11" s="1"/>
  <c r="H24" i="11" s="1"/>
  <c r="E33" i="11"/>
  <c r="F33" i="11" s="1"/>
  <c r="H33" i="11" s="1"/>
  <c r="E39" i="11"/>
  <c r="F39" i="11" s="1"/>
  <c r="E42" i="11"/>
  <c r="F42" i="11" s="1"/>
  <c r="H42" i="11" s="1"/>
  <c r="E46" i="11"/>
  <c r="F46" i="11" s="1"/>
  <c r="F49" i="11" s="1"/>
  <c r="E54" i="11"/>
  <c r="F54" i="11" s="1"/>
  <c r="H54" i="11" s="1"/>
  <c r="E59" i="11"/>
  <c r="F59" i="11" s="1"/>
  <c r="E63" i="11"/>
  <c r="F63" i="11" s="1"/>
  <c r="H63" i="11" s="1"/>
  <c r="E68" i="11"/>
  <c r="F68" i="11" s="1"/>
  <c r="H68" i="11" s="1"/>
  <c r="E72" i="11"/>
  <c r="F72" i="11" s="1"/>
  <c r="H72" i="11" s="1"/>
  <c r="E76" i="11"/>
  <c r="F76" i="11" s="1"/>
  <c r="H76" i="11" s="1"/>
  <c r="E83" i="11"/>
  <c r="F83" i="11" s="1"/>
  <c r="C6" i="5"/>
  <c r="C10" i="5"/>
  <c r="G10" i="5"/>
  <c r="D6" i="5"/>
  <c r="C9" i="5"/>
  <c r="D10" i="5"/>
  <c r="H10" i="5"/>
  <c r="E11" i="5"/>
  <c r="F12" i="5"/>
  <c r="C54" i="5"/>
  <c r="E10" i="11"/>
  <c r="F10" i="11" s="1"/>
  <c r="H10" i="11" s="1"/>
  <c r="E11" i="11"/>
  <c r="F11" i="11" s="1"/>
  <c r="H11" i="11" s="1"/>
  <c r="E14" i="11"/>
  <c r="F14" i="11" s="1"/>
  <c r="E29" i="11"/>
  <c r="F29" i="11" s="1"/>
  <c r="H29" i="11" s="1"/>
  <c r="E30" i="11"/>
  <c r="F30" i="11" s="1"/>
  <c r="H30" i="11" s="1"/>
  <c r="E32" i="11"/>
  <c r="F32" i="11" s="1"/>
  <c r="H32" i="11" s="1"/>
  <c r="E38" i="11"/>
  <c r="F38" i="11" s="1"/>
  <c r="P38" i="11" s="1"/>
  <c r="E57" i="11"/>
  <c r="F57" i="11" s="1"/>
  <c r="H57" i="11" s="1"/>
  <c r="E62" i="11"/>
  <c r="F62" i="11" s="1"/>
  <c r="H62" i="11" s="1"/>
  <c r="E67" i="11"/>
  <c r="F67" i="11" s="1"/>
  <c r="H67" i="11" s="1"/>
  <c r="E71" i="11"/>
  <c r="F71" i="11" s="1"/>
  <c r="H71" i="11" s="1"/>
  <c r="E75" i="11"/>
  <c r="F75" i="11" s="1"/>
  <c r="H75" i="11" s="1"/>
  <c r="E79" i="11"/>
  <c r="F79" i="11" s="1"/>
  <c r="H79" i="11" s="1"/>
  <c r="H59" i="11"/>
  <c r="H55" i="11"/>
  <c r="H82" i="11"/>
  <c r="H86" i="11"/>
  <c r="R59" i="11"/>
  <c r="H14" i="11"/>
  <c r="H18" i="11"/>
  <c r="H19" i="11"/>
  <c r="H22" i="11"/>
  <c r="H26" i="11"/>
  <c r="H56" i="11"/>
  <c r="H60" i="11"/>
  <c r="H27" i="11"/>
  <c r="H34" i="11"/>
  <c r="P34" i="11"/>
  <c r="P33" i="11"/>
  <c r="P44" i="11"/>
  <c r="H44" i="11"/>
  <c r="P39" i="11"/>
  <c r="H39" i="11"/>
  <c r="P43" i="11"/>
  <c r="H43" i="11"/>
  <c r="H38" i="11"/>
  <c r="P47" i="11"/>
  <c r="H47" i="11"/>
  <c r="H6" i="11"/>
  <c r="P45" i="11"/>
  <c r="H45" i="11"/>
  <c r="P42" i="11"/>
  <c r="H46" i="11"/>
  <c r="P46" i="11"/>
  <c r="H83" i="11"/>
  <c r="P32" i="11" l="1"/>
  <c r="F41" i="11"/>
  <c r="F50" i="11" s="1"/>
  <c r="C94" i="11" s="1"/>
  <c r="H49" i="11"/>
  <c r="P41" i="11"/>
  <c r="H41" i="11"/>
  <c r="P49" i="11"/>
  <c r="H50" i="11" l="1"/>
  <c r="C95" i="11" s="1"/>
  <c r="I80" i="11" s="1"/>
  <c r="J80" i="11" s="1"/>
  <c r="K80" i="11" s="1"/>
  <c r="L80" i="11" s="1"/>
  <c r="P50" i="11"/>
  <c r="I6" i="11" l="1"/>
  <c r="I32" i="11"/>
  <c r="J32" i="11" s="1"/>
  <c r="K32" i="11" s="1"/>
  <c r="I67" i="11"/>
  <c r="J67" i="11" s="1"/>
  <c r="K67" i="11" s="1"/>
  <c r="I10" i="11"/>
  <c r="J10" i="11" s="1"/>
  <c r="K10" i="11" s="1"/>
  <c r="L10" i="11" s="1"/>
  <c r="U10" i="11" s="1"/>
  <c r="I30" i="11"/>
  <c r="J30" i="11" s="1"/>
  <c r="K30" i="11" s="1"/>
  <c r="L30" i="11" s="1"/>
  <c r="I59" i="11"/>
  <c r="J59" i="11" s="1"/>
  <c r="K59" i="11" s="1"/>
  <c r="L59" i="11" s="1"/>
  <c r="I19" i="11"/>
  <c r="J19" i="11" s="1"/>
  <c r="K19" i="11" s="1"/>
  <c r="L19" i="11" s="1"/>
  <c r="U19" i="11" s="1"/>
  <c r="I73" i="11"/>
  <c r="J73" i="11" s="1"/>
  <c r="K73" i="11" s="1"/>
  <c r="L73" i="11" s="1"/>
  <c r="C95" i="9" s="1"/>
  <c r="D95" i="9" s="1"/>
  <c r="O73" i="11" s="1"/>
  <c r="I78" i="11"/>
  <c r="J78" i="11" s="1"/>
  <c r="K78" i="11" s="1"/>
  <c r="L78" i="11" s="1"/>
  <c r="I13" i="11"/>
  <c r="J13" i="11" s="1"/>
  <c r="K13" i="11" s="1"/>
  <c r="L13" i="11" s="1"/>
  <c r="I38" i="11"/>
  <c r="J38" i="11" s="1"/>
  <c r="K38" i="11" s="1"/>
  <c r="L38" i="11" s="1"/>
  <c r="U38" i="11" s="1"/>
  <c r="I35" i="11"/>
  <c r="J35" i="11" s="1"/>
  <c r="K35" i="11" s="1"/>
  <c r="L35" i="11" s="1"/>
  <c r="U35" i="11" s="1"/>
  <c r="I75" i="11"/>
  <c r="J75" i="11" s="1"/>
  <c r="K75" i="11" s="1"/>
  <c r="L75" i="11" s="1"/>
  <c r="I86" i="11"/>
  <c r="J86" i="11" s="1"/>
  <c r="K86" i="11" s="1"/>
  <c r="L86" i="11" s="1"/>
  <c r="I9" i="11"/>
  <c r="J9" i="11" s="1"/>
  <c r="K9" i="11" s="1"/>
  <c r="L9" i="11" s="1"/>
  <c r="U9" i="11" s="1"/>
  <c r="I27" i="11"/>
  <c r="J27" i="11" s="1"/>
  <c r="K27" i="11" s="1"/>
  <c r="L27" i="11" s="1"/>
  <c r="U27" i="11" s="1"/>
  <c r="I63" i="11"/>
  <c r="J63" i="11" s="1"/>
  <c r="K63" i="11" s="1"/>
  <c r="L63" i="11" s="1"/>
  <c r="I46" i="11"/>
  <c r="J46" i="11" s="1"/>
  <c r="K46" i="11" s="1"/>
  <c r="L46" i="11" s="1"/>
  <c r="N46" i="11" s="1"/>
  <c r="I15" i="11"/>
  <c r="J15" i="11" s="1"/>
  <c r="K15" i="11" s="1"/>
  <c r="L15" i="11" s="1"/>
  <c r="I28" i="11"/>
  <c r="J28" i="11" s="1"/>
  <c r="K28" i="11" s="1"/>
  <c r="L28" i="11" s="1"/>
  <c r="C35" i="9" s="1"/>
  <c r="D35" i="9" s="1"/>
  <c r="O28" i="11" s="1"/>
  <c r="I7" i="11"/>
  <c r="J7" i="11" s="1"/>
  <c r="K7" i="11" s="1"/>
  <c r="L7" i="11" s="1"/>
  <c r="U7" i="11" s="1"/>
  <c r="I57" i="11"/>
  <c r="J57" i="11" s="1"/>
  <c r="K57" i="11" s="1"/>
  <c r="L57" i="11" s="1"/>
  <c r="U57" i="11" s="1"/>
  <c r="I54" i="11"/>
  <c r="J54" i="11" s="1"/>
  <c r="K54" i="11" s="1"/>
  <c r="L54" i="11" s="1"/>
  <c r="U54" i="11" s="1"/>
  <c r="I43" i="11"/>
  <c r="J43" i="11" s="1"/>
  <c r="K43" i="11" s="1"/>
  <c r="L43" i="11" s="1"/>
  <c r="C83" i="9" s="1"/>
  <c r="D83" i="9" s="1"/>
  <c r="O43" i="11" s="1"/>
  <c r="I77" i="11"/>
  <c r="J77" i="11" s="1"/>
  <c r="K77" i="11" s="1"/>
  <c r="L77" i="11" s="1"/>
  <c r="U77" i="11" s="1"/>
  <c r="I70" i="11"/>
  <c r="J70" i="11" s="1"/>
  <c r="K70" i="11" s="1"/>
  <c r="L70" i="11" s="1"/>
  <c r="U70" i="11" s="1"/>
  <c r="I76" i="11"/>
  <c r="J76" i="11" s="1"/>
  <c r="K76" i="11" s="1"/>
  <c r="L76" i="11" s="1"/>
  <c r="U76" i="11" s="1"/>
  <c r="I29" i="11"/>
  <c r="J29" i="11" s="1"/>
  <c r="K29" i="11" s="1"/>
  <c r="L29" i="11" s="1"/>
  <c r="C36" i="9" s="1"/>
  <c r="D36" i="9" s="1"/>
  <c r="O29" i="11" s="1"/>
  <c r="I8" i="11"/>
  <c r="J8" i="11" s="1"/>
  <c r="K8" i="11" s="1"/>
  <c r="L8" i="11" s="1"/>
  <c r="I11" i="11"/>
  <c r="J11" i="11" s="1"/>
  <c r="K11" i="11" s="1"/>
  <c r="L11" i="11" s="1"/>
  <c r="N11" i="11" s="1"/>
  <c r="S11" i="11" s="1"/>
  <c r="I64" i="11"/>
  <c r="J64" i="11" s="1"/>
  <c r="K64" i="11" s="1"/>
  <c r="L64" i="11" s="1"/>
  <c r="U64" i="11" s="1"/>
  <c r="I56" i="11"/>
  <c r="J56" i="11" s="1"/>
  <c r="K56" i="11" s="1"/>
  <c r="L56" i="11" s="1"/>
  <c r="U56" i="11" s="1"/>
  <c r="I55" i="11"/>
  <c r="J55" i="11" s="1"/>
  <c r="K55" i="11" s="1"/>
  <c r="L55" i="11" s="1"/>
  <c r="I42" i="11"/>
  <c r="J42" i="11" s="1"/>
  <c r="K42" i="11" s="1"/>
  <c r="L42" i="11" s="1"/>
  <c r="N42" i="11" s="1"/>
  <c r="S42" i="11" s="1"/>
  <c r="I74" i="11"/>
  <c r="J74" i="11" s="1"/>
  <c r="K74" i="11" s="1"/>
  <c r="L74" i="11" s="1"/>
  <c r="N74" i="11" s="1"/>
  <c r="I79" i="11"/>
  <c r="J79" i="11" s="1"/>
  <c r="K79" i="11" s="1"/>
  <c r="L79" i="11" s="1"/>
  <c r="C101" i="9" s="1"/>
  <c r="D101" i="9" s="1"/>
  <c r="U75" i="11"/>
  <c r="U30" i="11"/>
  <c r="U15" i="11"/>
  <c r="U8" i="11"/>
  <c r="U63" i="11"/>
  <c r="U13" i="11"/>
  <c r="U86" i="11"/>
  <c r="U78" i="11"/>
  <c r="U55" i="11"/>
  <c r="U46" i="11"/>
  <c r="U59" i="11"/>
  <c r="U80" i="11"/>
  <c r="I26" i="11"/>
  <c r="J26" i="11" s="1"/>
  <c r="K26" i="11" s="1"/>
  <c r="L26" i="11" s="1"/>
  <c r="U26" i="11" s="1"/>
  <c r="I24" i="11"/>
  <c r="J24" i="11" s="1"/>
  <c r="K24" i="11" s="1"/>
  <c r="L24" i="11" s="1"/>
  <c r="U24" i="11" s="1"/>
  <c r="I18" i="11"/>
  <c r="J18" i="11" s="1"/>
  <c r="K18" i="11" s="1"/>
  <c r="L18" i="11" s="1"/>
  <c r="C20" i="9" s="1"/>
  <c r="D20" i="9" s="1"/>
  <c r="O18" i="11" s="1"/>
  <c r="I22" i="11"/>
  <c r="J22" i="11" s="1"/>
  <c r="K22" i="11" s="1"/>
  <c r="L22" i="11" s="1"/>
  <c r="U22" i="11" s="1"/>
  <c r="I60" i="11"/>
  <c r="J60" i="11" s="1"/>
  <c r="K60" i="11" s="1"/>
  <c r="L60" i="11" s="1"/>
  <c r="U60" i="11" s="1"/>
  <c r="I39" i="11"/>
  <c r="J39" i="11" s="1"/>
  <c r="K39" i="11" s="1"/>
  <c r="L39" i="11" s="1"/>
  <c r="U39" i="11" s="1"/>
  <c r="I72" i="11"/>
  <c r="J72" i="11" s="1"/>
  <c r="K72" i="11" s="1"/>
  <c r="L72" i="11" s="1"/>
  <c r="U72" i="11" s="1"/>
  <c r="I62" i="11"/>
  <c r="J62" i="11" s="1"/>
  <c r="K62" i="11" s="1"/>
  <c r="L62" i="11" s="1"/>
  <c r="U62" i="11" s="1"/>
  <c r="I34" i="11"/>
  <c r="J34" i="11" s="1"/>
  <c r="K34" i="11" s="1"/>
  <c r="L34" i="11" s="1"/>
  <c r="U34" i="11" s="1"/>
  <c r="I65" i="11"/>
  <c r="J65" i="11" s="1"/>
  <c r="K65" i="11" s="1"/>
  <c r="L65" i="11" s="1"/>
  <c r="U65" i="11" s="1"/>
  <c r="I82" i="11"/>
  <c r="J82" i="11" s="1"/>
  <c r="K82" i="11" s="1"/>
  <c r="L82" i="11" s="1"/>
  <c r="U82" i="11" s="1"/>
  <c r="I84" i="11"/>
  <c r="J84" i="11" s="1"/>
  <c r="K84" i="11" s="1"/>
  <c r="L84" i="11" s="1"/>
  <c r="N84" i="11" s="1"/>
  <c r="I83" i="11"/>
  <c r="J83" i="11" s="1"/>
  <c r="K83" i="11" s="1"/>
  <c r="L83" i="11" s="1"/>
  <c r="U83" i="11" s="1"/>
  <c r="I21" i="11"/>
  <c r="J21" i="11" s="1"/>
  <c r="K21" i="11" s="1"/>
  <c r="L21" i="11" s="1"/>
  <c r="U21" i="11" s="1"/>
  <c r="I14" i="11"/>
  <c r="J14" i="11" s="1"/>
  <c r="K14" i="11" s="1"/>
  <c r="L14" i="11" s="1"/>
  <c r="U14" i="11" s="1"/>
  <c r="I33" i="11"/>
  <c r="J33" i="11" s="1"/>
  <c r="K33" i="11" s="1"/>
  <c r="L33" i="11" s="1"/>
  <c r="N33" i="11" s="1"/>
  <c r="S33" i="11" s="1"/>
  <c r="I23" i="11"/>
  <c r="J23" i="11" s="1"/>
  <c r="K23" i="11" s="1"/>
  <c r="L23" i="11" s="1"/>
  <c r="C32" i="9" s="1"/>
  <c r="D32" i="9" s="1"/>
  <c r="O23" i="11" s="1"/>
  <c r="I16" i="11"/>
  <c r="J16" i="11" s="1"/>
  <c r="K16" i="11" s="1"/>
  <c r="L16" i="11" s="1"/>
  <c r="U16" i="11" s="1"/>
  <c r="I45" i="11"/>
  <c r="J45" i="11" s="1"/>
  <c r="K45" i="11" s="1"/>
  <c r="L45" i="11" s="1"/>
  <c r="C82" i="9" s="1"/>
  <c r="D82" i="9" s="1"/>
  <c r="O67" i="11" s="1"/>
  <c r="I69" i="11"/>
  <c r="J69" i="11" s="1"/>
  <c r="K69" i="11" s="1"/>
  <c r="L69" i="11" s="1"/>
  <c r="N69" i="11" s="1"/>
  <c r="I44" i="11"/>
  <c r="J44" i="11" s="1"/>
  <c r="K44" i="11" s="1"/>
  <c r="L44" i="11" s="1"/>
  <c r="C84" i="9" s="1"/>
  <c r="D84" i="9" s="1"/>
  <c r="O44" i="11" s="1"/>
  <c r="I68" i="11"/>
  <c r="J68" i="11" s="1"/>
  <c r="K68" i="11" s="1"/>
  <c r="L68" i="11" s="1"/>
  <c r="U68" i="11" s="1"/>
  <c r="I47" i="11"/>
  <c r="J47" i="11" s="1"/>
  <c r="K47" i="11" s="1"/>
  <c r="L47" i="11" s="1"/>
  <c r="N47" i="11" s="1"/>
  <c r="S47" i="11" s="1"/>
  <c r="I71" i="11"/>
  <c r="J71" i="11" s="1"/>
  <c r="K71" i="11" s="1"/>
  <c r="L71" i="11" s="1"/>
  <c r="N71" i="11" s="1"/>
  <c r="I36" i="11"/>
  <c r="J36" i="11" s="1"/>
  <c r="K36" i="11" s="1"/>
  <c r="L36" i="11" s="1"/>
  <c r="U36" i="11" s="1"/>
  <c r="I61" i="11"/>
  <c r="J61" i="11" s="1"/>
  <c r="K61" i="11" s="1"/>
  <c r="L61" i="11" s="1"/>
  <c r="U61" i="11" s="1"/>
  <c r="I81" i="11"/>
  <c r="J81" i="11" s="1"/>
  <c r="K81" i="11" s="1"/>
  <c r="L81" i="11" s="1"/>
  <c r="N81" i="11" s="1"/>
  <c r="I85" i="11"/>
  <c r="J85" i="11" s="1"/>
  <c r="K85" i="11" s="1"/>
  <c r="L85" i="11" s="1"/>
  <c r="C108" i="9" s="1"/>
  <c r="D108" i="9" s="1"/>
  <c r="O85" i="11" s="1"/>
  <c r="L32" i="11"/>
  <c r="N32" i="11" s="1"/>
  <c r="S32" i="11" s="1"/>
  <c r="L67" i="11"/>
  <c r="N67" i="11" s="1"/>
  <c r="C28" i="9"/>
  <c r="D28" i="9" s="1"/>
  <c r="O15" i="11" s="1"/>
  <c r="N15" i="11"/>
  <c r="S15" i="11" s="1"/>
  <c r="C15" i="9"/>
  <c r="D15" i="9" s="1"/>
  <c r="O9" i="11" s="1"/>
  <c r="N9" i="11"/>
  <c r="S9" i="11" s="1"/>
  <c r="C37" i="9"/>
  <c r="D37" i="9" s="1"/>
  <c r="O30" i="11" s="1"/>
  <c r="N30" i="11"/>
  <c r="S30" i="11" s="1"/>
  <c r="N64" i="11"/>
  <c r="C60" i="9"/>
  <c r="D60" i="9" s="1"/>
  <c r="O63" i="11" s="1"/>
  <c r="N63" i="11"/>
  <c r="C51" i="9"/>
  <c r="N59" i="11"/>
  <c r="C96" i="9"/>
  <c r="D96" i="9" s="1"/>
  <c r="O74" i="11" s="1"/>
  <c r="C109" i="9"/>
  <c r="D109" i="9" s="1"/>
  <c r="O86" i="11" s="1"/>
  <c r="N86" i="11"/>
  <c r="J6" i="11"/>
  <c r="K6" i="11" s="1"/>
  <c r="L6" i="11" s="1"/>
  <c r="U6" i="11" s="1"/>
  <c r="C22" i="9"/>
  <c r="D22" i="9" s="1"/>
  <c r="O26" i="11" s="1"/>
  <c r="C21" i="9"/>
  <c r="D21" i="9" s="1"/>
  <c r="O19" i="11" s="1"/>
  <c r="N19" i="11"/>
  <c r="S19" i="11" s="1"/>
  <c r="C14" i="9"/>
  <c r="D14" i="9" s="1"/>
  <c r="O8" i="11" s="1"/>
  <c r="N8" i="11"/>
  <c r="S8" i="11" s="1"/>
  <c r="C31" i="9"/>
  <c r="D31" i="9" s="1"/>
  <c r="O22" i="11" s="1"/>
  <c r="C9" i="9"/>
  <c r="D9" i="9" s="1"/>
  <c r="O54" i="11" s="1"/>
  <c r="N54" i="11"/>
  <c r="C16" i="9"/>
  <c r="D16" i="9" s="1"/>
  <c r="O55" i="11" s="1"/>
  <c r="N55" i="11"/>
  <c r="C97" i="9"/>
  <c r="D97" i="9" s="1"/>
  <c r="O75" i="11" s="1"/>
  <c r="N75" i="11"/>
  <c r="C85" i="9"/>
  <c r="D85" i="9" s="1"/>
  <c r="O78" i="11" s="1"/>
  <c r="C65" i="9"/>
  <c r="N78" i="11"/>
  <c r="C98" i="9"/>
  <c r="D98" i="9" s="1"/>
  <c r="O76" i="11" s="1"/>
  <c r="N76" i="11"/>
  <c r="N10" i="11"/>
  <c r="S10" i="11" s="1"/>
  <c r="C26" i="9"/>
  <c r="D26" i="9" s="1"/>
  <c r="O13" i="11" s="1"/>
  <c r="N13" i="11"/>
  <c r="S13" i="11" s="1"/>
  <c r="C13" i="9"/>
  <c r="D13" i="9" s="1"/>
  <c r="O7" i="11" s="1"/>
  <c r="N7" i="11"/>
  <c r="S7" i="11" s="1"/>
  <c r="C55" i="9"/>
  <c r="D55" i="9" s="1"/>
  <c r="O60" i="11" s="1"/>
  <c r="N60" i="11"/>
  <c r="C41" i="9"/>
  <c r="D41" i="9" s="1"/>
  <c r="O38" i="11" s="1"/>
  <c r="N38" i="11"/>
  <c r="S38" i="11" s="1"/>
  <c r="C99" i="9"/>
  <c r="D99" i="9" s="1"/>
  <c r="O77" i="11" s="1"/>
  <c r="N77" i="11"/>
  <c r="S46" i="11"/>
  <c r="O46" i="11"/>
  <c r="C102" i="9"/>
  <c r="D102" i="9" s="1"/>
  <c r="O80" i="11" s="1"/>
  <c r="N80" i="11"/>
  <c r="C19" i="9" l="1"/>
  <c r="D19" i="9" s="1"/>
  <c r="O10" i="11" s="1"/>
  <c r="N73" i="11"/>
  <c r="U73" i="11"/>
  <c r="N56" i="11"/>
  <c r="N35" i="11"/>
  <c r="S35" i="11" s="1"/>
  <c r="N27" i="11"/>
  <c r="S27" i="11" s="1"/>
  <c r="C46" i="9"/>
  <c r="D46" i="9" s="1"/>
  <c r="O35" i="11" s="1"/>
  <c r="C34" i="9"/>
  <c r="D34" i="9" s="1"/>
  <c r="O27" i="11" s="1"/>
  <c r="U28" i="11"/>
  <c r="C92" i="9"/>
  <c r="D92" i="9" s="1"/>
  <c r="O72" i="11" s="1"/>
  <c r="C45" i="9"/>
  <c r="D45" i="9" s="1"/>
  <c r="O34" i="11" s="1"/>
  <c r="N72" i="11"/>
  <c r="U74" i="11"/>
  <c r="C104" i="9"/>
  <c r="D104" i="9" s="1"/>
  <c r="O82" i="11" s="1"/>
  <c r="C61" i="9"/>
  <c r="D61" i="9" s="1"/>
  <c r="O64" i="11" s="1"/>
  <c r="P64" i="11" s="1"/>
  <c r="N83" i="11"/>
  <c r="N44" i="11"/>
  <c r="S44" i="11" s="1"/>
  <c r="N26" i="11"/>
  <c r="S26" i="11" s="1"/>
  <c r="C106" i="9"/>
  <c r="D106" i="9" s="1"/>
  <c r="O83" i="11" s="1"/>
  <c r="N36" i="11"/>
  <c r="S36" i="11" s="1"/>
  <c r="N34" i="11"/>
  <c r="S34" i="11" s="1"/>
  <c r="N43" i="11"/>
  <c r="S43" i="11" s="1"/>
  <c r="N82" i="11"/>
  <c r="N29" i="11"/>
  <c r="S29" i="11" s="1"/>
  <c r="T29" i="11" s="1"/>
  <c r="C18" i="9"/>
  <c r="D18" i="9" s="1"/>
  <c r="O57" i="11" s="1"/>
  <c r="N62" i="11"/>
  <c r="N28" i="11"/>
  <c r="S28" i="11" s="1"/>
  <c r="C62" i="9"/>
  <c r="D62" i="9" s="1"/>
  <c r="O65" i="11" s="1"/>
  <c r="N70" i="11"/>
  <c r="N24" i="11"/>
  <c r="S24" i="11" s="1"/>
  <c r="N39" i="11"/>
  <c r="S39" i="11" s="1"/>
  <c r="C90" i="9"/>
  <c r="D90" i="9" s="1"/>
  <c r="O70" i="11" s="1"/>
  <c r="N16" i="11"/>
  <c r="S16" i="11" s="1"/>
  <c r="N14" i="11"/>
  <c r="S14" i="11" s="1"/>
  <c r="C27" i="9"/>
  <c r="D27" i="9" s="1"/>
  <c r="O14" i="11" s="1"/>
  <c r="U11" i="11"/>
  <c r="U18" i="11"/>
  <c r="I49" i="11"/>
  <c r="N79" i="11"/>
  <c r="N23" i="11"/>
  <c r="S23" i="11" s="1"/>
  <c r="T23" i="11" s="1"/>
  <c r="U43" i="11"/>
  <c r="N61" i="11"/>
  <c r="C88" i="9"/>
  <c r="D88" i="9" s="1"/>
  <c r="O68" i="11" s="1"/>
  <c r="C30" i="9"/>
  <c r="D30" i="9" s="1"/>
  <c r="O21" i="11" s="1"/>
  <c r="Q21" i="11" s="1"/>
  <c r="R21" i="11" s="1"/>
  <c r="C59" i="9"/>
  <c r="D59" i="9" s="1"/>
  <c r="O62" i="11" s="1"/>
  <c r="C17" i="9"/>
  <c r="D17" i="9" s="1"/>
  <c r="O56" i="11" s="1"/>
  <c r="C33" i="9"/>
  <c r="D33" i="9" s="1"/>
  <c r="O24" i="11" s="1"/>
  <c r="Q24" i="11" s="1"/>
  <c r="R24" i="11" s="1"/>
  <c r="N65" i="11"/>
  <c r="P65" i="11" s="1"/>
  <c r="N22" i="11"/>
  <c r="S22" i="11" s="1"/>
  <c r="T22" i="11" s="1"/>
  <c r="O61" i="11"/>
  <c r="P61" i="11" s="1"/>
  <c r="C107" i="9"/>
  <c r="D107" i="9" s="1"/>
  <c r="O84" i="11" s="1"/>
  <c r="P84" i="11" s="1"/>
  <c r="U29" i="11"/>
  <c r="U79" i="11"/>
  <c r="N57" i="11"/>
  <c r="N68" i="11"/>
  <c r="P68" i="11" s="1"/>
  <c r="C29" i="9"/>
  <c r="D29" i="9" s="1"/>
  <c r="O16" i="11" s="1"/>
  <c r="Q16" i="11" s="1"/>
  <c r="R16" i="11" s="1"/>
  <c r="N21" i="11"/>
  <c r="S21" i="11" s="1"/>
  <c r="C42" i="9"/>
  <c r="D42" i="9" s="1"/>
  <c r="O39" i="11" s="1"/>
  <c r="U44" i="11"/>
  <c r="U32" i="11"/>
  <c r="U47" i="11"/>
  <c r="U23" i="11"/>
  <c r="U42" i="11"/>
  <c r="C47" i="9"/>
  <c r="D47" i="9" s="1"/>
  <c r="O36" i="11" s="1"/>
  <c r="T36" i="11" s="1"/>
  <c r="U69" i="11"/>
  <c r="U33" i="11"/>
  <c r="U81" i="11"/>
  <c r="U45" i="11"/>
  <c r="U71" i="11"/>
  <c r="U67" i="11"/>
  <c r="U84" i="11"/>
  <c r="U85" i="11"/>
  <c r="C103" i="9"/>
  <c r="D103" i="9" s="1"/>
  <c r="O81" i="11" s="1"/>
  <c r="P81" i="11" s="1"/>
  <c r="I41" i="11"/>
  <c r="I50" i="11" s="1"/>
  <c r="C89" i="9"/>
  <c r="D89" i="9" s="1"/>
  <c r="O69" i="11" s="1"/>
  <c r="P69" i="11" s="1"/>
  <c r="N18" i="11"/>
  <c r="S18" i="11" s="1"/>
  <c r="N45" i="11"/>
  <c r="S45" i="11" s="1"/>
  <c r="N85" i="11"/>
  <c r="P85" i="11" s="1"/>
  <c r="C44" i="9"/>
  <c r="D44" i="9" s="1"/>
  <c r="O33" i="11" s="1"/>
  <c r="Q33" i="11" s="1"/>
  <c r="R33" i="11" s="1"/>
  <c r="P78" i="11"/>
  <c r="T10" i="11"/>
  <c r="P75" i="11"/>
  <c r="P72" i="11"/>
  <c r="P73" i="11"/>
  <c r="P55" i="11"/>
  <c r="P54" i="11"/>
  <c r="Q7" i="11"/>
  <c r="R7" i="11" s="1"/>
  <c r="T7" i="11"/>
  <c r="P80" i="11"/>
  <c r="P77" i="11"/>
  <c r="P83" i="11"/>
  <c r="Q22" i="11"/>
  <c r="R22" i="11" s="1"/>
  <c r="Q19" i="11"/>
  <c r="R19" i="11" s="1"/>
  <c r="T19" i="11"/>
  <c r="Q14" i="11"/>
  <c r="R14" i="11" s="1"/>
  <c r="P86" i="11"/>
  <c r="Q38" i="11"/>
  <c r="R38" i="11" s="1"/>
  <c r="T38" i="11"/>
  <c r="Q13" i="11"/>
  <c r="R13" i="11" s="1"/>
  <c r="T13" i="11"/>
  <c r="Q23" i="11"/>
  <c r="R23" i="11" s="1"/>
  <c r="Q43" i="11"/>
  <c r="R43" i="11" s="1"/>
  <c r="T43" i="11"/>
  <c r="Q30" i="11"/>
  <c r="R30" i="11" s="1"/>
  <c r="T30" i="11"/>
  <c r="Q28" i="11"/>
  <c r="R28" i="11" s="1"/>
  <c r="T28" i="11"/>
  <c r="Q15" i="11"/>
  <c r="R15" i="11" s="1"/>
  <c r="T15" i="11"/>
  <c r="Q35" i="11"/>
  <c r="R35" i="11" s="1"/>
  <c r="T35" i="11"/>
  <c r="Q27" i="11"/>
  <c r="R27" i="11" s="1"/>
  <c r="T27" i="11"/>
  <c r="Q29" i="11"/>
  <c r="R29" i="11" s="1"/>
  <c r="P82" i="11"/>
  <c r="Q46" i="11"/>
  <c r="R46" i="11" s="1"/>
  <c r="T46" i="11"/>
  <c r="P56" i="11"/>
  <c r="P60" i="11"/>
  <c r="P76" i="11"/>
  <c r="Q8" i="11"/>
  <c r="R8" i="11" s="1"/>
  <c r="T8" i="11"/>
  <c r="Q26" i="11"/>
  <c r="R26" i="11" s="1"/>
  <c r="T26" i="11"/>
  <c r="O47" i="11"/>
  <c r="Q44" i="11"/>
  <c r="R44" i="11" s="1"/>
  <c r="T44" i="11"/>
  <c r="P74" i="11"/>
  <c r="P63" i="11"/>
  <c r="P67" i="11"/>
  <c r="T16" i="11"/>
  <c r="Q34" i="11"/>
  <c r="R34" i="11" s="1"/>
  <c r="T34" i="11"/>
  <c r="Q18" i="11"/>
  <c r="R18" i="11" s="1"/>
  <c r="T18" i="11"/>
  <c r="Q9" i="11"/>
  <c r="R9" i="11" s="1"/>
  <c r="T9" i="11"/>
  <c r="C91" i="9"/>
  <c r="D91" i="9" s="1"/>
  <c r="O71" i="11" s="1"/>
  <c r="P71" i="11" s="1"/>
  <c r="C66" i="9"/>
  <c r="D66" i="9" s="1"/>
  <c r="D65" i="9"/>
  <c r="O79" i="11"/>
  <c r="O42" i="11"/>
  <c r="O11" i="11"/>
  <c r="Q10" i="11"/>
  <c r="R10" i="11" s="1"/>
  <c r="C52" i="9"/>
  <c r="D52" i="9" s="1"/>
  <c r="D51" i="9"/>
  <c r="O59" i="11" s="1"/>
  <c r="P59" i="11" s="1"/>
  <c r="C23" i="9"/>
  <c r="D23" i="9" s="1"/>
  <c r="O6" i="11" s="1"/>
  <c r="N6" i="11"/>
  <c r="S6" i="11" s="1"/>
  <c r="P79" i="11" l="1"/>
  <c r="O32" i="11"/>
  <c r="Q32" i="11" s="1"/>
  <c r="R32" i="11" s="1"/>
  <c r="T33" i="11"/>
  <c r="Q36" i="11"/>
  <c r="R36" i="11" s="1"/>
  <c r="T21" i="11"/>
  <c r="P62" i="11"/>
  <c r="P70" i="11"/>
  <c r="P57" i="11"/>
  <c r="T24" i="11"/>
  <c r="T14" i="11"/>
  <c r="O45" i="11"/>
  <c r="T45" i="11" s="1"/>
  <c r="Q39" i="11"/>
  <c r="R39" i="11" s="1"/>
  <c r="T39" i="11"/>
  <c r="Q11" i="11"/>
  <c r="R11" i="11" s="1"/>
  <c r="T11" i="11"/>
  <c r="Q6" i="11"/>
  <c r="R6" i="11" s="1"/>
  <c r="T6" i="11"/>
  <c r="Q42" i="11"/>
  <c r="R42" i="11" s="1"/>
  <c r="T42" i="11"/>
  <c r="Q47" i="11"/>
  <c r="R47" i="11" s="1"/>
  <c r="T47" i="11"/>
  <c r="T32" i="11" l="1"/>
  <c r="Q45" i="11"/>
  <c r="R45" i="11" s="1"/>
  <c r="R49" i="11" s="1"/>
  <c r="S54" i="11" s="1"/>
  <c r="R41" i="11"/>
  <c r="S53" i="11" s="1"/>
  <c r="Q41" i="11"/>
  <c r="Q49" i="11" l="1"/>
  <c r="Q50" i="11" s="1"/>
  <c r="R53" i="11"/>
  <c r="R50" i="11"/>
  <c r="B65" i="5" s="1"/>
  <c r="B66" i="5" s="1"/>
  <c r="R54" i="11"/>
</calcChain>
</file>

<file path=xl/comments1.xml><?xml version="1.0" encoding="utf-8"?>
<comments xmlns="http://schemas.openxmlformats.org/spreadsheetml/2006/main">
  <authors>
    <author>Heather Garland</author>
  </authors>
  <commentList>
    <comment ref="B26" authorId="0">
      <text>
        <r>
          <rPr>
            <b/>
            <sz val="9"/>
            <color indexed="81"/>
            <rFont val="Tahoma"/>
            <charset val="1"/>
          </rPr>
          <t>Heather Garland:</t>
        </r>
        <r>
          <rPr>
            <sz val="9"/>
            <color indexed="81"/>
            <rFont val="Tahoma"/>
            <charset val="1"/>
          </rPr>
          <t xml:space="preserve">
Used Meeks weight for a 60 gallon and factored to a 64 gallon.</t>
        </r>
      </text>
    </comment>
    <comment ref="B27" authorId="0">
      <text>
        <r>
          <rPr>
            <b/>
            <sz val="9"/>
            <color indexed="81"/>
            <rFont val="Tahoma"/>
            <charset val="1"/>
          </rPr>
          <t>Heather Garland:</t>
        </r>
        <r>
          <rPr>
            <sz val="9"/>
            <color indexed="81"/>
            <rFont val="Tahoma"/>
            <charset val="1"/>
          </rPr>
          <t xml:space="preserve">
Used Meeks weight for a 90 gallon and factored to a 94 gallon.</t>
        </r>
      </text>
    </comment>
  </commentList>
</comments>
</file>

<file path=xl/comments2.xml><?xml version="1.0" encoding="utf-8"?>
<comments xmlns="http://schemas.openxmlformats.org/spreadsheetml/2006/main">
  <authors>
    <author>WCNX</author>
  </authors>
  <commentList>
    <comment ref="B4" authorId="0">
      <text>
        <r>
          <rPr>
            <b/>
            <sz val="8"/>
            <color indexed="81"/>
            <rFont val="Tahoma"/>
            <family val="2"/>
          </rPr>
          <t>WCNX:</t>
        </r>
        <r>
          <rPr>
            <sz val="8"/>
            <color indexed="81"/>
            <rFont val="Tahoma"/>
            <family val="2"/>
          </rPr>
          <t xml:space="preserve">
From the Cost of Service in TG-121791 (last general rate filing).
</t>
        </r>
      </text>
    </comment>
  </commentList>
</comments>
</file>

<file path=xl/comments3.xml><?xml version="1.0" encoding="utf-8"?>
<comments xmlns="http://schemas.openxmlformats.org/spreadsheetml/2006/main">
  <authors>
    <author>WCNX</author>
  </authors>
  <commentList>
    <comment ref="B5" authorId="0">
      <text>
        <r>
          <rPr>
            <b/>
            <sz val="8"/>
            <color indexed="81"/>
            <rFont val="Tahoma"/>
            <family val="2"/>
          </rPr>
          <t>WCNX:</t>
        </r>
        <r>
          <rPr>
            <sz val="8"/>
            <color indexed="81"/>
            <rFont val="Tahoma"/>
            <family val="2"/>
          </rPr>
          <t xml:space="preserve">
From the Cost of Service in TG-121791 (last general rate filing).
</t>
        </r>
      </text>
    </comment>
  </commentList>
</comments>
</file>

<file path=xl/sharedStrings.xml><?xml version="1.0" encoding="utf-8"?>
<sst xmlns="http://schemas.openxmlformats.org/spreadsheetml/2006/main" count="468" uniqueCount="281">
  <si>
    <t>Mason County Garbage</t>
  </si>
  <si>
    <t xml:space="preserve"> </t>
  </si>
  <si>
    <t>RESIDENTIAL - Mason</t>
  </si>
  <si>
    <t>1-20 gal Mini Can Wkly</t>
  </si>
  <si>
    <t>1-32 gal Can Wkly</t>
  </si>
  <si>
    <t>2-32 g Can Wkly</t>
  </si>
  <si>
    <t>3-32 g Can Wkly</t>
  </si>
  <si>
    <t>4-32 g Can Wkly</t>
  </si>
  <si>
    <t>5-32 g Can Wkly</t>
  </si>
  <si>
    <t>6-32 g Can Wkly</t>
  </si>
  <si>
    <t>1-35 gal Cart Wkly</t>
  </si>
  <si>
    <t>1-45 gal Cart Wkly</t>
  </si>
  <si>
    <t>2-45 gal Cart Wkly</t>
  </si>
  <si>
    <t>1-48 gal Cart Wkly</t>
  </si>
  <si>
    <t>1-64 gal Cart Wkly</t>
  </si>
  <si>
    <t>1-96 gal Cart Wkly</t>
  </si>
  <si>
    <t>1-32 gal Can EOW</t>
  </si>
  <si>
    <t>2-32 g Can EOW</t>
  </si>
  <si>
    <t>1-35 gal Cart EOW</t>
  </si>
  <si>
    <t>1-48 gal Cart EOW</t>
  </si>
  <si>
    <t>1-64 gal Cart EOW</t>
  </si>
  <si>
    <t>1-96 gal Cart EOW</t>
  </si>
  <si>
    <t>1-32 gal Can Monthly</t>
  </si>
  <si>
    <t>1-35 gal Cart Monthly</t>
  </si>
  <si>
    <t>1-48 gal Cart Monthly</t>
  </si>
  <si>
    <t>1-64 gal Cart Monthly</t>
  </si>
  <si>
    <t>1-96 gal Cart Monthly</t>
  </si>
  <si>
    <t>1-32 gal Can On Call Svc</t>
  </si>
  <si>
    <t>1-35 gal Cart On Call Svc</t>
  </si>
  <si>
    <t>1-48 gal Cart On Call Svc</t>
  </si>
  <si>
    <t>1-64 gal Cart On Call Svc</t>
  </si>
  <si>
    <t>1-96 gal Cart On Call Svc</t>
  </si>
  <si>
    <t>Oversized Cans</t>
  </si>
  <si>
    <t>Extra Can, Bag, Box etc</t>
  </si>
  <si>
    <t>Extra Pickup</t>
  </si>
  <si>
    <t>Sub Total</t>
  </si>
  <si>
    <t>Total</t>
  </si>
  <si>
    <t>COMMERCIAL - Mason</t>
  </si>
  <si>
    <t>Extra Can</t>
  </si>
  <si>
    <t>1 Yard Wkly</t>
  </si>
  <si>
    <t>1.50 Yard Wkly</t>
  </si>
  <si>
    <t>2 Yard Wkly</t>
  </si>
  <si>
    <t>1 Yard EOW</t>
  </si>
  <si>
    <t>1.50 Yard EOW</t>
  </si>
  <si>
    <t>2 Yard EOW</t>
  </si>
  <si>
    <t>Extra Yardage</t>
  </si>
  <si>
    <t>Monthly Factor</t>
  </si>
  <si>
    <t>Pickups:</t>
  </si>
  <si>
    <t>1 unit</t>
  </si>
  <si>
    <t>2 units</t>
  </si>
  <si>
    <t>3 units</t>
  </si>
  <si>
    <t>4 units</t>
  </si>
  <si>
    <t>5 units</t>
  </si>
  <si>
    <t>6 units</t>
  </si>
  <si>
    <t>7 unit</t>
  </si>
  <si>
    <t>5 Times per Week</t>
  </si>
  <si>
    <t>4 Times per Week</t>
  </si>
  <si>
    <t>3 Times per Week</t>
  </si>
  <si>
    <t>2 Times per Week</t>
  </si>
  <si>
    <t>Weekly Pickup (WG)</t>
  </si>
  <si>
    <t>Every Other Week (EOWG)</t>
  </si>
  <si>
    <t>Monthly (MG)</t>
  </si>
  <si>
    <t>Meeks Weights</t>
  </si>
  <si>
    <t>Res'l</t>
  </si>
  <si>
    <t>Pounds per Pickup</t>
  </si>
  <si>
    <t>20 gal minican</t>
  </si>
  <si>
    <t>1 can</t>
  </si>
  <si>
    <t>2 cans</t>
  </si>
  <si>
    <t>3 cans</t>
  </si>
  <si>
    <t>Lbs. per ton</t>
  </si>
  <si>
    <t>4 cans</t>
  </si>
  <si>
    <t>Yds. Per ton</t>
  </si>
  <si>
    <t>n/a</t>
  </si>
  <si>
    <t>5 cans</t>
  </si>
  <si>
    <t>6 cans</t>
  </si>
  <si>
    <t>Once a month</t>
  </si>
  <si>
    <t>Extras</t>
  </si>
  <si>
    <t>Com'l</t>
  </si>
  <si>
    <t>Cans</t>
  </si>
  <si>
    <t>1 yd container</t>
  </si>
  <si>
    <t>1.5 yd container</t>
  </si>
  <si>
    <t>*</t>
  </si>
  <si>
    <t>2 yd container</t>
  </si>
  <si>
    <t>3 yd container</t>
  </si>
  <si>
    <t>4 yd container</t>
  </si>
  <si>
    <t>6 yd container</t>
  </si>
  <si>
    <t>8 yd container</t>
  </si>
  <si>
    <t>1 yd packer/compactor</t>
  </si>
  <si>
    <t>1.5 yd packer/compactor</t>
  </si>
  <si>
    <t>2 yd packer/compactor</t>
  </si>
  <si>
    <t>3 yd packer/compactor</t>
  </si>
  <si>
    <t>4 yd packer/compactor</t>
  </si>
  <si>
    <t>5 yd packer/compactor</t>
  </si>
  <si>
    <t>6 yd packer/compactor</t>
  </si>
  <si>
    <t>8 yd packer/compactor</t>
  </si>
  <si>
    <t>Yards</t>
  </si>
  <si>
    <t>* not on meeks - calculated by staff</t>
  </si>
  <si>
    <t>Per Ton</t>
  </si>
  <si>
    <t>Per Pound</t>
  </si>
  <si>
    <t>Gross Up Factors</t>
  </si>
  <si>
    <t xml:space="preserve">Current Rate </t>
  </si>
  <si>
    <t>B&amp;O tax</t>
  </si>
  <si>
    <t>New Rate per ton</t>
  </si>
  <si>
    <t>WUTC fees</t>
  </si>
  <si>
    <t>Bad Debts</t>
  </si>
  <si>
    <t>Increase per ton</t>
  </si>
  <si>
    <t>Factor</t>
  </si>
  <si>
    <t>Grossed Up Increase per ton</t>
  </si>
  <si>
    <t>Tons Collected</t>
  </si>
  <si>
    <t>Annual Pick-Up's</t>
  </si>
  <si>
    <t>Tariff Rate Increase</t>
  </si>
  <si>
    <t>Residential Cans:</t>
  </si>
  <si>
    <t>Over-weight cans</t>
  </si>
  <si>
    <t xml:space="preserve"> 1 can</t>
  </si>
  <si>
    <t xml:space="preserve"> 2 can</t>
  </si>
  <si>
    <t xml:space="preserve"> 3 can</t>
  </si>
  <si>
    <t xml:space="preserve"> 4 can</t>
  </si>
  <si>
    <t xml:space="preserve"> 5 can</t>
  </si>
  <si>
    <t xml:space="preserve"> 6 can</t>
  </si>
  <si>
    <t xml:space="preserve"> 45-gallon can</t>
  </si>
  <si>
    <t xml:space="preserve"> 1 can every-other-week</t>
  </si>
  <si>
    <t xml:space="preserve"> 2 can every-other-week</t>
  </si>
  <si>
    <t xml:space="preserve"> 1 can once-per-month</t>
  </si>
  <si>
    <t xml:space="preserve"> Mini</t>
  </si>
  <si>
    <t>Automated Service:</t>
  </si>
  <si>
    <t xml:space="preserve"> 35-gallon tote</t>
  </si>
  <si>
    <t xml:space="preserve"> 48-gallon tote</t>
  </si>
  <si>
    <t xml:space="preserve"> 64-gallon tote</t>
  </si>
  <si>
    <t xml:space="preserve"> 96-gallon tote</t>
  </si>
  <si>
    <t xml:space="preserve"> 35-gal tote every-other-week</t>
  </si>
  <si>
    <t xml:space="preserve"> 48-gal tote every-other-week</t>
  </si>
  <si>
    <t xml:space="preserve"> 64-gal tote every-other-week</t>
  </si>
  <si>
    <t xml:space="preserve"> 96-gal tote every-other-week</t>
  </si>
  <si>
    <t xml:space="preserve"> 35-gal tote once-per-month</t>
  </si>
  <si>
    <t xml:space="preserve"> 48-gal tote once-per-month</t>
  </si>
  <si>
    <t xml:space="preserve"> 64-gal tote once-per-month</t>
  </si>
  <si>
    <t xml:space="preserve"> 96-gal tote once-per-month</t>
  </si>
  <si>
    <t xml:space="preserve"> Occasional extra unit (All Sizes)</t>
  </si>
  <si>
    <t>32 gal can on call</t>
  </si>
  <si>
    <t xml:space="preserve"> 35-gal tote on call</t>
  </si>
  <si>
    <t xml:space="preserve"> 48-gal tote on call</t>
  </si>
  <si>
    <t xml:space="preserve"> 64-gal tote on call</t>
  </si>
  <si>
    <t xml:space="preserve"> 96-gal tote on call</t>
  </si>
  <si>
    <t>Drum</t>
  </si>
  <si>
    <t>Special PU</t>
  </si>
  <si>
    <t>Litter Toter, per pu</t>
  </si>
  <si>
    <t>Litter Toter, per month</t>
  </si>
  <si>
    <t>Bulky</t>
  </si>
  <si>
    <t>Loose</t>
  </si>
  <si>
    <t>Additional yard</t>
  </si>
  <si>
    <t>Minimum</t>
  </si>
  <si>
    <t>All container per yard</t>
  </si>
  <si>
    <t>All Drop boxes per yard</t>
  </si>
  <si>
    <t>1 yard</t>
  </si>
  <si>
    <t>1.5 yard</t>
  </si>
  <si>
    <t>2 yard</t>
  </si>
  <si>
    <t xml:space="preserve"> 35-gal cart </t>
  </si>
  <si>
    <t xml:space="preserve"> 48-gal cart </t>
  </si>
  <si>
    <t xml:space="preserve"> 64-gal cart</t>
  </si>
  <si>
    <t xml:space="preserve"> 96-gal cart</t>
  </si>
  <si>
    <t>Pickup Frequency</t>
  </si>
  <si>
    <t>TOTAL Mason</t>
  </si>
  <si>
    <t>No. of Customers from TG-121791</t>
  </si>
  <si>
    <t>NO CUSTOMERS - Mason</t>
  </si>
  <si>
    <t>Oversized Can</t>
  </si>
  <si>
    <t>Drum - Special Pick-Up</t>
  </si>
  <si>
    <t>Commercial Cans - No Cust</t>
  </si>
  <si>
    <t>Note 2 - Each Addn'l Unit</t>
  </si>
  <si>
    <t>Note 4 - Grouped Cans</t>
  </si>
  <si>
    <t>Note 4 - Non-Grouped Cans</t>
  </si>
  <si>
    <t>Note 5 - 35 Gal Mo. Min</t>
  </si>
  <si>
    <t>Note 5 - 48 Gal Mo. Min</t>
  </si>
  <si>
    <t>Note 5 - 64 Gal Mo. Min</t>
  </si>
  <si>
    <t>Note 5 - 96 Gal Mo. Min</t>
  </si>
  <si>
    <t>Note 3 - Monthly Min.</t>
  </si>
  <si>
    <t>Residential</t>
  </si>
  <si>
    <t>Commercial</t>
  </si>
  <si>
    <t>Increase/(Decrease)</t>
  </si>
  <si>
    <t>Disposal Fee Revenue Increase/(Decrease)</t>
  </si>
  <si>
    <t>Company Proposed Rates</t>
  </si>
  <si>
    <t>Res'l &amp; Com'l</t>
  </si>
  <si>
    <t>Revenue Inc from Co Proposed Rates</t>
  </si>
  <si>
    <t>Collected Revenue Excess/(Deficiency)</t>
  </si>
  <si>
    <t>Tariff Page</t>
  </si>
  <si>
    <t>Scheduled Service</t>
  </si>
  <si>
    <t>Monthly Customers</t>
  </si>
  <si>
    <t>Monthly Frequency</t>
  </si>
  <si>
    <t>Annual PU's</t>
  </si>
  <si>
    <t>Calculated Annual Pounds</t>
  </si>
  <si>
    <t>Adjusted Annual Pounds</t>
  </si>
  <si>
    <t>Increase/
(Decrease)</t>
  </si>
  <si>
    <t>Gross Up</t>
  </si>
  <si>
    <t>Company Current Tariff</t>
  </si>
  <si>
    <t>Staff Calculated Rate</t>
  </si>
  <si>
    <t>Company Proposed Tariff</t>
  </si>
  <si>
    <t>Company Current Revenue</t>
  </si>
  <si>
    <t>Company Proposed Revenue</t>
  </si>
  <si>
    <t>Company Increased/(Decreased) Revenue</t>
  </si>
  <si>
    <t>Revised Tariff Rate</t>
  </si>
  <si>
    <t>Totals</t>
  </si>
  <si>
    <t>No Current Customers</t>
  </si>
  <si>
    <t>Adjustment Factor Calculation</t>
  </si>
  <si>
    <t>Total Tonnage</t>
  </si>
  <si>
    <t>Total Pounds</t>
  </si>
  <si>
    <t>Total Pick Ups</t>
  </si>
  <si>
    <t>Adjustment factor</t>
  </si>
  <si>
    <t>48 gallon cart</t>
  </si>
  <si>
    <t>35 gallon cart</t>
  </si>
  <si>
    <t>Litter Toter, per month (Min.)</t>
  </si>
  <si>
    <t>Commercial Service</t>
  </si>
  <si>
    <t>Note 4 (extras)</t>
  </si>
  <si>
    <t>Note 2 (Addn'l can)</t>
  </si>
  <si>
    <t>Note 3 (Monthly Min.)</t>
  </si>
  <si>
    <t>Note 4 (extra recepticles)</t>
  </si>
  <si>
    <t>Note 4 (recepticles not placed together)</t>
  </si>
  <si>
    <t>Note 5 (Automated Carts Monthly Min.)</t>
  </si>
  <si>
    <t>Residential Service</t>
  </si>
  <si>
    <t>1 can - Special PU</t>
  </si>
  <si>
    <t>35-gal cart Special PU</t>
  </si>
  <si>
    <t>48-gal cart Special PU</t>
  </si>
  <si>
    <t>64-gal cart Special PU</t>
  </si>
  <si>
    <t>96-gal cart Special PU</t>
  </si>
  <si>
    <t>from TG-121791 (Most recent rate case)</t>
  </si>
  <si>
    <t>Mason County DF Increase</t>
  </si>
  <si>
    <t xml:space="preserve">Kitsap </t>
  </si>
  <si>
    <t>Kitsap</t>
  </si>
  <si>
    <t>Item 55, page 16A</t>
  </si>
  <si>
    <t>Item 100, pg 21A</t>
  </si>
  <si>
    <t>Item 100, pg 22A</t>
  </si>
  <si>
    <t>Item 120, pg 28A</t>
  </si>
  <si>
    <t>Item 130, pg 28A</t>
  </si>
  <si>
    <t>Item 150, pg 28A</t>
  </si>
  <si>
    <t>Item 207, pg 32A</t>
  </si>
  <si>
    <t>Item 240, pg 35A</t>
  </si>
  <si>
    <t>Item 245, pg 36A</t>
  </si>
  <si>
    <t>1-45 gal Can Wkly</t>
  </si>
  <si>
    <t>2-45 gal Can Wkly</t>
  </si>
  <si>
    <t>Annual</t>
  </si>
  <si>
    <t>28A</t>
  </si>
  <si>
    <t>35A</t>
  </si>
  <si>
    <t>36A</t>
  </si>
  <si>
    <t>Litter</t>
  </si>
  <si>
    <t>Litter, Min</t>
  </si>
  <si>
    <t xml:space="preserve"> 1 Yard Wkly</t>
  </si>
  <si>
    <t xml:space="preserve"> Calculated Rate</t>
  </si>
  <si>
    <t>Supercan 64</t>
  </si>
  <si>
    <t>Supercan 94</t>
  </si>
  <si>
    <t>Effective 1/1/2017</t>
  </si>
  <si>
    <t xml:space="preserve">Current </t>
  </si>
  <si>
    <t xml:space="preserve">Proposed </t>
  </si>
  <si>
    <t>Increase</t>
  </si>
  <si>
    <t>Rate</t>
  </si>
  <si>
    <t xml:space="preserve">Tariff </t>
  </si>
  <si>
    <t xml:space="preserve"> Rate</t>
  </si>
  <si>
    <t>Effective</t>
  </si>
  <si>
    <t>Pass Thru Tons</t>
  </si>
  <si>
    <t>Pass Thru Incr</t>
  </si>
  <si>
    <t>Mason County Garbage Company, Inc. G-88</t>
  </si>
  <si>
    <t>Dump Fee Calc References</t>
  </si>
  <si>
    <t>Dump Fee Calculation - Kitsap County</t>
  </si>
  <si>
    <t>Effective 6-1-2018</t>
  </si>
  <si>
    <t>Item 230, pg 34</t>
  </si>
  <si>
    <t>Olympic View Transfer Station</t>
  </si>
  <si>
    <t>Min. Fee</t>
  </si>
  <si>
    <t>Tires - Passenger Vehicle</t>
  </si>
  <si>
    <t>Tires - Commercial Truck</t>
  </si>
  <si>
    <t>Appliances</t>
  </si>
  <si>
    <t>Yard Waste</t>
  </si>
  <si>
    <t>Bulky Wate</t>
  </si>
  <si>
    <t>Processed Wood</t>
  </si>
  <si>
    <t>Dredge Soils</t>
  </si>
  <si>
    <t>RESIDENTIAL - Kitsap</t>
  </si>
  <si>
    <t>1.5 Yard Rent Temporary</t>
  </si>
  <si>
    <t>COMMERCIAL - Kitsap</t>
  </si>
  <si>
    <t>No Customers - Kitsap</t>
  </si>
  <si>
    <t xml:space="preserve">Commercial: </t>
  </si>
  <si>
    <t>Residential:</t>
  </si>
  <si>
    <t>Effective 7/1/2018</t>
  </si>
  <si>
    <t>45 gallon cart</t>
  </si>
  <si>
    <t>Check</t>
  </si>
  <si>
    <t xml:space="preserve">Kitsap Disposal Increase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</si>
</sst>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.000_);_(&quot;$&quot;* \(#,##0.000\);_(&quot;$&quot;* &quot;-&quot;??_);_(@_)"/>
    <numFmt numFmtId="167" formatCode="_(* #,##0.000000_);_(* \(#,##0.000000\);_(* &quot;-&quot;??_);_(@_)"/>
    <numFmt numFmtId="168" formatCode="_(&quot;$&quot;* #,##0.000000_);_(&quot;$&quot;* \(#,##0.000000\);_(&quot;$&quot;* &quot;-&quot;??_);_(@_)"/>
    <numFmt numFmtId="169" formatCode="0.0000%"/>
    <numFmt numFmtId="170" formatCode="_(&quot;$&quot;* #,##0_);_(&quot;$&quot;* \(#,##0\);_(&quot;$&quot;* &quot;-&quot;??_);_(@_)"/>
    <numFmt numFmtId="171" formatCode="_(* #,##0.000_);_(* \(#,##0.000\);_(* &quot;-&quot;??_);_(@_)"/>
    <numFmt numFmtId="172" formatCode="&quot;$&quot;#,##0\ ;\(&quot;$&quot;#,##0\)"/>
  </numFmts>
  <fonts count="7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SWISS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2"/>
      <name val="Courier"/>
      <family val="3"/>
    </font>
    <font>
      <sz val="9"/>
      <color indexed="8"/>
      <name val="Arial"/>
      <family val="2"/>
    </font>
    <font>
      <sz val="10"/>
      <name val="Times New Roman"/>
      <family val="1"/>
    </font>
    <font>
      <sz val="11"/>
      <color indexed="8"/>
      <name val="Arial"/>
      <family val="2"/>
    </font>
    <font>
      <b/>
      <sz val="10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i/>
      <sz val="10"/>
      <color indexed="10"/>
      <name val="Arial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name val="Arial MT"/>
    </font>
    <font>
      <b/>
      <u/>
      <sz val="11"/>
      <name val="Arial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2"/>
      <name val="Arial"/>
      <family val="2"/>
    </font>
    <font>
      <sz val="8"/>
      <color indexed="56"/>
      <name val="Arial"/>
      <family val="2"/>
    </font>
    <font>
      <b/>
      <sz val="11"/>
      <color indexed="10"/>
      <name val="Calibri"/>
      <family val="2"/>
    </font>
    <font>
      <sz val="11"/>
      <color indexed="19"/>
      <name val="Calibri"/>
      <family val="2"/>
    </font>
    <font>
      <b/>
      <sz val="18"/>
      <color indexed="62"/>
      <name val="Cambria"/>
      <family val="2"/>
    </font>
    <font>
      <b/>
      <sz val="11"/>
      <color indexed="51"/>
      <name val="Calibri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b/>
      <sz val="18"/>
      <color indexed="61"/>
      <name val="Cambria"/>
      <family val="2"/>
    </font>
    <font>
      <u/>
      <sz val="11"/>
      <color theme="10"/>
      <name val="Calibri"/>
      <family val="2"/>
    </font>
    <font>
      <sz val="8"/>
      <color indexed="12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6EFCE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8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63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90">
    <xf numFmtId="0" fontId="0" fillId="0" borderId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2" borderId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7" fillId="0" borderId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5" borderId="0" applyNumberFormat="0" applyBorder="0" applyAlignment="0" applyProtection="0"/>
    <xf numFmtId="0" fontId="13" fillId="14" borderId="0" applyNumberFormat="0" applyBorder="0" applyAlignment="0" applyProtection="0"/>
    <xf numFmtId="0" fontId="13" fillId="5" borderId="0" applyNumberFormat="0" applyBorder="0" applyAlignment="0" applyProtection="0"/>
    <xf numFmtId="0" fontId="13" fillId="19" borderId="0" applyNumberFormat="0" applyBorder="0" applyAlignment="0" applyProtection="0"/>
    <xf numFmtId="0" fontId="13" fillId="17" borderId="0" applyNumberFormat="0" applyBorder="0" applyAlignment="0" applyProtection="0"/>
    <xf numFmtId="0" fontId="13" fillId="20" borderId="0" applyNumberFormat="0" applyBorder="0" applyAlignment="0" applyProtection="0"/>
    <xf numFmtId="0" fontId="13" fillId="17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19" borderId="0" applyNumberFormat="0" applyBorder="0" applyAlignment="0" applyProtection="0"/>
    <xf numFmtId="0" fontId="13" fillId="17" borderId="0" applyNumberFormat="0" applyBorder="0" applyAlignment="0" applyProtection="0"/>
    <xf numFmtId="0" fontId="13" fillId="24" borderId="0" applyNumberFormat="0" applyBorder="0" applyAlignment="0" applyProtection="0"/>
    <xf numFmtId="41" fontId="9" fillId="0" borderId="0"/>
    <xf numFmtId="0" fontId="14" fillId="7" borderId="0" applyNumberFormat="0" applyBorder="0" applyAlignment="0" applyProtection="0"/>
    <xf numFmtId="3" fontId="9" fillId="0" borderId="0"/>
    <xf numFmtId="0" fontId="15" fillId="25" borderId="4" applyNumberFormat="0" applyAlignment="0" applyProtection="0"/>
    <xf numFmtId="0" fontId="15" fillId="5" borderId="4" applyNumberFormat="0" applyAlignment="0" applyProtection="0"/>
    <xf numFmtId="0" fontId="16" fillId="26" borderId="5" applyNumberFormat="0" applyAlignment="0" applyProtection="0"/>
    <xf numFmtId="0" fontId="9" fillId="3" borderId="0">
      <alignment horizont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" fontId="17" fillId="0" borderId="0"/>
    <xf numFmtId="0" fontId="18" fillId="0" borderId="0"/>
    <xf numFmtId="0" fontId="18" fillId="0" borderId="0"/>
    <xf numFmtId="0" fontId="19" fillId="27" borderId="1" applyAlignment="0">
      <alignment horizontal="right"/>
      <protection locked="0"/>
    </xf>
    <xf numFmtId="44" fontId="2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2" fillId="28" borderId="0">
      <alignment horizontal="right"/>
      <protection locked="0"/>
    </xf>
    <xf numFmtId="14" fontId="9" fillId="0" borderId="0"/>
    <xf numFmtId="0" fontId="23" fillId="0" borderId="0" applyNumberFormat="0" applyFill="0" applyBorder="0" applyAlignment="0" applyProtection="0"/>
    <xf numFmtId="2" fontId="22" fillId="28" borderId="0">
      <alignment horizontal="right"/>
      <protection locked="0"/>
    </xf>
    <xf numFmtId="1" fontId="9" fillId="0" borderId="0">
      <alignment horizontal="center"/>
    </xf>
    <xf numFmtId="0" fontId="24" fillId="8" borderId="0" applyNumberFormat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28" fillId="0" borderId="8" applyNumberFormat="0" applyFill="0" applyAlignment="0" applyProtection="0"/>
    <xf numFmtId="0" fontId="29" fillId="0" borderId="9" applyNumberFormat="0" applyFill="0" applyAlignment="0" applyProtection="0"/>
    <xf numFmtId="0" fontId="30" fillId="0" borderId="10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3" fillId="11" borderId="4" applyNumberFormat="0" applyAlignment="0" applyProtection="0"/>
    <xf numFmtId="3" fontId="34" fillId="29" borderId="0">
      <protection locked="0"/>
    </xf>
    <xf numFmtId="4" fontId="34" fillId="29" borderId="0">
      <protection locked="0"/>
    </xf>
    <xf numFmtId="0" fontId="35" fillId="0" borderId="11" applyNumberFormat="0" applyFill="0" applyAlignment="0" applyProtection="0"/>
    <xf numFmtId="0" fontId="36" fillId="15" borderId="0" applyNumberFormat="0" applyBorder="0" applyAlignment="0" applyProtection="0"/>
    <xf numFmtId="43" fontId="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9" fillId="0" borderId="0"/>
    <xf numFmtId="0" fontId="1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30" borderId="12" applyNumberFormat="0" applyFont="0" applyAlignment="0" applyProtection="0"/>
    <xf numFmtId="0" fontId="6" fillId="30" borderId="12" applyNumberFormat="0" applyFont="0" applyAlignment="0" applyProtection="0"/>
    <xf numFmtId="165" fontId="38" fillId="0" borderId="0" applyNumberFormat="0"/>
    <xf numFmtId="0" fontId="39" fillId="5" borderId="13" applyNumberForma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0" fontId="9" fillId="0" borderId="0"/>
    <xf numFmtId="0" fontId="40" fillId="0" borderId="0" applyNumberFormat="0" applyFont="0" applyFill="0" applyBorder="0" applyAlignment="0" applyProtection="0">
      <alignment horizontal="left"/>
    </xf>
    <xf numFmtId="0" fontId="41" fillId="0" borderId="2">
      <alignment horizontal="center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7" fillId="0" borderId="0">
      <alignment vertical="top"/>
    </xf>
    <xf numFmtId="0" fontId="17" fillId="0" borderId="0" applyNumberFormat="0" applyBorder="0" applyAlignment="0"/>
    <xf numFmtId="37" fontId="43" fillId="0" borderId="0"/>
    <xf numFmtId="37" fontId="8" fillId="0" borderId="0"/>
    <xf numFmtId="0" fontId="44" fillId="0" borderId="14" applyNumberFormat="0" applyFill="0" applyAlignment="0" applyProtection="0"/>
    <xf numFmtId="0" fontId="44" fillId="0" borderId="15" applyNumberFormat="0" applyFill="0" applyAlignment="0" applyProtection="0"/>
    <xf numFmtId="0" fontId="45" fillId="0" borderId="0" applyNumberForma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38" fontId="54" fillId="0" borderId="0" applyNumberFormat="0" applyFont="0" applyFill="0" applyBorder="0">
      <alignment horizontal="left" indent="4"/>
      <protection locked="0"/>
    </xf>
    <xf numFmtId="15" fontId="40" fillId="0" borderId="0" applyFont="0" applyFill="0" applyBorder="0" applyAlignment="0" applyProtection="0"/>
    <xf numFmtId="4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0" fontId="40" fillId="38" borderId="0" applyNumberFormat="0" applyFont="0" applyBorder="0" applyAlignment="0" applyProtection="0"/>
    <xf numFmtId="164" fontId="53" fillId="39" borderId="0" applyFont="0" applyFill="0" applyBorder="0" applyAlignment="0" applyProtection="0">
      <alignment wrapText="1"/>
    </xf>
    <xf numFmtId="0" fontId="9" fillId="0" borderId="0"/>
    <xf numFmtId="0" fontId="7" fillId="12" borderId="0" applyNumberFormat="0" applyBorder="0" applyAlignment="0" applyProtection="0"/>
    <xf numFmtId="0" fontId="7" fillId="11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30" borderId="0" applyNumberFormat="0" applyBorder="0" applyAlignment="0" applyProtection="0"/>
    <xf numFmtId="0" fontId="13" fillId="10" borderId="0" applyNumberFormat="0" applyBorder="0" applyAlignment="0" applyProtection="0"/>
    <xf numFmtId="0" fontId="13" fillId="40" borderId="0" applyNumberFormat="0" applyBorder="0" applyAlignment="0" applyProtection="0"/>
    <xf numFmtId="0" fontId="13" fillId="24" borderId="0" applyNumberFormat="0" applyBorder="0" applyAlignment="0" applyProtection="0"/>
    <xf numFmtId="0" fontId="13" fillId="16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4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41" borderId="0" applyNumberFormat="0" applyBorder="0" applyAlignment="0" applyProtection="0"/>
    <xf numFmtId="0" fontId="13" fillId="40" borderId="0" applyNumberFormat="0" applyBorder="0" applyAlignment="0" applyProtection="0"/>
    <xf numFmtId="0" fontId="13" fillId="24" borderId="0" applyNumberFormat="0" applyBorder="0" applyAlignment="0" applyProtection="0"/>
    <xf numFmtId="0" fontId="13" fillId="16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24" borderId="0" applyNumberFormat="0" applyBorder="0" applyAlignment="0" applyProtection="0"/>
    <xf numFmtId="0" fontId="13" fillId="17" borderId="0" applyNumberFormat="0" applyBorder="0" applyAlignment="0" applyProtection="0"/>
    <xf numFmtId="0" fontId="13" fillId="40" borderId="0" applyNumberFormat="0" applyBorder="0" applyAlignment="0" applyProtection="0"/>
    <xf numFmtId="0" fontId="13" fillId="22" borderId="0" applyNumberFormat="0" applyBorder="0" applyAlignment="0" applyProtection="0"/>
    <xf numFmtId="0" fontId="13" fillId="20" borderId="0" applyNumberFormat="0" applyBorder="0" applyAlignment="0" applyProtection="0"/>
    <xf numFmtId="41" fontId="9" fillId="0" borderId="0"/>
    <xf numFmtId="41" fontId="9" fillId="0" borderId="0"/>
    <xf numFmtId="41" fontId="9" fillId="0" borderId="0"/>
    <xf numFmtId="0" fontId="14" fillId="9" borderId="0" applyNumberFormat="0" applyBorder="0" applyAlignment="0" applyProtection="0"/>
    <xf numFmtId="3" fontId="9" fillId="0" borderId="0"/>
    <xf numFmtId="3" fontId="9" fillId="0" borderId="0"/>
    <xf numFmtId="3" fontId="9" fillId="0" borderId="0"/>
    <xf numFmtId="0" fontId="55" fillId="25" borderId="4" applyNumberFormat="0" applyAlignment="0" applyProtection="0"/>
    <xf numFmtId="0" fontId="58" fillId="25" borderId="4" applyNumberFormat="0" applyAlignment="0" applyProtection="0"/>
    <xf numFmtId="0" fontId="16" fillId="26" borderId="5" applyNumberFormat="0" applyAlignment="0" applyProtection="0"/>
    <xf numFmtId="0" fontId="16" fillId="43" borderId="24" applyNumberFormat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10" borderId="0" applyNumberFormat="0" applyBorder="0" applyAlignment="0" applyProtection="0"/>
    <xf numFmtId="0" fontId="25" fillId="0" borderId="25" applyNumberFormat="0" applyFill="0" applyAlignment="0" applyProtection="0"/>
    <xf numFmtId="0" fontId="59" fillId="0" borderId="26" applyNumberFormat="0" applyFill="0" applyAlignment="0" applyProtection="0"/>
    <xf numFmtId="0" fontId="27" fillId="0" borderId="27" applyNumberFormat="0" applyFill="0" applyAlignment="0" applyProtection="0"/>
    <xf numFmtId="0" fontId="60" fillId="0" borderId="8" applyNumberFormat="0" applyFill="0" applyAlignment="0" applyProtection="0"/>
    <xf numFmtId="0" fontId="29" fillId="0" borderId="28" applyNumberFormat="0" applyFill="0" applyAlignment="0" applyProtection="0"/>
    <xf numFmtId="0" fontId="61" fillId="0" borderId="29" applyNumberFormat="0" applyFill="0" applyAlignment="0" applyProtection="0"/>
    <xf numFmtId="0" fontId="29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33" fillId="15" borderId="4" applyNumberFormat="0" applyAlignment="0" applyProtection="0"/>
    <xf numFmtId="0" fontId="62" fillId="15" borderId="4" applyNumberFormat="0" applyAlignment="0" applyProtection="0"/>
    <xf numFmtId="0" fontId="45" fillId="0" borderId="30" applyNumberFormat="0" applyFill="0" applyAlignment="0" applyProtection="0"/>
    <xf numFmtId="0" fontId="63" fillId="0" borderId="31" applyNumberFormat="0" applyFill="0" applyAlignment="0" applyProtection="0"/>
    <xf numFmtId="0" fontId="56" fillId="15" borderId="0" applyNumberFormat="0" applyBorder="0" applyAlignment="0" applyProtection="0"/>
    <xf numFmtId="0" fontId="64" fillId="15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7" fillId="0" borderId="0"/>
    <xf numFmtId="0" fontId="17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37" fillId="30" borderId="12" applyNumberFormat="0" applyFont="0" applyAlignment="0" applyProtection="0"/>
    <xf numFmtId="0" fontId="17" fillId="30" borderId="12" applyNumberFormat="0" applyFont="0" applyAlignment="0" applyProtection="0"/>
    <xf numFmtId="0" fontId="39" fillId="25" borderId="13" applyNumberFormat="0" applyAlignment="0" applyProtection="0"/>
    <xf numFmtId="0" fontId="29" fillId="25" borderId="32" applyNumberForma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7" fillId="0" borderId="0">
      <alignment vertical="top"/>
    </xf>
    <xf numFmtId="0" fontId="57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44" fillId="0" borderId="33" applyNumberFormat="0" applyFill="0" applyAlignment="0" applyProtection="0"/>
    <xf numFmtId="0" fontId="44" fillId="0" borderId="34" applyNumberFormat="0" applyFill="0" applyAlignment="0" applyProtection="0"/>
    <xf numFmtId="0" fontId="45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7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4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172" fontId="40" fillId="0" borderId="0" applyFont="0" applyFill="0" applyBorder="0" applyAlignment="0" applyProtection="0"/>
    <xf numFmtId="0" fontId="9" fillId="0" borderId="0"/>
    <xf numFmtId="0" fontId="52" fillId="37" borderId="0" applyNumberFormat="0" applyBorder="0" applyAlignment="0" applyProtection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21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5" fillId="25" borderId="4" applyNumberFormat="0" applyAlignment="0" applyProtection="0"/>
    <xf numFmtId="0" fontId="15" fillId="5" borderId="4" applyNumberFormat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28" fillId="0" borderId="8" applyNumberFormat="0" applyFill="0" applyAlignment="0" applyProtection="0"/>
    <xf numFmtId="0" fontId="29" fillId="0" borderId="9" applyNumberFormat="0" applyFill="0" applyAlignment="0" applyProtection="0"/>
    <xf numFmtId="0" fontId="30" fillId="0" borderId="10" applyNumberFormat="0" applyFill="0" applyAlignment="0" applyProtection="0"/>
    <xf numFmtId="0" fontId="35" fillId="0" borderId="11" applyNumberFormat="0" applyFill="0" applyAlignment="0" applyProtection="0"/>
    <xf numFmtId="0" fontId="36" fillId="15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0" borderId="12" applyNumberFormat="0" applyFont="0" applyAlignment="0" applyProtection="0"/>
    <xf numFmtId="0" fontId="6" fillId="30" borderId="12" applyNumberFormat="0" applyFont="0" applyAlignment="0" applyProtection="0"/>
    <xf numFmtId="9" fontId="7" fillId="0" borderId="0" applyFont="0" applyFill="0" applyBorder="0" applyAlignment="0" applyProtection="0"/>
    <xf numFmtId="0" fontId="44" fillId="0" borderId="14" applyNumberFormat="0" applyFill="0" applyAlignment="0" applyProtection="0"/>
    <xf numFmtId="0" fontId="44" fillId="0" borderId="15" applyNumberFormat="0" applyFill="0" applyAlignment="0" applyProtection="0"/>
    <xf numFmtId="0" fontId="9" fillId="0" borderId="0"/>
    <xf numFmtId="0" fontId="9" fillId="0" borderId="0"/>
  </cellStyleXfs>
  <cellXfs count="290">
    <xf numFmtId="0" fontId="0" fillId="0" borderId="0" xfId="0"/>
    <xf numFmtId="0" fontId="5" fillId="0" borderId="0" xfId="4" applyNumberFormat="1" applyFont="1" applyFill="1"/>
    <xf numFmtId="0" fontId="6" fillId="0" borderId="0" xfId="4" applyNumberFormat="1" applyFont="1" applyFill="1"/>
    <xf numFmtId="44" fontId="6" fillId="0" borderId="0" xfId="5" applyFont="1" applyFill="1"/>
    <xf numFmtId="37" fontId="6" fillId="0" borderId="0" xfId="4" applyNumberFormat="1" applyFont="1" applyFill="1"/>
    <xf numFmtId="164" fontId="6" fillId="0" borderId="0" xfId="4" applyNumberFormat="1" applyFont="1" applyFill="1"/>
    <xf numFmtId="0" fontId="6" fillId="0" borderId="0" xfId="4" applyNumberFormat="1" applyFont="1" applyFill="1" applyBorder="1" applyAlignment="1">
      <alignment wrapText="1"/>
    </xf>
    <xf numFmtId="0" fontId="6" fillId="0" borderId="0" xfId="4" applyNumberFormat="1" applyFont="1" applyFill="1" applyAlignment="1">
      <alignment wrapText="1"/>
    </xf>
    <xf numFmtId="0" fontId="5" fillId="0" borderId="3" xfId="4" applyNumberFormat="1" applyFont="1" applyFill="1" applyBorder="1"/>
    <xf numFmtId="10" fontId="6" fillId="0" borderId="0" xfId="9" applyNumberFormat="1" applyFont="1" applyFill="1"/>
    <xf numFmtId="0" fontId="6" fillId="4" borderId="0" xfId="10" applyNumberFormat="1" applyFont="1" applyFill="1" applyAlignment="1">
      <alignment horizontal="left"/>
    </xf>
    <xf numFmtId="164" fontId="6" fillId="4" borderId="0" xfId="6" applyNumberFormat="1" applyFont="1" applyFill="1" applyAlignment="1">
      <alignment vertical="center"/>
    </xf>
    <xf numFmtId="43" fontId="6" fillId="4" borderId="0" xfId="6" applyNumberFormat="1" applyFont="1" applyFill="1" applyAlignment="1">
      <alignment vertical="center"/>
    </xf>
    <xf numFmtId="0" fontId="6" fillId="4" borderId="0" xfId="10" applyNumberFormat="1" applyFont="1" applyFill="1" applyBorder="1" applyAlignment="1">
      <alignment horizontal="left"/>
    </xf>
    <xf numFmtId="0" fontId="5" fillId="4" borderId="0" xfId="4" applyNumberFormat="1" applyFont="1" applyFill="1"/>
    <xf numFmtId="164" fontId="5" fillId="4" borderId="0" xfId="6" applyNumberFormat="1" applyFont="1" applyFill="1" applyAlignment="1">
      <alignment vertical="center"/>
    </xf>
    <xf numFmtId="37" fontId="5" fillId="0" borderId="0" xfId="4" applyNumberFormat="1" applyFont="1" applyFill="1"/>
    <xf numFmtId="164" fontId="5" fillId="0" borderId="0" xfId="4" applyNumberFormat="1" applyFont="1" applyFill="1"/>
    <xf numFmtId="10" fontId="5" fillId="0" borderId="0" xfId="9" applyNumberFormat="1" applyFont="1" applyFill="1"/>
    <xf numFmtId="164" fontId="6" fillId="0" borderId="0" xfId="6" applyNumberFormat="1" applyFont="1" applyFill="1" applyAlignment="1">
      <alignment vertical="center"/>
    </xf>
    <xf numFmtId="44" fontId="6" fillId="0" borderId="0" xfId="5" applyFont="1" applyFill="1" applyAlignment="1">
      <alignment vertical="center"/>
    </xf>
    <xf numFmtId="43" fontId="6" fillId="0" borderId="0" xfId="11" applyFont="1" applyFill="1"/>
    <xf numFmtId="165" fontId="6" fillId="0" borderId="0" xfId="8" applyNumberFormat="1" applyFont="1" applyFill="1"/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3" fontId="0" fillId="0" borderId="0" xfId="1" applyFont="1"/>
    <xf numFmtId="43" fontId="0" fillId="0" borderId="0" xfId="0" applyNumberFormat="1" applyFont="1" applyBorder="1" applyAlignment="1">
      <alignment horizontal="center"/>
    </xf>
    <xf numFmtId="0" fontId="3" fillId="0" borderId="0" xfId="0" applyFont="1"/>
    <xf numFmtId="0" fontId="0" fillId="0" borderId="0" xfId="0" applyFont="1" applyAlignment="1">
      <alignment horizontal="left" indent="1"/>
    </xf>
    <xf numFmtId="0" fontId="2" fillId="0" borderId="0" xfId="0" applyFont="1" applyFill="1" applyAlignment="1">
      <alignment horizontal="center"/>
    </xf>
    <xf numFmtId="0" fontId="5" fillId="0" borderId="0" xfId="4" applyNumberFormat="1" applyFont="1" applyFill="1" applyAlignment="1">
      <alignment horizontal="center" wrapText="1"/>
    </xf>
    <xf numFmtId="2" fontId="5" fillId="0" borderId="0" xfId="4" applyNumberFormat="1" applyFont="1" applyFill="1" applyAlignment="1">
      <alignment horizontal="center" wrapText="1"/>
    </xf>
    <xf numFmtId="44" fontId="5" fillId="0" borderId="0" xfId="5" applyFont="1" applyFill="1" applyAlignment="1">
      <alignment horizontal="center" wrapText="1"/>
    </xf>
    <xf numFmtId="0" fontId="6" fillId="32" borderId="0" xfId="12" applyFont="1" applyFill="1"/>
    <xf numFmtId="164" fontId="6" fillId="32" borderId="0" xfId="6" applyNumberFormat="1" applyFont="1" applyFill="1" applyAlignment="1">
      <alignment vertical="center"/>
    </xf>
    <xf numFmtId="43" fontId="6" fillId="32" borderId="0" xfId="6" applyNumberFormat="1" applyFont="1" applyFill="1" applyAlignment="1">
      <alignment vertical="center"/>
    </xf>
    <xf numFmtId="0" fontId="5" fillId="32" borderId="1" xfId="12" applyFont="1" applyFill="1" applyBorder="1"/>
    <xf numFmtId="164" fontId="5" fillId="32" borderId="1" xfId="6" applyNumberFormat="1" applyFont="1" applyFill="1" applyBorder="1" applyAlignment="1">
      <alignment vertical="center"/>
    </xf>
    <xf numFmtId="0" fontId="5" fillId="0" borderId="0" xfId="12" applyFont="1" applyFill="1" applyBorder="1"/>
    <xf numFmtId="164" fontId="5" fillId="0" borderId="0" xfId="6" applyNumberFormat="1" applyFont="1" applyFill="1" applyBorder="1" applyAlignment="1">
      <alignment vertical="center"/>
    </xf>
    <xf numFmtId="44" fontId="5" fillId="0" borderId="0" xfId="2" applyFont="1" applyFill="1" applyBorder="1" applyAlignment="1">
      <alignment vertical="center"/>
    </xf>
    <xf numFmtId="44" fontId="5" fillId="0" borderId="0" xfId="5" applyFont="1" applyFill="1" applyBorder="1" applyAlignment="1" applyProtection="1">
      <alignment vertical="center"/>
    </xf>
    <xf numFmtId="0" fontId="5" fillId="0" borderId="0" xfId="4" applyNumberFormat="1" applyFont="1" applyFill="1" applyBorder="1"/>
    <xf numFmtId="44" fontId="1" fillId="0" borderId="0" xfId="2" applyFont="1" applyBorder="1"/>
    <xf numFmtId="0" fontId="0" fillId="0" borderId="0" xfId="0" applyFont="1" applyBorder="1" applyAlignment="1">
      <alignment horizontal="left"/>
    </xf>
    <xf numFmtId="44" fontId="6" fillId="0" borderId="0" xfId="4" applyNumberFormat="1" applyFont="1" applyFill="1"/>
    <xf numFmtId="3" fontId="6" fillId="0" borderId="0" xfId="4" applyNumberFormat="1" applyFont="1" applyFill="1"/>
    <xf numFmtId="3" fontId="5" fillId="0" borderId="0" xfId="4" applyNumberFormat="1" applyFont="1" applyFill="1"/>
    <xf numFmtId="0" fontId="5" fillId="0" borderId="0" xfId="4" applyNumberFormat="1" applyFont="1" applyFill="1" applyBorder="1" applyAlignment="1">
      <alignment wrapText="1"/>
    </xf>
    <xf numFmtId="0" fontId="0" fillId="0" borderId="0" xfId="0" applyAlignment="1"/>
    <xf numFmtId="0" fontId="0" fillId="0" borderId="0" xfId="0" applyFont="1" applyAlignment="1"/>
    <xf numFmtId="43" fontId="1" fillId="0" borderId="0" xfId="1" applyFont="1" applyAlignment="1"/>
    <xf numFmtId="43" fontId="0" fillId="0" borderId="0" xfId="0" applyNumberFormat="1" applyFont="1" applyAlignment="1"/>
    <xf numFmtId="0" fontId="3" fillId="0" borderId="0" xfId="0" applyFont="1" applyAlignment="1"/>
    <xf numFmtId="43" fontId="1" fillId="0" borderId="0" xfId="1" applyFont="1" applyAlignment="1">
      <alignment horizontal="center"/>
    </xf>
    <xf numFmtId="164" fontId="1" fillId="0" borderId="0" xfId="1" applyNumberFormat="1" applyFont="1" applyAlignment="1"/>
    <xf numFmtId="0" fontId="2" fillId="0" borderId="0" xfId="0" applyFont="1" applyFill="1" applyAlignment="1"/>
    <xf numFmtId="44" fontId="1" fillId="0" borderId="0" xfId="2" applyFont="1" applyFill="1"/>
    <xf numFmtId="166" fontId="1" fillId="0" borderId="0" xfId="2" applyNumberFormat="1" applyFont="1" applyFill="1"/>
    <xf numFmtId="167" fontId="1" fillId="0" borderId="0" xfId="1" applyNumberFormat="1" applyFont="1" applyAlignment="1"/>
    <xf numFmtId="44" fontId="1" fillId="0" borderId="1" xfId="2" applyFont="1" applyFill="1" applyBorder="1"/>
    <xf numFmtId="166" fontId="1" fillId="0" borderId="1" xfId="2" applyNumberFormat="1" applyFont="1" applyFill="1" applyBorder="1"/>
    <xf numFmtId="167" fontId="1" fillId="0" borderId="0" xfId="1" applyNumberFormat="1" applyFont="1" applyBorder="1" applyAlignment="1"/>
    <xf numFmtId="168" fontId="1" fillId="0" borderId="0" xfId="2" applyNumberFormat="1" applyFont="1" applyFill="1"/>
    <xf numFmtId="167" fontId="1" fillId="0" borderId="1" xfId="1" applyNumberFormat="1" applyFont="1" applyBorder="1" applyAlignment="1"/>
    <xf numFmtId="169" fontId="0" fillId="0" borderId="0" xfId="0" applyNumberFormat="1" applyFont="1" applyAlignment="1"/>
    <xf numFmtId="0" fontId="3" fillId="0" borderId="0" xfId="0" applyFont="1" applyFill="1" applyBorder="1" applyAlignment="1"/>
    <xf numFmtId="0" fontId="0" fillId="0" borderId="0" xfId="0" applyFont="1" applyFill="1" applyBorder="1" applyAlignment="1"/>
    <xf numFmtId="166" fontId="1" fillId="0" borderId="0" xfId="2" applyNumberFormat="1" applyFont="1" applyFill="1" applyBorder="1"/>
    <xf numFmtId="10" fontId="0" fillId="0" borderId="0" xfId="3" applyNumberFormat="1" applyFont="1" applyAlignment="1"/>
    <xf numFmtId="44" fontId="0" fillId="0" borderId="0" xfId="0" applyNumberFormat="1" applyAlignment="1"/>
    <xf numFmtId="44" fontId="0" fillId="0" borderId="0" xfId="0" applyNumberFormat="1" applyFont="1" applyAlignment="1"/>
    <xf numFmtId="168" fontId="1" fillId="0" borderId="0" xfId="2" applyNumberFormat="1" applyFont="1" applyFill="1" applyBorder="1"/>
    <xf numFmtId="44" fontId="0" fillId="0" borderId="0" xfId="2" applyFont="1" applyAlignment="1"/>
    <xf numFmtId="0" fontId="0" fillId="0" borderId="0" xfId="0" applyFill="1" applyBorder="1" applyAlignment="1"/>
    <xf numFmtId="0" fontId="3" fillId="0" borderId="17" xfId="0" applyFont="1" applyBorder="1" applyAlignment="1"/>
    <xf numFmtId="0" fontId="0" fillId="0" borderId="19" xfId="0" applyFont="1" applyBorder="1" applyAlignment="1"/>
    <xf numFmtId="44" fontId="1" fillId="0" borderId="20" xfId="2" applyFont="1" applyBorder="1"/>
    <xf numFmtId="0" fontId="0" fillId="0" borderId="0" xfId="0" applyFont="1" applyBorder="1" applyAlignment="1"/>
    <xf numFmtId="0" fontId="0" fillId="0" borderId="0" xfId="0" applyBorder="1" applyAlignment="1">
      <alignment vertical="top"/>
    </xf>
    <xf numFmtId="164" fontId="1" fillId="0" borderId="0" xfId="1" applyNumberFormat="1" applyFont="1" applyFill="1" applyBorder="1" applyAlignment="1"/>
    <xf numFmtId="43" fontId="46" fillId="0" borderId="0" xfId="1" applyNumberFormat="1" applyFont="1" applyFill="1" applyBorder="1" applyAlignment="1"/>
    <xf numFmtId="164" fontId="1" fillId="0" borderId="0" xfId="1" applyNumberFormat="1" applyFont="1" applyFill="1" applyBorder="1" applyAlignment="1">
      <alignment horizontal="center" wrapText="1"/>
    </xf>
    <xf numFmtId="44" fontId="1" fillId="0" borderId="0" xfId="2" applyFont="1" applyFill="1" applyBorder="1"/>
    <xf numFmtId="44" fontId="9" fillId="0" borderId="0" xfId="85" applyFont="1"/>
    <xf numFmtId="0" fontId="0" fillId="0" borderId="0" xfId="0" applyFont="1" applyFill="1" applyBorder="1" applyAlignment="1">
      <alignment horizontal="center" vertical="center"/>
    </xf>
    <xf numFmtId="43" fontId="1" fillId="0" borderId="0" xfId="1" applyNumberFormat="1" applyFont="1" applyFill="1" applyBorder="1" applyAlignment="1"/>
    <xf numFmtId="44" fontId="9" fillId="0" borderId="0" xfId="85" applyFont="1" applyFill="1"/>
    <xf numFmtId="0" fontId="17" fillId="0" borderId="0" xfId="0" applyFont="1" applyFill="1" applyBorder="1" applyAlignment="1">
      <alignment vertical="top"/>
    </xf>
    <xf numFmtId="164" fontId="9" fillId="0" borderId="0" xfId="1" applyNumberFormat="1" applyFont="1" applyFill="1" applyAlignment="1"/>
    <xf numFmtId="164" fontId="46" fillId="0" borderId="0" xfId="1" applyNumberFormat="1" applyFont="1" applyFill="1" applyBorder="1" applyAlignment="1"/>
    <xf numFmtId="43" fontId="1" fillId="0" borderId="0" xfId="2" applyNumberFormat="1" applyFont="1" applyFill="1" applyBorder="1"/>
    <xf numFmtId="0" fontId="0" fillId="0" borderId="0" xfId="0" applyFill="1" applyAlignment="1"/>
    <xf numFmtId="0" fontId="0" fillId="0" borderId="0" xfId="0" applyFont="1" applyBorder="1" applyAlignment="1">
      <alignment horizontal="center"/>
    </xf>
    <xf numFmtId="0" fontId="47" fillId="0" borderId="0" xfId="10" applyFont="1" applyFill="1" applyBorder="1" applyAlignment="1">
      <alignment horizontal="left"/>
    </xf>
    <xf numFmtId="164" fontId="3" fillId="0" borderId="0" xfId="1" applyNumberFormat="1" applyFont="1" applyBorder="1" applyAlignment="1">
      <alignment horizontal="right"/>
    </xf>
    <xf numFmtId="44" fontId="3" fillId="0" borderId="0" xfId="2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4" fontId="1" fillId="0" borderId="0" xfId="1" applyNumberFormat="1" applyFont="1" applyBorder="1" applyAlignment="1"/>
    <xf numFmtId="44" fontId="1" fillId="0" borderId="0" xfId="1" applyNumberFormat="1" applyFont="1" applyFill="1" applyBorder="1" applyAlignment="1"/>
    <xf numFmtId="0" fontId="0" fillId="0" borderId="0" xfId="0" applyFill="1" applyAlignment="1">
      <alignment horizontal="left" vertical="top"/>
    </xf>
    <xf numFmtId="43" fontId="0" fillId="0" borderId="0" xfId="1" applyFont="1" applyFill="1" applyAlignment="1">
      <alignment vertical="top"/>
    </xf>
    <xf numFmtId="43" fontId="1" fillId="0" borderId="0" xfId="1" applyFont="1" applyFill="1" applyBorder="1" applyAlignment="1">
      <alignment horizontal="right"/>
    </xf>
    <xf numFmtId="43" fontId="1" fillId="0" borderId="0" xfId="1" applyFont="1" applyBorder="1" applyAlignment="1"/>
    <xf numFmtId="0" fontId="46" fillId="0" borderId="1" xfId="189" applyFont="1" applyBorder="1"/>
    <xf numFmtId="43" fontId="1" fillId="0" borderId="1" xfId="1" applyFont="1" applyBorder="1" applyAlignment="1">
      <alignment horizontal="right"/>
    </xf>
    <xf numFmtId="43" fontId="1" fillId="0" borderId="1" xfId="1" applyNumberFormat="1" applyFont="1" applyFill="1" applyBorder="1" applyAlignment="1"/>
    <xf numFmtId="164" fontId="1" fillId="0" borderId="1" xfId="1" applyNumberFormat="1" applyFont="1" applyFill="1" applyBorder="1" applyAlignment="1"/>
    <xf numFmtId="164" fontId="1" fillId="0" borderId="1" xfId="1" applyNumberFormat="1" applyFont="1" applyBorder="1" applyAlignment="1"/>
    <xf numFmtId="43" fontId="1" fillId="0" borderId="1" xfId="2" applyNumberFormat="1" applyFont="1" applyFill="1" applyBorder="1"/>
    <xf numFmtId="0" fontId="46" fillId="0" borderId="1" xfId="190" applyFont="1" applyBorder="1" applyAlignment="1">
      <alignment horizontal="left"/>
    </xf>
    <xf numFmtId="43" fontId="1" fillId="0" borderId="1" xfId="1" applyFont="1" applyFill="1" applyBorder="1" applyAlignment="1"/>
    <xf numFmtId="44" fontId="1" fillId="0" borderId="1" xfId="2" applyFont="1" applyBorder="1"/>
    <xf numFmtId="44" fontId="0" fillId="0" borderId="0" xfId="0" applyNumberFormat="1" applyFont="1" applyBorder="1" applyAlignment="1"/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vertical="center" textRotation="90"/>
    </xf>
    <xf numFmtId="0" fontId="2" fillId="0" borderId="0" xfId="190" applyFont="1" applyBorder="1" applyAlignment="1">
      <alignment horizontal="left"/>
    </xf>
    <xf numFmtId="170" fontId="0" fillId="0" borderId="0" xfId="0" applyNumberFormat="1" applyFont="1" applyBorder="1" applyAlignment="1"/>
    <xf numFmtId="164" fontId="3" fillId="0" borderId="1" xfId="1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3" fontId="0" fillId="0" borderId="0" xfId="0" applyNumberFormat="1" applyFont="1" applyBorder="1" applyAlignment="1"/>
    <xf numFmtId="43" fontId="44" fillId="0" borderId="16" xfId="191" applyNumberFormat="1" applyFont="1" applyFill="1" applyBorder="1"/>
    <xf numFmtId="164" fontId="1" fillId="0" borderId="0" xfId="1" applyNumberFormat="1" applyFont="1" applyBorder="1" applyAlignment="1">
      <alignment horizontal="right"/>
    </xf>
    <xf numFmtId="0" fontId="48" fillId="0" borderId="0" xfId="1" applyNumberFormat="1" applyFont="1" applyBorder="1" applyAlignment="1">
      <alignment horizontal="left"/>
    </xf>
    <xf numFmtId="10" fontId="1" fillId="0" borderId="0" xfId="3" applyNumberFormat="1" applyFont="1" applyBorder="1" applyAlignment="1">
      <alignment horizontal="right"/>
    </xf>
    <xf numFmtId="10" fontId="1" fillId="0" borderId="0" xfId="3" applyNumberFormat="1" applyFont="1" applyBorder="1" applyAlignment="1"/>
    <xf numFmtId="0" fontId="0" fillId="0" borderId="0" xfId="0" applyFont="1" applyBorder="1" applyAlignment="1">
      <alignment horizontal="right" wrapText="1"/>
    </xf>
    <xf numFmtId="0" fontId="0" fillId="0" borderId="0" xfId="0" applyFont="1" applyBorder="1" applyAlignment="1">
      <alignment horizontal="center" wrapText="1"/>
    </xf>
    <xf numFmtId="170" fontId="1" fillId="0" borderId="0" xfId="2" applyNumberFormat="1" applyFont="1" applyBorder="1"/>
    <xf numFmtId="44" fontId="1" fillId="0" borderId="0" xfId="2" applyFont="1" applyBorder="1" applyAlignment="1">
      <alignment horizontal="right"/>
    </xf>
    <xf numFmtId="166" fontId="1" fillId="0" borderId="0" xfId="2" applyNumberFormat="1" applyFont="1" applyBorder="1"/>
    <xf numFmtId="43" fontId="0" fillId="0" borderId="0" xfId="1" applyFont="1" applyFill="1" applyBorder="1" applyAlignment="1">
      <alignment horizontal="right"/>
    </xf>
    <xf numFmtId="10" fontId="0" fillId="0" borderId="0" xfId="3" applyNumberFormat="1" applyFont="1" applyFill="1" applyBorder="1" applyAlignment="1"/>
    <xf numFmtId="171" fontId="0" fillId="0" borderId="0" xfId="0" applyNumberFormat="1" applyFont="1" applyFill="1" applyBorder="1" applyAlignment="1">
      <alignment horizontal="right"/>
    </xf>
    <xf numFmtId="0" fontId="46" fillId="0" borderId="0" xfId="12" applyFont="1" applyFill="1" applyBorder="1"/>
    <xf numFmtId="0" fontId="0" fillId="0" borderId="0" xfId="0" applyFont="1" applyFill="1" applyAlignment="1">
      <alignment vertical="top"/>
    </xf>
    <xf numFmtId="0" fontId="0" fillId="0" borderId="0" xfId="0" applyBorder="1"/>
    <xf numFmtId="2" fontId="0" fillId="0" borderId="0" xfId="0" applyNumberFormat="1"/>
    <xf numFmtId="0" fontId="3" fillId="33" borderId="1" xfId="0" applyFont="1" applyFill="1" applyBorder="1" applyAlignment="1"/>
    <xf numFmtId="0" fontId="0" fillId="33" borderId="1" xfId="0" applyFont="1" applyFill="1" applyBorder="1" applyAlignment="1">
      <alignment horizontal="center"/>
    </xf>
    <xf numFmtId="0" fontId="49" fillId="0" borderId="0" xfId="0" applyFont="1"/>
    <xf numFmtId="2" fontId="0" fillId="0" borderId="0" xfId="0" applyNumberFormat="1" applyFill="1"/>
    <xf numFmtId="0" fontId="0" fillId="0" borderId="0" xfId="0" applyFill="1" applyBorder="1" applyAlignment="1">
      <alignment vertical="top"/>
    </xf>
    <xf numFmtId="0" fontId="0" fillId="0" borderId="0" xfId="0" applyFont="1" applyFill="1" applyAlignment="1">
      <alignment horizontal="center"/>
    </xf>
    <xf numFmtId="0" fontId="0" fillId="0" borderId="0" xfId="0" applyFill="1"/>
    <xf numFmtId="43" fontId="0" fillId="0" borderId="0" xfId="1" applyFont="1" applyFill="1"/>
    <xf numFmtId="0" fontId="3" fillId="33" borderId="1" xfId="0" applyFont="1" applyFill="1" applyBorder="1" applyAlignment="1">
      <alignment horizontal="center" wrapText="1"/>
    </xf>
    <xf numFmtId="0" fontId="3" fillId="33" borderId="1" xfId="0" applyFont="1" applyFill="1" applyBorder="1" applyAlignment="1">
      <alignment horizontal="center" vertical="center"/>
    </xf>
    <xf numFmtId="164" fontId="3" fillId="33" borderId="1" xfId="1" applyNumberFormat="1" applyFont="1" applyFill="1" applyBorder="1" applyAlignment="1">
      <alignment horizontal="center" wrapText="1"/>
    </xf>
    <xf numFmtId="0" fontId="0" fillId="33" borderId="1" xfId="0" applyFont="1" applyFill="1" applyBorder="1" applyAlignment="1">
      <alignment vertical="center" textRotation="90"/>
    </xf>
    <xf numFmtId="0" fontId="0" fillId="33" borderId="1" xfId="0" applyFont="1" applyFill="1" applyBorder="1" applyAlignment="1">
      <alignment horizontal="center" vertical="center"/>
    </xf>
    <xf numFmtId="0" fontId="47" fillId="33" borderId="1" xfId="10" applyFont="1" applyFill="1" applyBorder="1" applyAlignment="1">
      <alignment horizontal="left"/>
    </xf>
    <xf numFmtId="3" fontId="3" fillId="33" borderId="1" xfId="0" applyNumberFormat="1" applyFont="1" applyFill="1" applyBorder="1" applyAlignment="1">
      <alignment horizontal="right"/>
    </xf>
    <xf numFmtId="43" fontId="1" fillId="33" borderId="1" xfId="1" applyFont="1" applyFill="1" applyBorder="1" applyAlignment="1"/>
    <xf numFmtId="164" fontId="3" fillId="33" borderId="1" xfId="0" applyNumberFormat="1" applyFont="1" applyFill="1" applyBorder="1" applyAlignment="1"/>
    <xf numFmtId="3" fontId="3" fillId="33" borderId="1" xfId="0" applyNumberFormat="1" applyFont="1" applyFill="1" applyBorder="1" applyAlignment="1"/>
    <xf numFmtId="164" fontId="3" fillId="33" borderId="1" xfId="1" applyNumberFormat="1" applyFont="1" applyFill="1" applyBorder="1" applyAlignment="1"/>
    <xf numFmtId="44" fontId="1" fillId="33" borderId="1" xfId="2" applyFont="1" applyFill="1" applyBorder="1"/>
    <xf numFmtId="44" fontId="3" fillId="33" borderId="1" xfId="2" applyFont="1" applyFill="1" applyBorder="1"/>
    <xf numFmtId="0" fontId="0" fillId="33" borderId="0" xfId="0" applyFont="1" applyFill="1" applyBorder="1" applyAlignment="1"/>
    <xf numFmtId="0" fontId="0" fillId="33" borderId="0" xfId="0" applyFont="1" applyFill="1" applyBorder="1" applyAlignment="1">
      <alignment horizontal="center"/>
    </xf>
    <xf numFmtId="0" fontId="3" fillId="33" borderId="0" xfId="0" applyFont="1" applyFill="1" applyBorder="1" applyAlignment="1"/>
    <xf numFmtId="0" fontId="0" fillId="33" borderId="0" xfId="0" applyFont="1" applyFill="1" applyBorder="1" applyAlignment="1">
      <alignment horizontal="right"/>
    </xf>
    <xf numFmtId="164" fontId="1" fillId="33" borderId="0" xfId="1" applyNumberFormat="1" applyFont="1" applyFill="1" applyBorder="1" applyAlignment="1"/>
    <xf numFmtId="44" fontId="1" fillId="33" borderId="0" xfId="1" applyNumberFormat="1" applyFont="1" applyFill="1" applyBorder="1" applyAlignment="1"/>
    <xf numFmtId="43" fontId="0" fillId="0" borderId="0" xfId="0" applyNumberFormat="1" applyFont="1" applyFill="1" applyAlignment="1"/>
    <xf numFmtId="44" fontId="1" fillId="34" borderId="0" xfId="2" applyFont="1" applyFill="1" applyBorder="1"/>
    <xf numFmtId="10" fontId="0" fillId="0" borderId="0" xfId="3" applyNumberFormat="1" applyFont="1" applyBorder="1" applyAlignment="1"/>
    <xf numFmtId="0" fontId="0" fillId="0" borderId="0" xfId="0" applyFont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textRotation="90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textRotation="90"/>
    </xf>
    <xf numFmtId="41" fontId="46" fillId="0" borderId="1" xfId="0" applyNumberFormat="1" applyFont="1" applyBorder="1" applyAlignment="1"/>
    <xf numFmtId="3" fontId="3" fillId="33" borderId="1" xfId="0" applyNumberFormat="1" applyFont="1" applyFill="1" applyBorder="1" applyAlignment="1">
      <alignment horizontal="center" wrapText="1"/>
    </xf>
    <xf numFmtId="3" fontId="9" fillId="0" borderId="0" xfId="53" applyNumberFormat="1" applyFont="1"/>
    <xf numFmtId="3" fontId="9" fillId="0" borderId="0" xfId="53" applyNumberFormat="1" applyFont="1" applyFill="1"/>
    <xf numFmtId="3" fontId="0" fillId="33" borderId="1" xfId="0" applyNumberFormat="1" applyFont="1" applyFill="1" applyBorder="1" applyAlignment="1"/>
    <xf numFmtId="3" fontId="3" fillId="0" borderId="0" xfId="1" applyNumberFormat="1" applyFont="1" applyBorder="1" applyAlignment="1">
      <alignment horizontal="right"/>
    </xf>
    <xf numFmtId="3" fontId="0" fillId="0" borderId="0" xfId="0" applyNumberFormat="1" applyFont="1" applyBorder="1" applyAlignment="1"/>
    <xf numFmtId="3" fontId="0" fillId="33" borderId="0" xfId="0" applyNumberFormat="1" applyFont="1" applyFill="1" applyBorder="1" applyAlignment="1"/>
    <xf numFmtId="3" fontId="1" fillId="0" borderId="0" xfId="1" applyNumberFormat="1" applyFont="1" applyFill="1" applyBorder="1" applyAlignment="1"/>
    <xf numFmtId="3" fontId="1" fillId="0" borderId="1" xfId="1" applyNumberFormat="1" applyFont="1" applyFill="1" applyBorder="1" applyAlignment="1"/>
    <xf numFmtId="3" fontId="1" fillId="0" borderId="0" xfId="1" applyNumberFormat="1" applyFont="1" applyBorder="1" applyAlignment="1"/>
    <xf numFmtId="3" fontId="46" fillId="0" borderId="0" xfId="1" applyNumberFormat="1" applyFont="1" applyFill="1" applyBorder="1" applyAlignment="1">
      <alignment horizontal="left"/>
    </xf>
    <xf numFmtId="3" fontId="1" fillId="0" borderId="0" xfId="1" applyNumberFormat="1" applyFont="1" applyBorder="1" applyAlignment="1">
      <alignment horizontal="right"/>
    </xf>
    <xf numFmtId="3" fontId="1" fillId="0" borderId="0" xfId="3" applyNumberFormat="1" applyFont="1" applyBorder="1" applyAlignment="1">
      <alignment horizontal="right"/>
    </xf>
    <xf numFmtId="3" fontId="46" fillId="0" borderId="0" xfId="10" applyNumberFormat="1" applyFont="1" applyFill="1" applyBorder="1" applyAlignment="1">
      <alignment horizontal="left"/>
    </xf>
    <xf numFmtId="0" fontId="3" fillId="35" borderId="0" xfId="0" applyFont="1" applyFill="1"/>
    <xf numFmtId="0" fontId="0" fillId="35" borderId="0" xfId="0" applyFill="1"/>
    <xf numFmtId="2" fontId="0" fillId="35" borderId="0" xfId="0" applyNumberFormat="1" applyFill="1"/>
    <xf numFmtId="43" fontId="0" fillId="35" borderId="0" xfId="1" applyFont="1" applyFill="1"/>
    <xf numFmtId="0" fontId="46" fillId="0" borderId="0" xfId="0" applyFont="1" applyFill="1" applyAlignment="1"/>
    <xf numFmtId="0" fontId="46" fillId="0" borderId="0" xfId="0" applyFont="1" applyFill="1" applyAlignment="1">
      <alignment horizontal="right"/>
    </xf>
    <xf numFmtId="0" fontId="46" fillId="0" borderId="0" xfId="189" applyFont="1" applyBorder="1"/>
    <xf numFmtId="43" fontId="1" fillId="0" borderId="0" xfId="1" applyFont="1" applyBorder="1" applyAlignment="1">
      <alignment horizontal="right"/>
    </xf>
    <xf numFmtId="44" fontId="46" fillId="0" borderId="0" xfId="2" applyFont="1" applyBorder="1"/>
    <xf numFmtId="0" fontId="3" fillId="0" borderId="0" xfId="0" applyFont="1" applyBorder="1" applyAlignment="1"/>
    <xf numFmtId="44" fontId="3" fillId="0" borderId="0" xfId="0" applyNumberFormat="1" applyFont="1" applyBorder="1" applyAlignment="1"/>
    <xf numFmtId="0" fontId="0" fillId="0" borderId="21" xfId="0" applyFont="1" applyBorder="1" applyAlignment="1"/>
    <xf numFmtId="0" fontId="0" fillId="0" borderId="22" xfId="0" applyFont="1" applyBorder="1" applyAlignment="1"/>
    <xf numFmtId="0" fontId="3" fillId="35" borderId="1" xfId="0" applyFont="1" applyFill="1" applyBorder="1" applyAlignment="1"/>
    <xf numFmtId="0" fontId="0" fillId="35" borderId="1" xfId="0" applyFont="1" applyFill="1" applyBorder="1" applyAlignment="1">
      <alignment horizontal="center"/>
    </xf>
    <xf numFmtId="0" fontId="0" fillId="35" borderId="1" xfId="0" applyFill="1" applyBorder="1" applyAlignment="1">
      <alignment horizontal="center"/>
    </xf>
    <xf numFmtId="0" fontId="0" fillId="35" borderId="18" xfId="0" applyFont="1" applyFill="1" applyBorder="1" applyAlignment="1">
      <alignment horizontal="center"/>
    </xf>
    <xf numFmtId="0" fontId="5" fillId="36" borderId="0" xfId="4" applyNumberFormat="1" applyFont="1" applyFill="1" applyAlignment="1">
      <alignment horizontal="center" wrapText="1"/>
    </xf>
    <xf numFmtId="44" fontId="6" fillId="0" borderId="0" xfId="2" applyFont="1" applyFill="1" applyAlignment="1">
      <alignment vertical="center"/>
    </xf>
    <xf numFmtId="164" fontId="6" fillId="0" borderId="0" xfId="1" applyNumberFormat="1" applyFont="1" applyFill="1" applyAlignment="1">
      <alignment vertical="center"/>
    </xf>
    <xf numFmtId="44" fontId="6" fillId="0" borderId="0" xfId="5" applyFont="1" applyFill="1" applyAlignment="1" applyProtection="1">
      <alignment vertical="center"/>
    </xf>
    <xf numFmtId="44" fontId="5" fillId="0" borderId="0" xfId="2" applyFont="1" applyFill="1" applyAlignment="1">
      <alignment vertical="center"/>
    </xf>
    <xf numFmtId="164" fontId="5" fillId="0" borderId="0" xfId="6" applyNumberFormat="1" applyFont="1" applyFill="1" applyAlignment="1">
      <alignment vertical="center"/>
    </xf>
    <xf numFmtId="43" fontId="6" fillId="0" borderId="0" xfId="1" applyFont="1" applyFill="1" applyAlignment="1">
      <alignment vertical="center"/>
    </xf>
    <xf numFmtId="164" fontId="6" fillId="0" borderId="0" xfId="6" applyNumberFormat="1" applyFont="1" applyFill="1" applyBorder="1" applyAlignment="1">
      <alignment vertical="center"/>
    </xf>
    <xf numFmtId="44" fontId="6" fillId="0" borderId="0" xfId="2" applyFont="1" applyFill="1" applyBorder="1" applyAlignment="1">
      <alignment vertical="center"/>
    </xf>
    <xf numFmtId="10" fontId="5" fillId="0" borderId="0" xfId="9" applyNumberFormat="1" applyFont="1" applyFill="1" applyBorder="1"/>
    <xf numFmtId="3" fontId="5" fillId="0" borderId="0" xfId="4" applyNumberFormat="1" applyFont="1" applyFill="1" applyBorder="1"/>
    <xf numFmtId="164" fontId="6" fillId="0" borderId="0" xfId="1" applyNumberFormat="1" applyFont="1" applyFill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44" fontId="6" fillId="0" borderId="0" xfId="5" applyFont="1" applyFill="1" applyBorder="1" applyAlignment="1" applyProtection="1">
      <alignment vertical="center"/>
    </xf>
    <xf numFmtId="37" fontId="6" fillId="0" borderId="0" xfId="4" applyNumberFormat="1" applyFont="1" applyFill="1" applyBorder="1"/>
    <xf numFmtId="164" fontId="6" fillId="0" borderId="0" xfId="4" applyNumberFormat="1" applyFont="1" applyFill="1" applyBorder="1"/>
    <xf numFmtId="10" fontId="6" fillId="0" borderId="0" xfId="9" applyNumberFormat="1" applyFont="1" applyFill="1" applyBorder="1"/>
    <xf numFmtId="0" fontId="6" fillId="0" borderId="0" xfId="4" applyNumberFormat="1" applyFont="1" applyFill="1" applyBorder="1"/>
    <xf numFmtId="44" fontId="6" fillId="0" borderId="0" xfId="5" applyFont="1" applyFill="1" applyBorder="1"/>
    <xf numFmtId="0" fontId="10" fillId="0" borderId="0" xfId="4" applyNumberFormat="1" applyFont="1" applyFill="1" applyBorder="1"/>
    <xf numFmtId="37" fontId="10" fillId="0" borderId="0" xfId="4" applyNumberFormat="1" applyFont="1" applyFill="1" applyBorder="1"/>
    <xf numFmtId="0" fontId="6" fillId="0" borderId="0" xfId="4" applyNumberFormat="1" applyFont="1" applyFill="1" applyBorder="1" applyAlignment="1">
      <alignment horizontal="right"/>
    </xf>
    <xf numFmtId="164" fontId="6" fillId="0" borderId="0" xfId="1" applyNumberFormat="1" applyFont="1" applyFill="1" applyBorder="1"/>
    <xf numFmtId="10" fontId="6" fillId="0" borderId="0" xfId="3" applyNumberFormat="1" applyFont="1" applyFill="1" applyBorder="1"/>
    <xf numFmtId="43" fontId="6" fillId="0" borderId="0" xfId="1" applyFont="1" applyFill="1" applyBorder="1"/>
    <xf numFmtId="43" fontId="6" fillId="0" borderId="0" xfId="4" applyNumberFormat="1" applyFont="1" applyFill="1" applyBorder="1"/>
    <xf numFmtId="0" fontId="5" fillId="0" borderId="0" xfId="4" applyNumberFormat="1" applyFont="1" applyFill="1" applyBorder="1" applyAlignment="1">
      <alignment horizontal="right"/>
    </xf>
    <xf numFmtId="170" fontId="5" fillId="0" borderId="0" xfId="2" applyNumberFormat="1" applyFont="1" applyFill="1" applyBorder="1"/>
    <xf numFmtId="42" fontId="5" fillId="0" borderId="0" xfId="4" applyNumberFormat="1" applyFont="1" applyFill="1" applyBorder="1"/>
    <xf numFmtId="0" fontId="0" fillId="0" borderId="0" xfId="0" applyFill="1" applyAlignment="1">
      <alignment horizontal="left" indent="1"/>
    </xf>
    <xf numFmtId="10" fontId="0" fillId="0" borderId="0" xfId="0" applyNumberFormat="1" applyFont="1" applyAlignment="1"/>
    <xf numFmtId="0" fontId="51" fillId="0" borderId="0" xfId="0" applyFont="1"/>
    <xf numFmtId="0" fontId="50" fillId="0" borderId="0" xfId="0" applyFont="1" applyFill="1" applyBorder="1" applyAlignment="1">
      <alignment horizontal="center" vertical="center"/>
    </xf>
    <xf numFmtId="0" fontId="50" fillId="0" borderId="0" xfId="0" applyFont="1" applyBorder="1" applyAlignment="1">
      <alignment horizontal="center" vertical="center" wrapText="1"/>
    </xf>
    <xf numFmtId="0" fontId="50" fillId="0" borderId="0" xfId="0" applyFont="1" applyFill="1" applyBorder="1" applyAlignment="1">
      <alignment horizontal="center" vertical="center" wrapText="1"/>
    </xf>
    <xf numFmtId="10" fontId="0" fillId="0" borderId="0" xfId="0" applyNumberFormat="1" applyFont="1" applyBorder="1" applyAlignment="1"/>
    <xf numFmtId="42" fontId="0" fillId="0" borderId="0" xfId="0" applyNumberFormat="1" applyFont="1" applyBorder="1" applyAlignment="1"/>
    <xf numFmtId="44" fontId="0" fillId="0" borderId="0" xfId="2" applyFont="1" applyFill="1" applyBorder="1"/>
    <xf numFmtId="3" fontId="1" fillId="0" borderId="0" xfId="2" applyNumberFormat="1" applyFont="1" applyFill="1" applyBorder="1"/>
    <xf numFmtId="0" fontId="0" fillId="0" borderId="0" xfId="0" applyFont="1" applyBorder="1" applyAlignment="1">
      <alignment horizontal="right"/>
    </xf>
    <xf numFmtId="0" fontId="0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Fill="1" applyBorder="1"/>
    <xf numFmtId="14" fontId="50" fillId="0" borderId="0" xfId="0" applyNumberFormat="1" applyFont="1" applyFill="1" applyBorder="1" applyAlignment="1">
      <alignment horizontal="center" vertical="center" wrapText="1"/>
    </xf>
    <xf numFmtId="43" fontId="0" fillId="0" borderId="0" xfId="1" applyFont="1" applyFill="1" applyBorder="1" applyAlignment="1"/>
    <xf numFmtId="43" fontId="0" fillId="0" borderId="0" xfId="1" applyFont="1" applyBorder="1" applyAlignment="1"/>
    <xf numFmtId="0" fontId="0" fillId="0" borderId="0" xfId="0" applyFont="1" applyFill="1" applyBorder="1" applyAlignment="1">
      <alignment horizontal="center"/>
    </xf>
    <xf numFmtId="164" fontId="6" fillId="4" borderId="0" xfId="6" applyNumberFormat="1" applyFont="1" applyFill="1" applyBorder="1" applyAlignment="1">
      <alignment vertical="center"/>
    </xf>
    <xf numFmtId="164" fontId="67" fillId="0" borderId="0" xfId="6" applyNumberFormat="1" applyFont="1" applyFill="1" applyAlignment="1">
      <alignment vertical="center"/>
    </xf>
    <xf numFmtId="43" fontId="6" fillId="0" borderId="0" xfId="1" applyFont="1" applyFill="1"/>
    <xf numFmtId="43" fontId="67" fillId="0" borderId="0" xfId="1" applyFont="1" applyFill="1" applyAlignment="1">
      <alignment vertical="center"/>
    </xf>
    <xf numFmtId="43" fontId="5" fillId="0" borderId="0" xfId="1" applyFont="1" applyFill="1" applyAlignment="1">
      <alignment horizontal="center" wrapText="1"/>
    </xf>
    <xf numFmtId="0" fontId="6" fillId="4" borderId="17" xfId="10" applyNumberFormat="1" applyFont="1" applyFill="1" applyBorder="1" applyAlignment="1">
      <alignment horizontal="left"/>
    </xf>
    <xf numFmtId="164" fontId="6" fillId="4" borderId="35" xfId="6" applyNumberFormat="1" applyFont="1" applyFill="1" applyBorder="1" applyAlignment="1">
      <alignment vertical="center"/>
    </xf>
    <xf numFmtId="43" fontId="6" fillId="4" borderId="35" xfId="1" applyFont="1" applyFill="1" applyBorder="1" applyAlignment="1">
      <alignment vertical="center"/>
    </xf>
    <xf numFmtId="164" fontId="6" fillId="4" borderId="36" xfId="6" applyNumberFormat="1" applyFont="1" applyFill="1" applyBorder="1" applyAlignment="1">
      <alignment vertical="center"/>
    </xf>
    <xf numFmtId="0" fontId="6" fillId="4" borderId="19" xfId="10" applyNumberFormat="1" applyFont="1" applyFill="1" applyBorder="1" applyAlignment="1">
      <alignment horizontal="left"/>
    </xf>
    <xf numFmtId="43" fontId="6" fillId="4" borderId="0" xfId="1" applyFont="1" applyFill="1" applyBorder="1" applyAlignment="1">
      <alignment vertical="center"/>
    </xf>
    <xf numFmtId="164" fontId="6" fillId="4" borderId="20" xfId="6" applyNumberFormat="1" applyFont="1" applyFill="1" applyBorder="1" applyAlignment="1">
      <alignment vertical="center"/>
    </xf>
    <xf numFmtId="0" fontId="5" fillId="4" borderId="21" xfId="4" applyNumberFormat="1" applyFont="1" applyFill="1" applyBorder="1"/>
    <xf numFmtId="164" fontId="5" fillId="4" borderId="2" xfId="6" applyNumberFormat="1" applyFont="1" applyFill="1" applyBorder="1" applyAlignment="1">
      <alignment vertical="center"/>
    </xf>
    <xf numFmtId="43" fontId="5" fillId="4" borderId="2" xfId="1" applyFont="1" applyFill="1" applyBorder="1" applyAlignment="1">
      <alignment vertical="center"/>
    </xf>
    <xf numFmtId="164" fontId="5" fillId="4" borderId="22" xfId="6" applyNumberFormat="1" applyFont="1" applyFill="1" applyBorder="1" applyAlignment="1">
      <alignment vertical="center"/>
    </xf>
    <xf numFmtId="0" fontId="6" fillId="32" borderId="17" xfId="10" applyNumberFormat="1" applyFont="1" applyFill="1" applyBorder="1" applyAlignment="1">
      <alignment horizontal="left"/>
    </xf>
    <xf numFmtId="164" fontId="6" fillId="32" borderId="35" xfId="6" applyNumberFormat="1" applyFont="1" applyFill="1" applyBorder="1" applyAlignment="1">
      <alignment vertical="center"/>
    </xf>
    <xf numFmtId="43" fontId="6" fillId="32" borderId="35" xfId="1" applyFont="1" applyFill="1" applyBorder="1" applyAlignment="1">
      <alignment vertical="center"/>
    </xf>
    <xf numFmtId="164" fontId="6" fillId="32" borderId="36" xfId="6" applyNumberFormat="1" applyFont="1" applyFill="1" applyBorder="1" applyAlignment="1">
      <alignment vertical="center"/>
    </xf>
    <xf numFmtId="0" fontId="6" fillId="32" borderId="21" xfId="12" applyFont="1" applyFill="1" applyBorder="1"/>
    <xf numFmtId="164" fontId="6" fillId="32" borderId="2" xfId="6" applyNumberFormat="1" applyFont="1" applyFill="1" applyBorder="1" applyAlignment="1">
      <alignment vertical="center"/>
    </xf>
    <xf numFmtId="43" fontId="6" fillId="32" borderId="2" xfId="6" applyNumberFormat="1" applyFont="1" applyFill="1" applyBorder="1" applyAlignment="1">
      <alignment vertical="center"/>
    </xf>
    <xf numFmtId="164" fontId="6" fillId="32" borderId="22" xfId="6" applyNumberFormat="1" applyFont="1" applyFill="1" applyBorder="1" applyAlignment="1">
      <alignment vertical="center"/>
    </xf>
    <xf numFmtId="0" fontId="5" fillId="4" borderId="17" xfId="10" applyNumberFormat="1" applyFont="1" applyFill="1" applyBorder="1" applyAlignment="1">
      <alignment horizontal="left"/>
    </xf>
    <xf numFmtId="0" fontId="5" fillId="4" borderId="19" xfId="1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3" fontId="0" fillId="0" borderId="0" xfId="0" applyNumberFormat="1" applyFont="1" applyFill="1" applyBorder="1" applyAlignment="1"/>
    <xf numFmtId="0" fontId="0" fillId="0" borderId="0" xfId="0" applyFont="1" applyFill="1" applyBorder="1" applyAlignment="1">
      <alignment horizontal="left"/>
    </xf>
    <xf numFmtId="0" fontId="1" fillId="0" borderId="0" xfId="1" applyNumberFormat="1" applyFont="1" applyFill="1" applyBorder="1" applyAlignment="1"/>
    <xf numFmtId="0" fontId="0" fillId="31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0" fontId="3" fillId="31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textRotation="90"/>
    </xf>
    <xf numFmtId="0" fontId="0" fillId="0" borderId="23" xfId="0" applyFont="1" applyFill="1" applyBorder="1" applyAlignment="1">
      <alignment horizontal="center" vertical="center" textRotation="90"/>
    </xf>
    <xf numFmtId="0" fontId="0" fillId="0" borderId="1" xfId="0" applyFont="1" applyFill="1" applyBorder="1" applyAlignment="1">
      <alignment horizontal="center" vertical="center" textRotation="90"/>
    </xf>
    <xf numFmtId="0" fontId="0" fillId="31" borderId="0" xfId="0" applyFont="1" applyFill="1" applyBorder="1" applyAlignment="1">
      <alignment horizontal="center"/>
    </xf>
  </cellXfs>
  <cellStyles count="490">
    <cellStyle name="20% - Accent1 2" xfId="13"/>
    <cellStyle name="20% - Accent1 2 2" xfId="445"/>
    <cellStyle name="20% - Accent1 2 3" xfId="218"/>
    <cellStyle name="20% - Accent1 3" xfId="14"/>
    <cellStyle name="20% - Accent1 3 2" xfId="446"/>
    <cellStyle name="20% - Accent1 3 3" xfId="217"/>
    <cellStyle name="20% - Accent2 2" xfId="15"/>
    <cellStyle name="20% - Accent2 2 2" xfId="220"/>
    <cellStyle name="20% - Accent2 3" xfId="219"/>
    <cellStyle name="20% - Accent3 2" xfId="16"/>
    <cellStyle name="20% - Accent3 2 2" xfId="222"/>
    <cellStyle name="20% - Accent3 3" xfId="221"/>
    <cellStyle name="20% - Accent4 2" xfId="17"/>
    <cellStyle name="20% - Accent4 2 2" xfId="447"/>
    <cellStyle name="20% - Accent4 2 3" xfId="224"/>
    <cellStyle name="20% - Accent4 3" xfId="18"/>
    <cellStyle name="20% - Accent4 3 2" xfId="448"/>
    <cellStyle name="20% - Accent4 3 3" xfId="223"/>
    <cellStyle name="20% - Accent5 2" xfId="19"/>
    <cellStyle name="20% - Accent5 3" xfId="225"/>
    <cellStyle name="20% - Accent6 2" xfId="20"/>
    <cellStyle name="20% - Accent6 2 2" xfId="227"/>
    <cellStyle name="20% - Accent6 3" xfId="226"/>
    <cellStyle name="40% - Accent1 2" xfId="21"/>
    <cellStyle name="40% - Accent1 3" xfId="22"/>
    <cellStyle name="40% - Accent1 3 2" xfId="449"/>
    <cellStyle name="40% - Accent1 3 3" xfId="228"/>
    <cellStyle name="40% - Accent2 2" xfId="23"/>
    <cellStyle name="40% - Accent2 3" xfId="229"/>
    <cellStyle name="40% - Accent3 2" xfId="24"/>
    <cellStyle name="40% - Accent3 2 2" xfId="231"/>
    <cellStyle name="40% - Accent3 3" xfId="230"/>
    <cellStyle name="40% - Accent4 2" xfId="25"/>
    <cellStyle name="40% - Accent4 3" xfId="26"/>
    <cellStyle name="40% - Accent4 3 2" xfId="450"/>
    <cellStyle name="40% - Accent4 3 3" xfId="232"/>
    <cellStyle name="40% - Accent5 2" xfId="27"/>
    <cellStyle name="40% - Accent5 3" xfId="233"/>
    <cellStyle name="40% - Accent6 2" xfId="28"/>
    <cellStyle name="40% - Accent6 3" xfId="29"/>
    <cellStyle name="40% - Accent6 3 2" xfId="451"/>
    <cellStyle name="40% - Accent6 3 3" xfId="234"/>
    <cellStyle name="60% - Accent1 2" xfId="30"/>
    <cellStyle name="60% - Accent1 2 2" xfId="452"/>
    <cellStyle name="60% - Accent1 2 3" xfId="236"/>
    <cellStyle name="60% - Accent1 3" xfId="31"/>
    <cellStyle name="60% - Accent1 3 2" xfId="453"/>
    <cellStyle name="60% - Accent1 3 3" xfId="235"/>
    <cellStyle name="60% - Accent2 2" xfId="32"/>
    <cellStyle name="60% - Accent2 3" xfId="237"/>
    <cellStyle name="60% - Accent3 2" xfId="33"/>
    <cellStyle name="60% - Accent3 3" xfId="34"/>
    <cellStyle name="60% - Accent3 3 2" xfId="454"/>
    <cellStyle name="60% - Accent3 3 3" xfId="238"/>
    <cellStyle name="60% - Accent4 2" xfId="35"/>
    <cellStyle name="60% - Accent4 3" xfId="36"/>
    <cellStyle name="60% - Accent4 3 2" xfId="455"/>
    <cellStyle name="60% - Accent4 3 3" xfId="239"/>
    <cellStyle name="60% - Accent5 2" xfId="37"/>
    <cellStyle name="60% - Accent5 2 2" xfId="456"/>
    <cellStyle name="60% - Accent5 2 3" xfId="241"/>
    <cellStyle name="60% - Accent5 3" xfId="240"/>
    <cellStyle name="60% - Accent6 2" xfId="38"/>
    <cellStyle name="60% - Accent6 2 2" xfId="243"/>
    <cellStyle name="60% - Accent6 3" xfId="242"/>
    <cellStyle name="Accent1 2" xfId="39"/>
    <cellStyle name="Accent1 2 2" xfId="457"/>
    <cellStyle name="Accent1 2 3" xfId="245"/>
    <cellStyle name="Accent1 3" xfId="40"/>
    <cellStyle name="Accent1 3 2" xfId="458"/>
    <cellStyle name="Accent1 3 3" xfId="244"/>
    <cellStyle name="Accent2 2" xfId="41"/>
    <cellStyle name="Accent2 3" xfId="246"/>
    <cellStyle name="Accent3 2" xfId="42"/>
    <cellStyle name="Accent3 2 2" xfId="459"/>
    <cellStyle name="Accent3 2 3" xfId="248"/>
    <cellStyle name="Accent3 3" xfId="247"/>
    <cellStyle name="Accent4 2" xfId="43"/>
    <cellStyle name="Accent4 2 2" xfId="250"/>
    <cellStyle name="Accent4 3" xfId="249"/>
    <cellStyle name="Accent5 2" xfId="44"/>
    <cellStyle name="Accent5 2 2" xfId="252"/>
    <cellStyle name="Accent5 3" xfId="251"/>
    <cellStyle name="Accent6 2" xfId="45"/>
    <cellStyle name="Accent6 2 2" xfId="460"/>
    <cellStyle name="Accent6 2 3" xfId="254"/>
    <cellStyle name="Accent6 3" xfId="253"/>
    <cellStyle name="Accounting" xfId="46"/>
    <cellStyle name="Accounting 2" xfId="255"/>
    <cellStyle name="Accounting 3" xfId="256"/>
    <cellStyle name="Accounting_2011-11" xfId="257"/>
    <cellStyle name="Bad 2" xfId="47"/>
    <cellStyle name="Bad 3" xfId="258"/>
    <cellStyle name="Budget" xfId="48"/>
    <cellStyle name="Budget 2" xfId="259"/>
    <cellStyle name="Budget 3" xfId="260"/>
    <cellStyle name="Budget_2011-11" xfId="261"/>
    <cellStyle name="Calculation 2" xfId="49"/>
    <cellStyle name="Calculation 2 2" xfId="461"/>
    <cellStyle name="Calculation 2 3" xfId="263"/>
    <cellStyle name="Calculation 3" xfId="50"/>
    <cellStyle name="Calculation 3 2" xfId="462"/>
    <cellStyle name="Calculation 3 3" xfId="262"/>
    <cellStyle name="Check Cell 2" xfId="51"/>
    <cellStyle name="Check Cell 2 2" xfId="265"/>
    <cellStyle name="Check Cell 3" xfId="264"/>
    <cellStyle name="combo" xfId="52"/>
    <cellStyle name="Comma" xfId="1" builtinId="3"/>
    <cellStyle name="Comma 10" xfId="53"/>
    <cellStyle name="Comma 11" xfId="54"/>
    <cellStyle name="Comma 12" xfId="55"/>
    <cellStyle name="Comma 12 2" xfId="389"/>
    <cellStyle name="Comma 12 3" xfId="393"/>
    <cellStyle name="Comma 12 4" xfId="266"/>
    <cellStyle name="Comma 13" xfId="56"/>
    <cellStyle name="Comma 14" xfId="57"/>
    <cellStyle name="Comma 15" xfId="58"/>
    <cellStyle name="Comma 16" xfId="59"/>
    <cellStyle name="Comma 17" xfId="60"/>
    <cellStyle name="Comma 17 2" xfId="463"/>
    <cellStyle name="Comma 17 3" xfId="402"/>
    <cellStyle name="Comma 18" xfId="61"/>
    <cellStyle name="Comma 18 2" xfId="404"/>
    <cellStyle name="Comma 18 3" xfId="464"/>
    <cellStyle name="Comma 18 4" xfId="403"/>
    <cellStyle name="Comma 19" xfId="400"/>
    <cellStyle name="Comma 2" xfId="62"/>
    <cellStyle name="Comma 2 2" xfId="6"/>
    <cellStyle name="Comma 2 2 2" xfId="63"/>
    <cellStyle name="Comma 2 3" xfId="64"/>
    <cellStyle name="Comma 2 4" xfId="65"/>
    <cellStyle name="Comma 2 4 2" xfId="465"/>
    <cellStyle name="Comma 2 4 3" xfId="405"/>
    <cellStyle name="Comma 2 5" xfId="444"/>
    <cellStyle name="Comma 2 6" xfId="193"/>
    <cellStyle name="Comma 2 6 2" xfId="194"/>
    <cellStyle name="Comma 20" xfId="191"/>
    <cellStyle name="Comma 21" xfId="192"/>
    <cellStyle name="Comma 3" xfId="66"/>
    <cellStyle name="Comma 3 2" xfId="67"/>
    <cellStyle name="Comma 3 2 2" xfId="68"/>
    <cellStyle name="Comma 3 3" xfId="69"/>
    <cellStyle name="Comma 3 4" xfId="70"/>
    <cellStyle name="Comma 4" xfId="71"/>
    <cellStyle name="Comma 4 2" xfId="72"/>
    <cellStyle name="Comma 4 2 2" xfId="394"/>
    <cellStyle name="Comma 4 2 3" xfId="406"/>
    <cellStyle name="Comma 4 3" xfId="73"/>
    <cellStyle name="Comma 4 3 2" xfId="395"/>
    <cellStyle name="Comma 4 3 3" xfId="407"/>
    <cellStyle name="Comma 4 4" xfId="74"/>
    <cellStyle name="Comma 4 4 2" xfId="408"/>
    <cellStyle name="Comma 4 4 3" xfId="409"/>
    <cellStyle name="Comma 4 5" xfId="75"/>
    <cellStyle name="Comma 4 5 2" xfId="410"/>
    <cellStyle name="Comma 4 6" xfId="391"/>
    <cellStyle name="Comma 5" xfId="76"/>
    <cellStyle name="Comma 5 2" xfId="411"/>
    <cellStyle name="Comma 5 3" xfId="412"/>
    <cellStyle name="Comma 6" xfId="11"/>
    <cellStyle name="Comma 6 2" xfId="77"/>
    <cellStyle name="Comma 7" xfId="78"/>
    <cellStyle name="Comma 8" xfId="79"/>
    <cellStyle name="Comma 9" xfId="80"/>
    <cellStyle name="Comma(2)" xfId="81"/>
    <cellStyle name="Comma0" xfId="413"/>
    <cellStyle name="Comma0 - Style2" xfId="82"/>
    <cellStyle name="Comma1 - Style1" xfId="83"/>
    <cellStyle name="Comments" xfId="84"/>
    <cellStyle name="Currency" xfId="2" builtinId="4"/>
    <cellStyle name="Currency 10" xfId="401"/>
    <cellStyle name="Currency 2" xfId="85"/>
    <cellStyle name="Currency 2 2" xfId="86"/>
    <cellStyle name="Currency 2 2 2" xfId="269"/>
    <cellStyle name="Currency 2 2 3" xfId="196"/>
    <cellStyle name="Currency 2 3" xfId="87"/>
    <cellStyle name="Currency 2 3 2" xfId="466"/>
    <cellStyle name="Currency 2 3 3" xfId="268"/>
    <cellStyle name="Currency 2 4" xfId="414"/>
    <cellStyle name="Currency 2 5" xfId="195"/>
    <cellStyle name="Currency 2 6" xfId="197"/>
    <cellStyle name="Currency 2 6 2" xfId="198"/>
    <cellStyle name="Currency 3" xfId="88"/>
    <cellStyle name="Currency 3 2" xfId="89"/>
    <cellStyle name="Currency 3 2 2" xfId="271"/>
    <cellStyle name="Currency 3 3" xfId="270"/>
    <cellStyle name="Currency 3 4" xfId="396"/>
    <cellStyle name="Currency 3 5" xfId="199"/>
    <cellStyle name="Currency 4" xfId="90"/>
    <cellStyle name="Currency 4 2" xfId="201"/>
    <cellStyle name="Currency 4 3" xfId="200"/>
    <cellStyle name="Currency 5" xfId="91"/>
    <cellStyle name="Currency 5 2" xfId="388"/>
    <cellStyle name="Currency 5 3" xfId="397"/>
    <cellStyle name="Currency 5 4" xfId="267"/>
    <cellStyle name="Currency 6" xfId="92"/>
    <cellStyle name="Currency 7" xfId="93"/>
    <cellStyle name="Currency 8" xfId="94"/>
    <cellStyle name="Currency 8 2" xfId="467"/>
    <cellStyle name="Currency 8 3" xfId="415"/>
    <cellStyle name="Currency 9" xfId="5"/>
    <cellStyle name="Currency0" xfId="416"/>
    <cellStyle name="Data Enter" xfId="95"/>
    <cellStyle name="date" xfId="96"/>
    <cellStyle name="Explanatory Text 2" xfId="97"/>
    <cellStyle name="Explanatory Text 3" xfId="272"/>
    <cellStyle name="F9ReportControlStyle_ctpInquire" xfId="417"/>
    <cellStyle name="FactSheet" xfId="98"/>
    <cellStyle name="fish" xfId="99"/>
    <cellStyle name="Good 2" xfId="100"/>
    <cellStyle name="Good 3" xfId="273"/>
    <cellStyle name="Good 4" xfId="418"/>
    <cellStyle name="Heading 1 2" xfId="101"/>
    <cellStyle name="Heading 1 2 2" xfId="468"/>
    <cellStyle name="Heading 1 2 3" xfId="275"/>
    <cellStyle name="Heading 1 3" xfId="102"/>
    <cellStyle name="Heading 1 3 2" xfId="469"/>
    <cellStyle name="Heading 1 3 3" xfId="274"/>
    <cellStyle name="Heading 2 2" xfId="103"/>
    <cellStyle name="Heading 2 2 2" xfId="470"/>
    <cellStyle name="Heading 2 2 3" xfId="277"/>
    <cellStyle name="Heading 2 3" xfId="104"/>
    <cellStyle name="Heading 2 3 2" xfId="471"/>
    <cellStyle name="Heading 2 3 3" xfId="276"/>
    <cellStyle name="Heading 3 2" xfId="105"/>
    <cellStyle name="Heading 3 2 2" xfId="472"/>
    <cellStyle name="Heading 3 2 3" xfId="279"/>
    <cellStyle name="Heading 3 3" xfId="106"/>
    <cellStyle name="Heading 3 3 2" xfId="473"/>
    <cellStyle name="Heading 3 3 3" xfId="278"/>
    <cellStyle name="Heading 4 2" xfId="107"/>
    <cellStyle name="Heading 4 2 2" xfId="281"/>
    <cellStyle name="Heading 4 3" xfId="280"/>
    <cellStyle name="Hyperlink 2" xfId="108"/>
    <cellStyle name="Hyperlink 3" xfId="109"/>
    <cellStyle name="Hyperlink 3 2" xfId="398"/>
    <cellStyle name="Input 2" xfId="110"/>
    <cellStyle name="Input 2 2" xfId="283"/>
    <cellStyle name="Input 3" xfId="282"/>
    <cellStyle name="input(0)" xfId="111"/>
    <cellStyle name="Input(2)" xfId="112"/>
    <cellStyle name="Linked Cell 2" xfId="113"/>
    <cellStyle name="Linked Cell 2 2" xfId="474"/>
    <cellStyle name="Linked Cell 2 3" xfId="285"/>
    <cellStyle name="Linked Cell 3" xfId="284"/>
    <cellStyle name="Neutral 2" xfId="114"/>
    <cellStyle name="Neutral 2 2" xfId="475"/>
    <cellStyle name="Neutral 2 3" xfId="287"/>
    <cellStyle name="Neutral 3" xfId="286"/>
    <cellStyle name="New_normal" xfId="115"/>
    <cellStyle name="Normal" xfId="0" builtinId="0"/>
    <cellStyle name="Normal - Style1" xfId="116"/>
    <cellStyle name="Normal - Style2" xfId="117"/>
    <cellStyle name="Normal - Style3" xfId="118"/>
    <cellStyle name="Normal - Style4" xfId="119"/>
    <cellStyle name="Normal - Style5" xfId="120"/>
    <cellStyle name="Normal 10" xfId="121"/>
    <cellStyle name="Normal 10 2" xfId="12"/>
    <cellStyle name="Normal 10 2 2" xfId="122"/>
    <cellStyle name="Normal 10 2 3" xfId="476"/>
    <cellStyle name="Normal 10 2 4" xfId="202"/>
    <cellStyle name="Normal 10_2112 DF Schedule" xfId="419"/>
    <cellStyle name="Normal 11" xfId="123"/>
    <cellStyle name="Normal 11 2" xfId="420"/>
    <cellStyle name="Normal 12" xfId="124"/>
    <cellStyle name="Normal 12 2" xfId="477"/>
    <cellStyle name="Normal 12 3" xfId="288"/>
    <cellStyle name="Normal 13" xfId="125"/>
    <cellStyle name="Normal 13 2" xfId="478"/>
    <cellStyle name="Normal 13 3" xfId="289"/>
    <cellStyle name="Normal 14" xfId="126"/>
    <cellStyle name="Normal 14 2" xfId="479"/>
    <cellStyle name="Normal 14 3" xfId="290"/>
    <cellStyle name="Normal 15" xfId="127"/>
    <cellStyle name="Normal 15 2" xfId="480"/>
    <cellStyle name="Normal 15 3" xfId="291"/>
    <cellStyle name="Normal 16" xfId="128"/>
    <cellStyle name="Normal 16 2" xfId="421"/>
    <cellStyle name="Normal 16 3" xfId="292"/>
    <cellStyle name="Normal 17" xfId="129"/>
    <cellStyle name="Normal 17 2" xfId="422"/>
    <cellStyle name="Normal 17 3" xfId="293"/>
    <cellStyle name="Normal 18" xfId="130"/>
    <cellStyle name="Normal 18 2" xfId="423"/>
    <cellStyle name="Normal 18 3" xfId="294"/>
    <cellStyle name="Normal 19" xfId="131"/>
    <cellStyle name="Normal 19 2" xfId="424"/>
    <cellStyle name="Normal 19 3" xfId="295"/>
    <cellStyle name="Normal 2" xfId="132"/>
    <cellStyle name="Normal 2 10" xfId="425"/>
    <cellStyle name="Normal 2 11" xfId="426"/>
    <cellStyle name="Normal 2 2" xfId="133"/>
    <cellStyle name="Normal 2 2 2" xfId="134"/>
    <cellStyle name="Normal 2 2 2 2" xfId="427"/>
    <cellStyle name="Normal 2 2 3" xfId="135"/>
    <cellStyle name="Normal 2 2 4" xfId="203"/>
    <cellStyle name="Normal 2 2_Actual_Fuel" xfId="296"/>
    <cellStyle name="Normal 2 3" xfId="136"/>
    <cellStyle name="Normal 2 3 2" xfId="137"/>
    <cellStyle name="Normal 2 3 3" xfId="138"/>
    <cellStyle name="Normal 2 3_Consolidated Pro forma" xfId="428"/>
    <cellStyle name="Normal 2 4" xfId="139"/>
    <cellStyle name="Normal 2 5" xfId="140"/>
    <cellStyle name="Normal 2 6" xfId="429"/>
    <cellStyle name="Normal 2 7" xfId="430"/>
    <cellStyle name="Normal 2 8" xfId="431"/>
    <cellStyle name="Normal 2 9" xfId="432"/>
    <cellStyle name="Normal 2_2009 Regulated Price Out" xfId="433"/>
    <cellStyle name="Normal 20" xfId="141"/>
    <cellStyle name="Normal 20 2" xfId="297"/>
    <cellStyle name="Normal 21" xfId="142"/>
    <cellStyle name="Normal 21 2" xfId="298"/>
    <cellStyle name="Normal 22" xfId="143"/>
    <cellStyle name="Normal 22 2" xfId="299"/>
    <cellStyle name="Normal 23" xfId="144"/>
    <cellStyle name="Normal 23 2" xfId="300"/>
    <cellStyle name="Normal 24" xfId="145"/>
    <cellStyle name="Normal 24 2" xfId="301"/>
    <cellStyle name="Normal 25" xfId="146"/>
    <cellStyle name="Normal 25 2" xfId="302"/>
    <cellStyle name="Normal 26" xfId="147"/>
    <cellStyle name="Normal 26 2" xfId="303"/>
    <cellStyle name="Normal 27" xfId="148"/>
    <cellStyle name="Normal 27 2" xfId="304"/>
    <cellStyle name="Normal 28" xfId="149"/>
    <cellStyle name="Normal 28 2" xfId="305"/>
    <cellStyle name="Normal 29" xfId="150"/>
    <cellStyle name="Normal 29 2" xfId="306"/>
    <cellStyle name="Normal 3" xfId="151"/>
    <cellStyle name="Normal 3 2" xfId="152"/>
    <cellStyle name="Normal 3 2 2" xfId="434"/>
    <cellStyle name="Normal 3 3" xfId="307"/>
    <cellStyle name="Normal 3 4" xfId="392"/>
    <cellStyle name="Normal 3_2012 PR" xfId="308"/>
    <cellStyle name="Normal 30" xfId="309"/>
    <cellStyle name="Normal 31" xfId="310"/>
    <cellStyle name="Normal 32" xfId="311"/>
    <cellStyle name="Normal 33" xfId="312"/>
    <cellStyle name="Normal 34" xfId="313"/>
    <cellStyle name="Normal 35" xfId="314"/>
    <cellStyle name="Normal 36" xfId="315"/>
    <cellStyle name="Normal 37" xfId="316"/>
    <cellStyle name="Normal 38" xfId="317"/>
    <cellStyle name="Normal 39" xfId="318"/>
    <cellStyle name="Normal 4" xfId="153"/>
    <cellStyle name="Normal 4 2" xfId="319"/>
    <cellStyle name="Normal 4 3" xfId="435"/>
    <cellStyle name="Normal 4 4" xfId="204"/>
    <cellStyle name="Normal 4_Misc Pivot" xfId="436"/>
    <cellStyle name="Normal 40" xfId="320"/>
    <cellStyle name="Normal 41" xfId="321"/>
    <cellStyle name="Normal 42" xfId="322"/>
    <cellStyle name="Normal 43" xfId="323"/>
    <cellStyle name="Normal 44" xfId="324"/>
    <cellStyle name="Normal 45" xfId="325"/>
    <cellStyle name="Normal 46" xfId="326"/>
    <cellStyle name="Normal 47" xfId="327"/>
    <cellStyle name="Normal 48" xfId="328"/>
    <cellStyle name="Normal 49" xfId="329"/>
    <cellStyle name="Normal 5" xfId="154"/>
    <cellStyle name="Normal 5 2" xfId="155"/>
    <cellStyle name="Normal 5 3" xfId="205"/>
    <cellStyle name="Normal 5_2112 DF Schedule" xfId="437"/>
    <cellStyle name="Normal 50" xfId="330"/>
    <cellStyle name="Normal 51" xfId="331"/>
    <cellStyle name="Normal 52" xfId="332"/>
    <cellStyle name="Normal 53" xfId="333"/>
    <cellStyle name="Normal 54" xfId="334"/>
    <cellStyle name="Normal 55" xfId="335"/>
    <cellStyle name="Normal 56" xfId="336"/>
    <cellStyle name="Normal 57" xfId="337"/>
    <cellStyle name="Normal 58" xfId="338"/>
    <cellStyle name="Normal 59" xfId="339"/>
    <cellStyle name="Normal 6" xfId="156"/>
    <cellStyle name="Normal 6 2" xfId="340"/>
    <cellStyle name="Normal 6 3" xfId="206"/>
    <cellStyle name="Normal 60" xfId="341"/>
    <cellStyle name="Normal 61" xfId="342"/>
    <cellStyle name="Normal 62" xfId="343"/>
    <cellStyle name="Normal 63" xfId="344"/>
    <cellStyle name="Normal 64" xfId="345"/>
    <cellStyle name="Normal 65" xfId="346"/>
    <cellStyle name="Normal 66" xfId="347"/>
    <cellStyle name="Normal 67" xfId="348"/>
    <cellStyle name="Normal 68" xfId="349"/>
    <cellStyle name="Normal 69" xfId="350"/>
    <cellStyle name="Normal 7" xfId="157"/>
    <cellStyle name="Normal 7 2" xfId="438"/>
    <cellStyle name="Normal 70" xfId="351"/>
    <cellStyle name="Normal 71" xfId="352"/>
    <cellStyle name="Normal 72" xfId="353"/>
    <cellStyle name="Normal 73" xfId="354"/>
    <cellStyle name="Normal 74" xfId="355"/>
    <cellStyle name="Normal 75" xfId="356"/>
    <cellStyle name="Normal 76" xfId="357"/>
    <cellStyle name="Normal 77" xfId="358"/>
    <cellStyle name="Normal 78" xfId="359"/>
    <cellStyle name="Normal 79" xfId="360"/>
    <cellStyle name="Normal 8" xfId="158"/>
    <cellStyle name="Normal 8 2" xfId="439"/>
    <cellStyle name="Normal 80" xfId="361"/>
    <cellStyle name="Normal 81" xfId="362"/>
    <cellStyle name="Normal 82" xfId="363"/>
    <cellStyle name="Normal 83" xfId="364"/>
    <cellStyle name="Normal 84" xfId="216"/>
    <cellStyle name="Normal 84 2" xfId="189"/>
    <cellStyle name="Normal 84 3" xfId="481"/>
    <cellStyle name="Normal 85" xfId="371"/>
    <cellStyle name="Normal 85 2" xfId="482"/>
    <cellStyle name="Normal 86" xfId="383"/>
    <cellStyle name="Normal 87" xfId="384"/>
    <cellStyle name="Normal 88" xfId="385"/>
    <cellStyle name="Normal 89" xfId="386"/>
    <cellStyle name="Normal 9" xfId="159"/>
    <cellStyle name="Normal 9 2" xfId="440"/>
    <cellStyle name="Normal 90" xfId="190"/>
    <cellStyle name="Normal 91" xfId="390"/>
    <cellStyle name="Normal 92" xfId="443"/>
    <cellStyle name="Normal 93" xfId="488"/>
    <cellStyle name="Normal 94" xfId="489"/>
    <cellStyle name="Normal_CostStudyTCII" xfId="4"/>
    <cellStyle name="Normal_Price out 2" xfId="10"/>
    <cellStyle name="Note 2" xfId="160"/>
    <cellStyle name="Note 2 2" xfId="483"/>
    <cellStyle name="Note 2 3" xfId="366"/>
    <cellStyle name="Note 3" xfId="161"/>
    <cellStyle name="Note 3 2" xfId="484"/>
    <cellStyle name="Note 3 3" xfId="365"/>
    <cellStyle name="Notes" xfId="162"/>
    <cellStyle name="Output 2" xfId="163"/>
    <cellStyle name="Output 2 2" xfId="368"/>
    <cellStyle name="Output 3" xfId="367"/>
    <cellStyle name="Percent" xfId="3" builtinId="5"/>
    <cellStyle name="Percent 2" xfId="164"/>
    <cellStyle name="Percent 2 2" xfId="165"/>
    <cellStyle name="Percent 2 2 2" xfId="370"/>
    <cellStyle name="Percent 2 2 3" xfId="207"/>
    <cellStyle name="Percent 2 3" xfId="166"/>
    <cellStyle name="Percent 2 4" xfId="399"/>
    <cellStyle name="Percent 2 6" xfId="208"/>
    <cellStyle name="Percent 3" xfId="167"/>
    <cellStyle name="Percent 3 2" xfId="209"/>
    <cellStyle name="Percent 4" xfId="9"/>
    <cellStyle name="Percent 4 2" xfId="7"/>
    <cellStyle name="Percent 4 3" xfId="441"/>
    <cellStyle name="Percent 5" xfId="168"/>
    <cellStyle name="Percent 5 2" xfId="372"/>
    <cellStyle name="Percent 6" xfId="373"/>
    <cellStyle name="Percent 7" xfId="8"/>
    <cellStyle name="Percent 7 2" xfId="387"/>
    <cellStyle name="Percent 7 3" xfId="485"/>
    <cellStyle name="Percent 7 4" xfId="369"/>
    <cellStyle name="Percent 8" xfId="442"/>
    <cellStyle name="Percent(1)" xfId="169"/>
    <cellStyle name="Percent(2)" xfId="170"/>
    <cellStyle name="PRM" xfId="171"/>
    <cellStyle name="PRM 2" xfId="374"/>
    <cellStyle name="PRM 3" xfId="375"/>
    <cellStyle name="PRM_2011-11" xfId="376"/>
    <cellStyle name="PS_Comma" xfId="210"/>
    <cellStyle name="PSChar" xfId="172"/>
    <cellStyle name="PSDate" xfId="211"/>
    <cellStyle name="PSDec" xfId="212"/>
    <cellStyle name="PSHeading" xfId="173"/>
    <cellStyle name="PSInt" xfId="213"/>
    <cellStyle name="PSSpacer" xfId="214"/>
    <cellStyle name="STYL0 - Style1" xfId="174"/>
    <cellStyle name="STYL1 - Style2" xfId="175"/>
    <cellStyle name="STYL2 - Style3" xfId="176"/>
    <cellStyle name="STYL3 - Style4" xfId="177"/>
    <cellStyle name="STYL4 - Style5" xfId="178"/>
    <cellStyle name="STYL5 - Style6" xfId="179"/>
    <cellStyle name="STYL6 - Style7" xfId="180"/>
    <cellStyle name="STYL7 - Style8" xfId="181"/>
    <cellStyle name="Style 1" xfId="182"/>
    <cellStyle name="Style 1 2" xfId="377"/>
    <cellStyle name="STYLE1" xfId="183"/>
    <cellStyle name="sub heading" xfId="184"/>
    <cellStyle name="title 2" xfId="185"/>
    <cellStyle name="Title 2 2" xfId="379"/>
    <cellStyle name="Title 3" xfId="378"/>
    <cellStyle name="Total 2" xfId="186"/>
    <cellStyle name="Total 2 2" xfId="486"/>
    <cellStyle name="Total 2 3" xfId="381"/>
    <cellStyle name="Total 3" xfId="187"/>
    <cellStyle name="Total 3 2" xfId="487"/>
    <cellStyle name="Total 3 3" xfId="380"/>
    <cellStyle name="Warning Text 2" xfId="188"/>
    <cellStyle name="Warning Text 3" xfId="382"/>
    <cellStyle name="WM_STANDARD" xfId="215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5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May\Master%20Truck%20Schedule\South_LeMay%20Master%20Truck%20Schedule-Share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c1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irmgardw\AppData\Local\Microsoft\Windows\Temporary%20Internet%20Files\Content.Outlook\VR8UJBA4\TG-152088\TG-152088%20Mason%20County%20DF%20Calc%201-1-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RC%20Reports\SRC%20Format\Bonus%20Schedule\PNWR%20SRC%20Bonus%20Schedule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shon\Rate%20Incr%201-1-2013\ProForma%20Pacific%20Disposal_Staff%20Final%20outcome%208-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utc.wa.gov/Western%20Region/WUTC/WUTC-Mason%202149/Rate%20Filing/General%20Rate%20Filing%2011-13-2012/Audit/FINAL/Staff%20final%20Mason%20Proforma%20Linked%203-13-2013%20%20-%20Company%20Rat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5\DistShares\WCNX%20Stuff\Excel\Financials\Excel%20Financials\ExcelFinancial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shon\Rate%20Incr%201-1-2012\Vashon%20Pro%20Form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6\sacshare\Data_Automation\DMS\RouteManagerReports\RM_MM001_Query_v4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b1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nual%20Reports\2180%20LeMay\2009\LeMay%20Annual%20Report%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>
        <row r="5">
          <cell r="D5">
            <v>10.71</v>
          </cell>
        </row>
        <row r="14">
          <cell r="C14" t="str">
            <v>dist</v>
          </cell>
          <cell r="E14" t="str">
            <v>=</v>
          </cell>
          <cell r="F14">
            <v>2149</v>
          </cell>
        </row>
      </sheetData>
      <sheetData sheetId="4" refreshError="1">
        <row r="6">
          <cell r="F6" t="str">
            <v>Time Series</v>
          </cell>
        </row>
        <row r="17">
          <cell r="B17" t="str">
            <v>ACCT</v>
          </cell>
          <cell r="C17" t="str">
            <v>-</v>
          </cell>
        </row>
        <row r="22">
          <cell r="C22" t="str">
            <v>Financial</v>
          </cell>
        </row>
        <row r="23">
          <cell r="C23" t="str">
            <v>ALL</v>
          </cell>
        </row>
        <row r="24">
          <cell r="C24" t="str">
            <v>Variable</v>
          </cell>
        </row>
      </sheetData>
      <sheetData sheetId="5" refreshError="1">
        <row r="8">
          <cell r="E8" t="str">
            <v>Report</v>
          </cell>
        </row>
        <row r="12">
          <cell r="B12" t="b">
            <v>0</v>
          </cell>
        </row>
      </sheetData>
      <sheetData sheetId="6" refreshError="1"/>
      <sheetData sheetId="7" refreshError="1">
        <row r="11">
          <cell r="D11">
            <v>10002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 t="str">
            <v>Cash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4MthProj1"/>
      <sheetName val="4MthProj2"/>
      <sheetName val="PL_ActReview"/>
      <sheetName val="PL_ActReview2"/>
      <sheetName val="BS_Close"/>
      <sheetName val="IS200PL"/>
      <sheetName val="PL_ActTranx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s"/>
      <sheetName val="DF Calc"/>
      <sheetName val="Rates"/>
      <sheetName val="Rev Inc %"/>
    </sheetNames>
    <sheetDataSet>
      <sheetData sheetId="0">
        <row r="9">
          <cell r="B9">
            <v>4.333333333333333</v>
          </cell>
        </row>
        <row r="10">
          <cell r="B10">
            <v>2.1666666666666665</v>
          </cell>
        </row>
        <row r="11">
          <cell r="B11">
            <v>1</v>
          </cell>
        </row>
      </sheetData>
      <sheetData sheetId="1">
        <row r="7">
          <cell r="K7">
            <v>3.1384217790711343E-2</v>
          </cell>
        </row>
      </sheetData>
      <sheetData sheetId="2">
        <row r="10">
          <cell r="B10">
            <v>4.3899999999999997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Class A IS"/>
      <sheetName val="2149 BS"/>
      <sheetName val="9-30-11 BS"/>
      <sheetName val="2149 IS"/>
      <sheetName val="Consolidated IS"/>
      <sheetName val="Ratios"/>
      <sheetName val="Restating Adj"/>
      <sheetName val="Restating Expl"/>
      <sheetName val="Pro forma Adj"/>
      <sheetName val="Pro-forma"/>
      <sheetName val="LG-Combined"/>
      <sheetName val="LG-Pckr,RO"/>
      <sheetName val="LG-Recycl"/>
      <sheetName val="Price Out"/>
      <sheetName val="Rate Sheet"/>
      <sheetName val="Pckr, RO, Matrix"/>
      <sheetName val="COS Packer,RO "/>
      <sheetName val="Recycl Matrix"/>
      <sheetName val="COS Recycle"/>
      <sheetName val="Legal Exp"/>
      <sheetName val="Disposal Calc"/>
      <sheetName val="Disposal Schedule"/>
      <sheetName val="Fuel"/>
      <sheetName val="PR Summary"/>
      <sheetName val="Depr Summary"/>
      <sheetName val="Depreciation"/>
      <sheetName val="Cust Count"/>
      <sheetName val="Rt Study Summary"/>
      <sheetName val="Recycl Tons, Commodity Value"/>
      <sheetName val="Tribal Cnts"/>
      <sheetName val="Corp OH"/>
      <sheetName val="2012 Capital Structure"/>
      <sheetName val="Corp Debt Equity"/>
      <sheetName val="Balance Sheet"/>
      <sheetName val="P&amp;L"/>
      <sheetName val="70195 JE-WRRA Dues"/>
      <sheetName val="56095 JE"/>
      <sheetName val="Non-Reg Price Out"/>
      <sheetName val="30% Commodity Justification"/>
      <sheetName val="TRC Processing Justfication"/>
      <sheetName val="Orig Price Out"/>
      <sheetName val="Rate Sheet Dec 2012"/>
      <sheetName val="Orig COS Packer,RO "/>
      <sheetName val="LG-Pckr w DF"/>
      <sheetName val="LG-Pckr w-out DF"/>
      <sheetName val="LG-RO"/>
    </sheetNames>
    <sheetDataSet>
      <sheetData sheetId="0">
        <row r="107">
          <cell r="L107">
            <v>1753938.3114074212</v>
          </cell>
        </row>
        <row r="214">
          <cell r="L214">
            <v>852492.14253095828</v>
          </cell>
        </row>
        <row r="278">
          <cell r="L278">
            <v>837580.65530511085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5">
          <cell r="J15">
            <v>2138.64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3">
          <cell r="L23">
            <v>2329.3388396454475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 refreshError="1">
        <row r="2">
          <cell r="X2" t="str">
            <v>P&amp;L Close Report</v>
          </cell>
          <cell r="Z2" t="str">
            <v>Consolidated</v>
          </cell>
        </row>
        <row r="3">
          <cell r="X3" t="str">
            <v>BS Close Report</v>
          </cell>
          <cell r="Z3" t="str">
            <v>Region</v>
          </cell>
        </row>
        <row r="4">
          <cell r="X4" t="str">
            <v>P&amp;L Tranx Report</v>
          </cell>
          <cell r="Z4" t="str">
            <v>District</v>
          </cell>
        </row>
        <row r="5">
          <cell r="X5" t="str">
            <v>P&amp;L Close by Day</v>
          </cell>
          <cell r="Z5" t="str">
            <v>Multiple Districts</v>
          </cell>
        </row>
        <row r="6">
          <cell r="X6" t="str">
            <v>JE Review Report</v>
          </cell>
        </row>
        <row r="7">
          <cell r="X7" t="str">
            <v>IS200 Report</v>
          </cell>
        </row>
        <row r="8">
          <cell r="X8" t="str">
            <v>IS210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 refreshError="1"/>
      <sheetData sheetId="1" refreshError="1">
        <row r="9">
          <cell r="L9">
            <v>11501</v>
          </cell>
        </row>
        <row r="10">
          <cell r="L10" t="str">
            <v>11501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PL_ActReview2"/>
      <sheetName val="BS_Close"/>
      <sheetName val="PL_ActTranx"/>
      <sheetName val="IS200PL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 refreshError="1">
        <row r="2">
          <cell r="S2" t="str">
            <v>P&amp;L Close Report</v>
          </cell>
        </row>
        <row r="3">
          <cell r="S3" t="str">
            <v>P&amp;L Close Report 2</v>
          </cell>
        </row>
        <row r="4">
          <cell r="S4" t="str">
            <v>BS Close Report</v>
          </cell>
        </row>
        <row r="5">
          <cell r="S5" t="str">
            <v>IS 200 - PL Review</v>
          </cell>
        </row>
        <row r="6">
          <cell r="S6" t="str">
            <v>IS 210 - PL Review</v>
          </cell>
        </row>
        <row r="7">
          <cell r="S7" t="str">
            <v>P&amp;L Tranx Report</v>
          </cell>
        </row>
        <row r="8">
          <cell r="S8" t="str">
            <v>JE Review Report</v>
          </cell>
        </row>
        <row r="9">
          <cell r="S9" t="str">
            <v>Corp: Rev/Proj Check</v>
          </cell>
        </row>
        <row r="10">
          <cell r="S10" t="str">
            <v>Corp: 52901 Check</v>
          </cell>
        </row>
        <row r="11">
          <cell r="S11" t="str">
            <v>Corp: BS Check</v>
          </cell>
        </row>
        <row r="12">
          <cell r="S12" t="str">
            <v>Corp: Bad Debt Check</v>
          </cell>
        </row>
        <row r="13">
          <cell r="S13" t="str">
            <v>Corp: IC Check</v>
          </cell>
        </row>
        <row r="14">
          <cell r="S14" t="str">
            <v>Corp: JE Neg Check</v>
          </cell>
        </row>
        <row r="15">
          <cell r="S15" t="str">
            <v>Proj Review Report</v>
          </cell>
        </row>
        <row r="16">
          <cell r="S16" t="str">
            <v>Proj Review Report 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70"/>
  <sheetViews>
    <sheetView tabSelected="1" view="pageBreakPreview" zoomScale="85" zoomScaleNormal="90" zoomScaleSheetLayoutView="85" zoomScalePageLayoutView="60" workbookViewId="0">
      <selection activeCell="S19" sqref="S19"/>
    </sheetView>
  </sheetViews>
  <sheetFormatPr defaultColWidth="9.140625" defaultRowHeight="15"/>
  <cols>
    <col min="1" max="1" width="42.5703125" style="49" customWidth="1"/>
    <col min="2" max="2" width="16.7109375" style="49" customWidth="1"/>
    <col min="3" max="3" width="15" style="49" customWidth="1"/>
    <col min="4" max="4" width="16.5703125" style="49" customWidth="1"/>
    <col min="5" max="5" width="9.140625" style="49"/>
    <col min="6" max="6" width="12.42578125" style="49" customWidth="1"/>
    <col min="7" max="7" width="10.7109375" style="49" customWidth="1"/>
    <col min="8" max="16384" width="9.140625" style="49"/>
  </cols>
  <sheetData>
    <row r="1" spans="1:8">
      <c r="A1" s="53" t="s">
        <v>257</v>
      </c>
    </row>
    <row r="2" spans="1:8">
      <c r="A2" s="53" t="s">
        <v>258</v>
      </c>
    </row>
    <row r="4" spans="1:8">
      <c r="A4" s="282" t="s">
        <v>46</v>
      </c>
      <c r="B4" s="282"/>
      <c r="C4" s="282"/>
      <c r="D4" s="282"/>
      <c r="E4" s="282"/>
      <c r="F4" s="282"/>
      <c r="G4" s="282"/>
      <c r="H4" s="282"/>
    </row>
    <row r="5" spans="1:8">
      <c r="A5" s="50" t="s">
        <v>47</v>
      </c>
      <c r="B5" s="23" t="s">
        <v>48</v>
      </c>
      <c r="C5" s="23" t="s">
        <v>49</v>
      </c>
      <c r="D5" s="23" t="s">
        <v>50</v>
      </c>
      <c r="E5" s="24" t="s">
        <v>51</v>
      </c>
      <c r="F5" s="24" t="s">
        <v>52</v>
      </c>
      <c r="G5" s="24" t="s">
        <v>53</v>
      </c>
      <c r="H5" s="23" t="s">
        <v>54</v>
      </c>
    </row>
    <row r="6" spans="1:8">
      <c r="A6" s="50" t="s">
        <v>55</v>
      </c>
      <c r="B6" s="51">
        <f>52*5/12</f>
        <v>21.666666666666668</v>
      </c>
      <c r="C6" s="26">
        <f>$B$6*2</f>
        <v>43.333333333333336</v>
      </c>
      <c r="D6" s="26">
        <f>$B$6*3</f>
        <v>65</v>
      </c>
      <c r="E6" s="26">
        <f>$B$6*4</f>
        <v>86.666666666666671</v>
      </c>
      <c r="F6" s="26">
        <f>$B$6*5</f>
        <v>108.33333333333334</v>
      </c>
      <c r="G6" s="26">
        <f>$B$6*6</f>
        <v>130</v>
      </c>
      <c r="H6" s="26">
        <f>$B$6*7</f>
        <v>151.66666666666669</v>
      </c>
    </row>
    <row r="7" spans="1:8">
      <c r="A7" s="50" t="s">
        <v>56</v>
      </c>
      <c r="B7" s="51">
        <f>52*4/12</f>
        <v>17.333333333333332</v>
      </c>
      <c r="C7" s="26">
        <f>$B$7*2</f>
        <v>34.666666666666664</v>
      </c>
      <c r="D7" s="26">
        <f>$B$7*3</f>
        <v>52</v>
      </c>
      <c r="E7" s="26">
        <f>$B$7*4</f>
        <v>69.333333333333329</v>
      </c>
      <c r="F7" s="26">
        <f>$B$7*5</f>
        <v>86.666666666666657</v>
      </c>
      <c r="G7" s="26">
        <f>$B$7*6</f>
        <v>104</v>
      </c>
      <c r="H7" s="26">
        <f>$B$7*7</f>
        <v>121.33333333333333</v>
      </c>
    </row>
    <row r="8" spans="1:8">
      <c r="A8" s="50" t="s">
        <v>57</v>
      </c>
      <c r="B8" s="51">
        <f>52*3/12</f>
        <v>13</v>
      </c>
      <c r="C8" s="26">
        <f>$B$8*2</f>
        <v>26</v>
      </c>
      <c r="D8" s="26">
        <f>$B$8*3</f>
        <v>39</v>
      </c>
      <c r="E8" s="26">
        <f>$B$8*4</f>
        <v>52</v>
      </c>
      <c r="F8" s="26">
        <f>$B$8*5</f>
        <v>65</v>
      </c>
      <c r="G8" s="26">
        <f>$B$8*6</f>
        <v>78</v>
      </c>
      <c r="H8" s="26">
        <f>$B$8*7</f>
        <v>91</v>
      </c>
    </row>
    <row r="9" spans="1:8">
      <c r="A9" s="50" t="s">
        <v>58</v>
      </c>
      <c r="B9" s="51">
        <f>52*2/12</f>
        <v>8.6666666666666661</v>
      </c>
      <c r="C9" s="52">
        <f>$B$9*2</f>
        <v>17.333333333333332</v>
      </c>
      <c r="D9" s="52">
        <f>$B$9*3</f>
        <v>26</v>
      </c>
      <c r="E9" s="52">
        <f>$B$9*4</f>
        <v>34.666666666666664</v>
      </c>
      <c r="F9" s="52">
        <f>$B$9*5</f>
        <v>43.333333333333329</v>
      </c>
      <c r="G9" s="52">
        <f>$B$9*6</f>
        <v>52</v>
      </c>
      <c r="H9" s="52">
        <f>$B$9*7</f>
        <v>60.666666666666664</v>
      </c>
    </row>
    <row r="10" spans="1:8">
      <c r="A10" s="50" t="s">
        <v>59</v>
      </c>
      <c r="B10" s="51">
        <f>52/12</f>
        <v>4.333333333333333</v>
      </c>
      <c r="C10" s="52">
        <f>$B$10*2</f>
        <v>8.6666666666666661</v>
      </c>
      <c r="D10" s="52">
        <f>$B$10*3</f>
        <v>13</v>
      </c>
      <c r="E10" s="52">
        <f>$B$10*4</f>
        <v>17.333333333333332</v>
      </c>
      <c r="F10" s="52">
        <f>$B$10*5</f>
        <v>21.666666666666664</v>
      </c>
      <c r="G10" s="52">
        <f>$B$10*6</f>
        <v>26</v>
      </c>
      <c r="H10" s="52">
        <f>$B$10*7</f>
        <v>30.333333333333332</v>
      </c>
    </row>
    <row r="11" spans="1:8">
      <c r="A11" s="50" t="s">
        <v>60</v>
      </c>
      <c r="B11" s="51">
        <f>26/12</f>
        <v>2.1666666666666665</v>
      </c>
      <c r="C11" s="52">
        <f>$B$11*2</f>
        <v>4.333333333333333</v>
      </c>
      <c r="D11" s="52">
        <f>$B$11*3</f>
        <v>6.5</v>
      </c>
      <c r="E11" s="52">
        <f>$B$11*4</f>
        <v>8.6666666666666661</v>
      </c>
      <c r="F11" s="52">
        <f>$B$11*5</f>
        <v>10.833333333333332</v>
      </c>
      <c r="G11" s="52">
        <f>$B$11*6</f>
        <v>13</v>
      </c>
      <c r="H11" s="52">
        <f>$B$11*7</f>
        <v>15.166666666666666</v>
      </c>
    </row>
    <row r="12" spans="1:8">
      <c r="A12" s="50" t="s">
        <v>61</v>
      </c>
      <c r="B12" s="51">
        <f>12/12</f>
        <v>1</v>
      </c>
      <c r="C12" s="52">
        <f>$B$12*2</f>
        <v>2</v>
      </c>
      <c r="D12" s="52">
        <f>$B$12*3</f>
        <v>3</v>
      </c>
      <c r="E12" s="52">
        <f>$B$12*4</f>
        <v>4</v>
      </c>
      <c r="F12" s="52">
        <f>$B$12*5</f>
        <v>5</v>
      </c>
      <c r="G12" s="52">
        <f>$B$12*6</f>
        <v>6</v>
      </c>
      <c r="H12" s="52">
        <f>$B$12*7</f>
        <v>7</v>
      </c>
    </row>
    <row r="13" spans="1:8">
      <c r="A13" s="50"/>
      <c r="B13" s="51"/>
      <c r="C13" s="52"/>
      <c r="D13" s="52"/>
      <c r="E13" s="52"/>
      <c r="F13" s="52"/>
      <c r="G13" s="52"/>
      <c r="H13" s="52"/>
    </row>
    <row r="14" spans="1:8">
      <c r="A14" s="282" t="s">
        <v>62</v>
      </c>
      <c r="B14" s="282"/>
      <c r="C14" s="52"/>
      <c r="D14" s="52"/>
      <c r="E14" s="52"/>
      <c r="F14" s="52"/>
      <c r="G14" s="52"/>
      <c r="H14" s="52"/>
    </row>
    <row r="15" spans="1:8">
      <c r="A15" s="53" t="s">
        <v>63</v>
      </c>
      <c r="B15" s="54" t="s">
        <v>64</v>
      </c>
      <c r="C15" s="52"/>
      <c r="D15" s="52"/>
      <c r="E15" s="52"/>
      <c r="F15" s="52"/>
      <c r="G15" s="52"/>
      <c r="H15" s="52"/>
    </row>
    <row r="16" spans="1:8">
      <c r="A16" s="28" t="s">
        <v>65</v>
      </c>
      <c r="B16" s="55">
        <v>20</v>
      </c>
      <c r="C16" s="52"/>
      <c r="D16" s="52"/>
      <c r="E16" s="52"/>
      <c r="F16" s="52"/>
      <c r="G16" s="52"/>
      <c r="H16" s="52"/>
    </row>
    <row r="17" spans="1:8">
      <c r="A17" s="28" t="s">
        <v>66</v>
      </c>
      <c r="B17" s="55">
        <v>34</v>
      </c>
      <c r="C17" s="52">
        <f>34/32</f>
        <v>1.0625</v>
      </c>
      <c r="D17" s="52"/>
      <c r="E17" s="52"/>
      <c r="F17" s="52"/>
      <c r="G17" s="52"/>
      <c r="H17" s="52"/>
    </row>
    <row r="18" spans="1:8">
      <c r="A18" s="28" t="s">
        <v>67</v>
      </c>
      <c r="B18" s="55">
        <v>51</v>
      </c>
      <c r="C18" s="52">
        <f>C17*35</f>
        <v>37.1875</v>
      </c>
      <c r="D18" s="52"/>
      <c r="E18" s="52"/>
      <c r="F18" s="52"/>
      <c r="G18" s="52"/>
      <c r="H18" s="52"/>
    </row>
    <row r="19" spans="1:8">
      <c r="A19" s="28" t="s">
        <v>68</v>
      </c>
      <c r="B19" s="55">
        <v>77</v>
      </c>
      <c r="C19" s="52">
        <f>C17*45</f>
        <v>47.8125</v>
      </c>
      <c r="D19" s="52"/>
      <c r="E19" s="52"/>
      <c r="F19" s="50" t="s">
        <v>69</v>
      </c>
      <c r="G19" s="55">
        <v>2000</v>
      </c>
      <c r="H19" s="52"/>
    </row>
    <row r="20" spans="1:8">
      <c r="A20" s="28" t="s">
        <v>70</v>
      </c>
      <c r="B20" s="55">
        <v>97</v>
      </c>
      <c r="C20" s="52"/>
      <c r="D20" s="52"/>
      <c r="E20" s="52"/>
      <c r="F20" s="50" t="s">
        <v>71</v>
      </c>
      <c r="G20" s="143" t="s">
        <v>72</v>
      </c>
      <c r="H20" s="52"/>
    </row>
    <row r="21" spans="1:8">
      <c r="A21" s="28" t="s">
        <v>73</v>
      </c>
      <c r="B21" s="55">
        <v>117</v>
      </c>
      <c r="C21" s="52"/>
      <c r="D21" s="52"/>
      <c r="E21" s="52"/>
      <c r="F21" s="50"/>
      <c r="G21" s="50"/>
      <c r="H21" s="52"/>
    </row>
    <row r="22" spans="1:8">
      <c r="A22" s="28" t="s">
        <v>74</v>
      </c>
      <c r="B22" s="55">
        <v>157</v>
      </c>
      <c r="C22" s="52"/>
      <c r="D22" s="52"/>
      <c r="E22" s="52"/>
      <c r="F22" s="192" t="s">
        <v>237</v>
      </c>
      <c r="G22" s="193">
        <v>12</v>
      </c>
      <c r="H22" s="52"/>
    </row>
    <row r="23" spans="1:8">
      <c r="A23" s="28" t="s">
        <v>207</v>
      </c>
      <c r="B23" s="55">
        <f>($B$17/32)*35</f>
        <v>37.1875</v>
      </c>
      <c r="C23" s="52"/>
      <c r="D23" s="52"/>
      <c r="E23" s="52"/>
      <c r="F23" s="56"/>
      <c r="G23" s="29"/>
      <c r="H23" s="52"/>
    </row>
    <row r="24" spans="1:8">
      <c r="A24" s="28" t="s">
        <v>278</v>
      </c>
      <c r="B24" s="55">
        <f>($B$17/32)*45</f>
        <v>47.8125</v>
      </c>
      <c r="C24" s="52"/>
      <c r="D24" s="52"/>
      <c r="E24" s="52"/>
      <c r="F24" s="56"/>
      <c r="G24" s="29"/>
      <c r="H24" s="52"/>
    </row>
    <row r="25" spans="1:8">
      <c r="A25" s="28" t="s">
        <v>206</v>
      </c>
      <c r="B25" s="55">
        <f>($B$17/32)*48</f>
        <v>51</v>
      </c>
      <c r="C25" s="165"/>
      <c r="D25" s="165"/>
      <c r="E25" s="52"/>
      <c r="F25" s="56"/>
      <c r="G25" s="29"/>
      <c r="H25" s="52"/>
    </row>
    <row r="26" spans="1:8">
      <c r="A26" s="28" t="s">
        <v>245</v>
      </c>
      <c r="B26" s="55">
        <f>(47/60)*64</f>
        <v>50.133333333333333</v>
      </c>
      <c r="C26" s="52"/>
      <c r="D26" s="52"/>
      <c r="E26" s="52"/>
      <c r="F26" s="52"/>
      <c r="G26" s="52"/>
      <c r="H26" s="52"/>
    </row>
    <row r="27" spans="1:8">
      <c r="A27" s="28" t="s">
        <v>246</v>
      </c>
      <c r="B27" s="55">
        <f>(68/90)*94</f>
        <v>71.022222222222226</v>
      </c>
      <c r="C27" s="52"/>
      <c r="D27" s="52"/>
      <c r="E27" s="52"/>
      <c r="F27" s="52"/>
      <c r="G27" s="52"/>
      <c r="H27" s="52"/>
    </row>
    <row r="28" spans="1:8">
      <c r="A28" s="28" t="s">
        <v>75</v>
      </c>
      <c r="B28" s="55">
        <v>34</v>
      </c>
      <c r="C28" s="52"/>
      <c r="D28" s="52"/>
      <c r="E28" s="52"/>
      <c r="F28" s="52"/>
      <c r="G28" s="52"/>
      <c r="H28" s="52"/>
    </row>
    <row r="29" spans="1:8">
      <c r="A29" s="28" t="s">
        <v>76</v>
      </c>
      <c r="B29" s="55">
        <v>34</v>
      </c>
      <c r="C29" s="52"/>
      <c r="D29" s="52"/>
      <c r="E29" s="52"/>
      <c r="F29" s="52"/>
      <c r="G29" s="52"/>
      <c r="H29" s="52"/>
    </row>
    <row r="30" spans="1:8">
      <c r="A30" s="53" t="s">
        <v>77</v>
      </c>
      <c r="B30" s="55"/>
      <c r="C30" s="52"/>
      <c r="D30" s="52"/>
      <c r="E30" s="52"/>
      <c r="F30" s="52"/>
      <c r="G30" s="52"/>
      <c r="H30" s="52"/>
    </row>
    <row r="31" spans="1:8">
      <c r="A31" s="28" t="s">
        <v>78</v>
      </c>
      <c r="B31" s="55">
        <v>29</v>
      </c>
      <c r="C31" s="52"/>
      <c r="D31" s="52"/>
      <c r="E31" s="52"/>
      <c r="F31" s="52"/>
      <c r="G31" s="52"/>
      <c r="H31" s="52"/>
    </row>
    <row r="32" spans="1:8">
      <c r="A32" s="28" t="s">
        <v>79</v>
      </c>
      <c r="B32" s="55">
        <v>175</v>
      </c>
      <c r="C32" s="52"/>
      <c r="D32" s="52"/>
      <c r="E32" s="52"/>
      <c r="F32" s="52"/>
      <c r="G32" s="52"/>
      <c r="H32" s="52"/>
    </row>
    <row r="33" spans="1:8">
      <c r="A33" s="28" t="s">
        <v>80</v>
      </c>
      <c r="B33" s="55">
        <v>250</v>
      </c>
      <c r="C33" s="52"/>
      <c r="D33" s="52"/>
      <c r="E33" s="52"/>
      <c r="F33" s="52"/>
      <c r="G33" s="52"/>
      <c r="H33" s="52"/>
    </row>
    <row r="34" spans="1:8">
      <c r="A34" s="28" t="s">
        <v>82</v>
      </c>
      <c r="B34" s="55">
        <v>324</v>
      </c>
      <c r="C34" s="52"/>
      <c r="D34" s="52"/>
      <c r="E34" s="52"/>
      <c r="F34" s="52"/>
      <c r="G34" s="52"/>
      <c r="H34" s="52"/>
    </row>
    <row r="35" spans="1:8">
      <c r="A35" s="28" t="s">
        <v>83</v>
      </c>
      <c r="B35" s="55">
        <v>473</v>
      </c>
      <c r="C35" s="52"/>
      <c r="D35" s="52"/>
      <c r="E35" s="52"/>
      <c r="F35" s="52"/>
      <c r="G35" s="52"/>
      <c r="H35" s="52"/>
    </row>
    <row r="36" spans="1:8">
      <c r="A36" s="28" t="s">
        <v>84</v>
      </c>
      <c r="B36" s="55">
        <v>613</v>
      </c>
      <c r="C36" s="52"/>
      <c r="D36" s="52"/>
      <c r="E36" s="52"/>
      <c r="F36" s="52"/>
      <c r="G36" s="52"/>
      <c r="H36" s="52"/>
    </row>
    <row r="37" spans="1:8">
      <c r="A37" s="28" t="s">
        <v>85</v>
      </c>
      <c r="B37" s="55">
        <v>840</v>
      </c>
      <c r="C37" s="52"/>
      <c r="D37" s="52"/>
      <c r="E37" s="52"/>
      <c r="F37" s="52"/>
      <c r="G37" s="52"/>
      <c r="H37" s="52"/>
    </row>
    <row r="38" spans="1:8">
      <c r="A38" s="28" t="s">
        <v>86</v>
      </c>
      <c r="B38" s="55">
        <v>980</v>
      </c>
      <c r="C38" s="52"/>
      <c r="D38" s="52"/>
      <c r="E38" s="52"/>
      <c r="F38" s="52"/>
      <c r="G38" s="52"/>
      <c r="H38" s="52"/>
    </row>
    <row r="39" spans="1:8">
      <c r="A39" s="28" t="s">
        <v>87</v>
      </c>
      <c r="B39" s="55">
        <v>482</v>
      </c>
      <c r="C39" s="52" t="s">
        <v>81</v>
      </c>
      <c r="D39" s="52"/>
      <c r="E39" s="52"/>
      <c r="F39" s="52"/>
      <c r="G39" s="52"/>
      <c r="H39" s="52"/>
    </row>
    <row r="40" spans="1:8">
      <c r="A40" s="28" t="s">
        <v>88</v>
      </c>
      <c r="B40" s="55">
        <v>689</v>
      </c>
      <c r="C40" s="52" t="s">
        <v>81</v>
      </c>
      <c r="D40" s="52"/>
      <c r="E40" s="52"/>
      <c r="F40" s="52"/>
      <c r="G40" s="52"/>
      <c r="H40" s="52"/>
    </row>
    <row r="41" spans="1:8">
      <c r="A41" s="28" t="s">
        <v>89</v>
      </c>
      <c r="B41" s="55">
        <v>892</v>
      </c>
      <c r="C41" s="52" t="s">
        <v>81</v>
      </c>
      <c r="D41" s="52"/>
      <c r="E41" s="52"/>
      <c r="F41" s="52"/>
      <c r="G41" s="52"/>
      <c r="H41" s="52"/>
    </row>
    <row r="42" spans="1:8">
      <c r="A42" s="28" t="s">
        <v>90</v>
      </c>
      <c r="B42" s="55">
        <v>1301</v>
      </c>
      <c r="C42" s="52"/>
      <c r="D42" s="52"/>
      <c r="E42" s="52"/>
      <c r="F42" s="52"/>
      <c r="G42" s="52"/>
      <c r="H42" s="52"/>
    </row>
    <row r="43" spans="1:8">
      <c r="A43" s="28" t="s">
        <v>91</v>
      </c>
      <c r="B43" s="55">
        <v>1686</v>
      </c>
      <c r="C43" s="52"/>
      <c r="D43" s="52"/>
      <c r="E43" s="52"/>
      <c r="F43" s="52"/>
      <c r="G43" s="52"/>
      <c r="H43" s="52"/>
    </row>
    <row r="44" spans="1:8">
      <c r="A44" s="28" t="s">
        <v>92</v>
      </c>
      <c r="B44" s="55">
        <v>2046</v>
      </c>
      <c r="C44" s="52"/>
      <c r="D44" s="52"/>
      <c r="E44" s="52"/>
      <c r="F44" s="52"/>
      <c r="G44" s="52"/>
      <c r="H44" s="52"/>
    </row>
    <row r="45" spans="1:8">
      <c r="A45" s="28" t="s">
        <v>93</v>
      </c>
      <c r="B45" s="55">
        <v>2310</v>
      </c>
      <c r="C45" s="52"/>
      <c r="D45" s="52"/>
      <c r="E45" s="52"/>
      <c r="F45" s="52"/>
      <c r="G45" s="52"/>
      <c r="H45" s="52"/>
    </row>
    <row r="46" spans="1:8">
      <c r="A46" s="28" t="s">
        <v>94</v>
      </c>
      <c r="B46" s="55">
        <v>2800</v>
      </c>
      <c r="C46" s="52" t="s">
        <v>81</v>
      </c>
      <c r="D46" s="52"/>
      <c r="E46" s="52"/>
      <c r="F46" s="52"/>
      <c r="G46" s="52"/>
      <c r="H46" s="52"/>
    </row>
    <row r="47" spans="1:8">
      <c r="A47" s="28" t="s">
        <v>95</v>
      </c>
      <c r="B47" s="55">
        <v>125</v>
      </c>
      <c r="C47" s="52"/>
      <c r="D47" s="52"/>
      <c r="E47" s="52"/>
      <c r="F47" s="52"/>
      <c r="G47" s="52"/>
      <c r="H47" s="52"/>
    </row>
    <row r="48" spans="1:8">
      <c r="A48" s="50"/>
      <c r="B48" s="283" t="s">
        <v>96</v>
      </c>
      <c r="C48" s="283"/>
      <c r="D48" s="50"/>
      <c r="E48" s="50"/>
      <c r="F48" s="50"/>
      <c r="G48" s="50"/>
      <c r="H48" s="50"/>
    </row>
    <row r="49" spans="1:8">
      <c r="A49" s="50"/>
      <c r="B49" s="50"/>
      <c r="C49" s="50"/>
      <c r="D49" s="50"/>
      <c r="E49" s="50"/>
      <c r="F49" s="50"/>
      <c r="G49" s="50"/>
      <c r="H49" s="50"/>
    </row>
    <row r="50" spans="1:8">
      <c r="A50" s="50"/>
      <c r="B50" s="50"/>
      <c r="C50" s="50"/>
      <c r="D50" s="50"/>
      <c r="E50" s="50"/>
      <c r="F50" s="50"/>
      <c r="G50" s="50"/>
      <c r="H50" s="50"/>
    </row>
    <row r="51" spans="1:8">
      <c r="A51" s="201" t="s">
        <v>224</v>
      </c>
      <c r="B51" s="202" t="s">
        <v>97</v>
      </c>
      <c r="C51" s="202" t="s">
        <v>98</v>
      </c>
    </row>
    <row r="52" spans="1:8">
      <c r="A52" s="168" t="s">
        <v>100</v>
      </c>
      <c r="B52" s="57">
        <v>71</v>
      </c>
      <c r="C52" s="58">
        <f>B52/2000</f>
        <v>3.5499999999999997E-2</v>
      </c>
    </row>
    <row r="53" spans="1:8">
      <c r="A53" s="168" t="s">
        <v>102</v>
      </c>
      <c r="B53" s="60">
        <v>75</v>
      </c>
      <c r="C53" s="61">
        <f>B53/2000</f>
        <v>3.7499999999999999E-2</v>
      </c>
    </row>
    <row r="54" spans="1:8">
      <c r="A54" s="28" t="s">
        <v>177</v>
      </c>
      <c r="B54" s="57">
        <f>B53-B52</f>
        <v>4</v>
      </c>
      <c r="C54" s="63">
        <f>C53-C52</f>
        <v>2.0000000000000018E-3</v>
      </c>
      <c r="D54" s="235">
        <f>B54/B52</f>
        <v>5.6338028169014086E-2</v>
      </c>
      <c r="E54" s="50"/>
      <c r="F54" s="284" t="s">
        <v>99</v>
      </c>
      <c r="G54" s="284"/>
    </row>
    <row r="55" spans="1:8">
      <c r="A55" s="50"/>
      <c r="B55" s="50"/>
      <c r="C55" s="50"/>
      <c r="D55" s="50"/>
      <c r="E55" s="50"/>
      <c r="F55" s="50" t="s">
        <v>101</v>
      </c>
      <c r="G55" s="59">
        <f>0.015</f>
        <v>1.4999999999999999E-2</v>
      </c>
    </row>
    <row r="56" spans="1:8">
      <c r="A56" s="66"/>
      <c r="B56" s="169"/>
      <c r="C56" s="169"/>
      <c r="D56" s="50"/>
      <c r="E56" s="50"/>
      <c r="F56" s="50" t="s">
        <v>103</v>
      </c>
      <c r="G56" s="62">
        <f>0.004275</f>
        <v>4.2750000000000002E-3</v>
      </c>
    </row>
    <row r="57" spans="1:8">
      <c r="A57" s="50"/>
      <c r="B57" s="203" t="s">
        <v>225</v>
      </c>
      <c r="C57" s="68"/>
      <c r="D57" s="50"/>
      <c r="E57" s="50"/>
      <c r="F57" s="50" t="s">
        <v>104</v>
      </c>
      <c r="G57" s="64"/>
    </row>
    <row r="58" spans="1:8">
      <c r="A58" s="50" t="s">
        <v>105</v>
      </c>
      <c r="B58" s="70">
        <f>B54</f>
        <v>4</v>
      </c>
      <c r="C58" s="68"/>
      <c r="D58" s="50"/>
      <c r="E58" s="50"/>
      <c r="F58" s="50" t="s">
        <v>36</v>
      </c>
      <c r="G58" s="65">
        <f>SUM(G55:G57)</f>
        <v>1.9275E-2</v>
      </c>
    </row>
    <row r="59" spans="1:8">
      <c r="A59" s="50" t="s">
        <v>107</v>
      </c>
      <c r="B59" s="71">
        <f>B58/$G$60</f>
        <v>4.0786153101022204</v>
      </c>
      <c r="C59" s="72"/>
      <c r="D59" s="67"/>
      <c r="E59" s="50"/>
      <c r="F59" s="50"/>
      <c r="G59" s="50"/>
    </row>
    <row r="60" spans="1:8">
      <c r="A60" s="50" t="s">
        <v>108</v>
      </c>
      <c r="B60" s="173">
        <v>2570</v>
      </c>
      <c r="C60" s="67" t="s">
        <v>222</v>
      </c>
      <c r="D60" s="67"/>
      <c r="E60" s="50"/>
      <c r="F60" s="50" t="s">
        <v>106</v>
      </c>
      <c r="G60" s="69">
        <f>1-G58</f>
        <v>0.98072499999999996</v>
      </c>
    </row>
    <row r="61" spans="1:8">
      <c r="A61" s="53" t="s">
        <v>178</v>
      </c>
      <c r="B61" s="73">
        <f>B59*B60</f>
        <v>10482.041346962707</v>
      </c>
      <c r="C61" s="74"/>
      <c r="D61" s="67"/>
      <c r="E61" s="50"/>
      <c r="F61" s="50"/>
      <c r="G61" s="50"/>
    </row>
    <row r="62" spans="1:8">
      <c r="A62" s="74"/>
      <c r="B62" s="74"/>
      <c r="C62" s="74"/>
      <c r="D62" s="67"/>
      <c r="E62" s="50"/>
      <c r="F62" s="50"/>
      <c r="G62" s="50"/>
    </row>
    <row r="63" spans="1:8" ht="15.75" thickBot="1">
      <c r="D63" s="67"/>
      <c r="E63" s="50"/>
      <c r="F63" s="50"/>
      <c r="G63" s="50"/>
    </row>
    <row r="64" spans="1:8">
      <c r="A64" s="75" t="s">
        <v>179</v>
      </c>
      <c r="B64" s="204" t="s">
        <v>180</v>
      </c>
      <c r="C64" s="50"/>
      <c r="D64" s="67"/>
      <c r="E64" s="50"/>
      <c r="F64" s="50"/>
      <c r="G64" s="50"/>
    </row>
    <row r="65" spans="1:7">
      <c r="A65" s="76" t="s">
        <v>181</v>
      </c>
      <c r="B65" s="77">
        <f>'DF Calc (Kitsap Co.)'!R50</f>
        <v>10481.075957134983</v>
      </c>
      <c r="C65" s="50"/>
      <c r="D65" s="67"/>
      <c r="E65" s="50"/>
      <c r="F65" s="50"/>
      <c r="G65" s="50"/>
    </row>
    <row r="66" spans="1:7">
      <c r="A66" s="76" t="s">
        <v>182</v>
      </c>
      <c r="B66" s="77">
        <f>B65-B61</f>
        <v>-0.96538982772472082</v>
      </c>
      <c r="C66" s="50"/>
      <c r="D66" s="71"/>
      <c r="E66" s="50"/>
      <c r="F66" s="50"/>
      <c r="G66" s="50"/>
    </row>
    <row r="67" spans="1:7" ht="15.75" thickBot="1">
      <c r="A67" s="199"/>
      <c r="B67" s="200"/>
      <c r="C67" s="50"/>
      <c r="D67" s="50"/>
      <c r="E67" s="50"/>
      <c r="F67" s="50"/>
      <c r="G67" s="50"/>
    </row>
    <row r="68" spans="1:7">
      <c r="A68" s="197"/>
      <c r="B68" s="171"/>
      <c r="C68" s="78"/>
      <c r="D68" s="50"/>
      <c r="E68" s="50"/>
      <c r="F68" s="50"/>
      <c r="G68" s="50"/>
    </row>
    <row r="69" spans="1:7">
      <c r="A69" s="78"/>
      <c r="B69" s="43"/>
      <c r="C69" s="78"/>
      <c r="D69" s="50"/>
      <c r="E69" s="50"/>
      <c r="F69" s="50"/>
      <c r="G69" s="50"/>
    </row>
    <row r="70" spans="1:7">
      <c r="A70" s="44"/>
      <c r="B70" s="43"/>
      <c r="C70" s="198"/>
    </row>
  </sheetData>
  <mergeCells count="4">
    <mergeCell ref="A4:H4"/>
    <mergeCell ref="A14:B14"/>
    <mergeCell ref="B48:C48"/>
    <mergeCell ref="F54:G54"/>
  </mergeCells>
  <pageMargins left="0.7" right="0.7" top="0.75" bottom="0.75" header="0.3" footer="0.3"/>
  <pageSetup scale="68" orientation="portrait" r:id="rId1"/>
  <headerFooter>
    <oddFooter xml:space="preserve">&amp;R&amp;P of &amp;N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3"/>
  <sheetViews>
    <sheetView view="pageBreakPreview" zoomScale="85" zoomScaleNormal="80" zoomScaleSheetLayoutView="85" zoomScalePageLayoutView="50" workbookViewId="0">
      <selection activeCell="M25" sqref="M25"/>
    </sheetView>
  </sheetViews>
  <sheetFormatPr defaultColWidth="8.85546875" defaultRowHeight="15"/>
  <cols>
    <col min="1" max="1" width="4.140625" style="78" bestFit="1" customWidth="1"/>
    <col min="2" max="2" width="16.7109375" style="93" bestFit="1" customWidth="1"/>
    <col min="3" max="3" width="26.7109375" style="78" bestFit="1" customWidth="1"/>
    <col min="4" max="4" width="10.140625" style="97" bestFit="1" customWidth="1"/>
    <col min="5" max="5" width="10" style="78" bestFit="1" customWidth="1"/>
    <col min="6" max="6" width="11.28515625" style="78" bestFit="1" customWidth="1"/>
    <col min="7" max="7" width="15.140625" style="179" bestFit="1" customWidth="1"/>
    <col min="8" max="8" width="16.7109375" style="78" bestFit="1" customWidth="1"/>
    <col min="9" max="9" width="15.7109375" style="98" bestFit="1" customWidth="1"/>
    <col min="10" max="10" width="11.7109375" style="78" customWidth="1"/>
    <col min="11" max="11" width="13" style="78" customWidth="1"/>
    <col min="12" max="12" width="9.85546875" style="78" bestFit="1" customWidth="1"/>
    <col min="13" max="13" width="12.42578125" style="78" bestFit="1" customWidth="1"/>
    <col min="14" max="14" width="14.5703125" style="78" bestFit="1" customWidth="1"/>
    <col min="15" max="15" width="14.28515625" style="78" bestFit="1" customWidth="1"/>
    <col min="16" max="16" width="16.140625" style="78" bestFit="1" customWidth="1"/>
    <col min="17" max="17" width="17.85546875" style="78" bestFit="1" customWidth="1"/>
    <col min="18" max="18" width="21" style="78" bestFit="1" customWidth="1"/>
    <col min="19" max="19" width="12.85546875" style="78" bestFit="1" customWidth="1"/>
    <col min="20" max="16384" width="8.85546875" style="78"/>
  </cols>
  <sheetData>
    <row r="1" spans="1:21">
      <c r="A1" s="197" t="str">
        <f>+References!A1</f>
        <v>Mason County Garbage Company, Inc. G-88</v>
      </c>
      <c r="B1" s="245"/>
      <c r="D1" s="244"/>
    </row>
    <row r="2" spans="1:21">
      <c r="A2" s="246" t="s">
        <v>259</v>
      </c>
      <c r="B2" s="245"/>
      <c r="D2" s="244"/>
    </row>
    <row r="3" spans="1:21">
      <c r="A3" s="247" t="s">
        <v>260</v>
      </c>
      <c r="B3" s="245"/>
      <c r="D3" s="244"/>
    </row>
    <row r="4" spans="1:21">
      <c r="B4" s="245"/>
      <c r="D4" s="244"/>
      <c r="G4" s="279"/>
    </row>
    <row r="5" spans="1:21" ht="45">
      <c r="A5" s="138"/>
      <c r="B5" s="146" t="s">
        <v>183</v>
      </c>
      <c r="C5" s="147" t="s">
        <v>184</v>
      </c>
      <c r="D5" s="146" t="s">
        <v>185</v>
      </c>
      <c r="E5" s="146" t="s">
        <v>186</v>
      </c>
      <c r="F5" s="146" t="s">
        <v>187</v>
      </c>
      <c r="G5" s="174" t="s">
        <v>62</v>
      </c>
      <c r="H5" s="146" t="s">
        <v>188</v>
      </c>
      <c r="I5" s="148" t="s">
        <v>189</v>
      </c>
      <c r="J5" s="146" t="s">
        <v>190</v>
      </c>
      <c r="K5" s="146" t="s">
        <v>191</v>
      </c>
      <c r="L5" s="146" t="s">
        <v>110</v>
      </c>
      <c r="M5" s="146" t="s">
        <v>192</v>
      </c>
      <c r="N5" s="146" t="s">
        <v>244</v>
      </c>
      <c r="O5" s="146" t="s">
        <v>194</v>
      </c>
      <c r="P5" s="146" t="s">
        <v>195</v>
      </c>
      <c r="Q5" s="146" t="s">
        <v>196</v>
      </c>
      <c r="R5" s="146" t="s">
        <v>197</v>
      </c>
      <c r="S5" s="146" t="s">
        <v>198</v>
      </c>
      <c r="U5" s="146" t="s">
        <v>279</v>
      </c>
    </row>
    <row r="6" spans="1:21" s="67" customFormat="1">
      <c r="A6" s="286" t="s">
        <v>175</v>
      </c>
      <c r="B6" s="85">
        <v>21</v>
      </c>
      <c r="C6" s="79" t="s">
        <v>3</v>
      </c>
      <c r="D6" s="80">
        <v>1</v>
      </c>
      <c r="E6" s="81">
        <f>References!$B$10</f>
        <v>4.333333333333333</v>
      </c>
      <c r="F6" s="80">
        <f>D6*E6*12</f>
        <v>52</v>
      </c>
      <c r="G6" s="175">
        <f>References!B16</f>
        <v>20</v>
      </c>
      <c r="H6" s="80">
        <f>F6*G6</f>
        <v>1040</v>
      </c>
      <c r="I6" s="82">
        <f t="shared" ref="I6:I11" si="0">$C$95*H6</f>
        <v>804.45524209333496</v>
      </c>
      <c r="J6" s="83">
        <f>References!$C$54*'DF Calc (Kitsap Co.)'!I6</f>
        <v>1.6089104841866713</v>
      </c>
      <c r="K6" s="83">
        <f>J6/References!$G$60</f>
        <v>1.6405317333469336</v>
      </c>
      <c r="L6" s="83">
        <f>K6/F6*E6</f>
        <v>0.13671097777891111</v>
      </c>
      <c r="M6" s="84">
        <f>'Prop. Rates'!B23</f>
        <v>12.32</v>
      </c>
      <c r="N6" s="83">
        <f>L6+M6</f>
        <v>12.456710977778911</v>
      </c>
      <c r="O6" s="84">
        <f>'Prop. Rates'!D23</f>
        <v>12.456710977778911</v>
      </c>
      <c r="P6" s="83">
        <f>D6*M6*12</f>
        <v>147.84</v>
      </c>
      <c r="Q6" s="83">
        <f>D6*O6*12</f>
        <v>149.48053173334694</v>
      </c>
      <c r="R6" s="83">
        <f>Q6-P6</f>
        <v>1.6405317333469327</v>
      </c>
      <c r="S6" s="166">
        <f t="shared" ref="S6:S11" si="1">N6</f>
        <v>12.456710977778911</v>
      </c>
      <c r="T6" s="249">
        <f>+O6-S6</f>
        <v>0</v>
      </c>
      <c r="U6" s="249">
        <f>((G6*E6*$C$95)*(References!$C$54/References!$G$60))-L6</f>
        <v>0</v>
      </c>
    </row>
    <row r="7" spans="1:21" s="67" customFormat="1">
      <c r="A7" s="286"/>
      <c r="B7" s="85">
        <v>21</v>
      </c>
      <c r="C7" s="79" t="s">
        <v>4</v>
      </c>
      <c r="D7" s="80">
        <v>564</v>
      </c>
      <c r="E7" s="81">
        <f>References!$B$10</f>
        <v>4.333333333333333</v>
      </c>
      <c r="F7" s="80">
        <f t="shared" ref="F7:F39" si="2">D7*E7*12</f>
        <v>29328</v>
      </c>
      <c r="G7" s="175">
        <f>References!$B$17</f>
        <v>34</v>
      </c>
      <c r="H7" s="80">
        <f t="shared" ref="H7:H39" si="3">F7*G7</f>
        <v>997152</v>
      </c>
      <c r="I7" s="82">
        <f t="shared" si="0"/>
        <v>771311.6861190896</v>
      </c>
      <c r="J7" s="83">
        <f>References!$C$54*'DF Calc (Kitsap Co.)'!I7</f>
        <v>1542.6233722381805</v>
      </c>
      <c r="K7" s="83">
        <f>J7/References!$G$60</f>
        <v>1572.94182593304</v>
      </c>
      <c r="L7" s="83">
        <f t="shared" ref="L7:L30" si="4">K7/F7*E7</f>
        <v>0.23240866222414894</v>
      </c>
      <c r="M7" s="84">
        <f>'Prop. Rates'!B13</f>
        <v>14.5</v>
      </c>
      <c r="N7" s="83">
        <f t="shared" ref="N7:N39" si="5">L7+M7</f>
        <v>14.732408662224149</v>
      </c>
      <c r="O7" s="84">
        <f>'Prop. Rates'!D13</f>
        <v>14.732408662224149</v>
      </c>
      <c r="P7" s="83">
        <f t="shared" ref="P7:P30" si="6">D7*M7*12</f>
        <v>98136</v>
      </c>
      <c r="Q7" s="83">
        <f t="shared" ref="Q7:Q30" si="7">D7*O7*12</f>
        <v>99708.941825933027</v>
      </c>
      <c r="R7" s="83">
        <f t="shared" ref="R7:R39" si="8">Q7-P7</f>
        <v>1572.9418259330268</v>
      </c>
      <c r="S7" s="166">
        <f t="shared" si="1"/>
        <v>14.732408662224149</v>
      </c>
      <c r="T7" s="249">
        <f t="shared" ref="T7:T39" si="9">+O7-S7</f>
        <v>0</v>
      </c>
      <c r="U7" s="249">
        <f>((G7*E7*$C$95)*(References!$C$54/References!$G$60))-L7</f>
        <v>0</v>
      </c>
    </row>
    <row r="8" spans="1:21" s="67" customFormat="1">
      <c r="A8" s="286"/>
      <c r="B8" s="85">
        <v>21</v>
      </c>
      <c r="C8" s="79" t="s">
        <v>5</v>
      </c>
      <c r="D8" s="80">
        <v>160</v>
      </c>
      <c r="E8" s="81">
        <f>References!$B$10</f>
        <v>4.333333333333333</v>
      </c>
      <c r="F8" s="80">
        <f t="shared" si="2"/>
        <v>8320</v>
      </c>
      <c r="G8" s="176">
        <f>References!B18</f>
        <v>51</v>
      </c>
      <c r="H8" s="80">
        <f t="shared" si="3"/>
        <v>424320</v>
      </c>
      <c r="I8" s="82">
        <f t="shared" si="0"/>
        <v>328217.73877408064</v>
      </c>
      <c r="J8" s="83">
        <f>References!$C$54*'DF Calc (Kitsap Co.)'!I8</f>
        <v>656.43547754816188</v>
      </c>
      <c r="K8" s="83">
        <f>J8/References!$G$60</f>
        <v>669.33694720554888</v>
      </c>
      <c r="L8" s="83">
        <f t="shared" si="4"/>
        <v>0.34861299333622331</v>
      </c>
      <c r="M8" s="84">
        <f>'Prop. Rates'!B14</f>
        <v>21.34</v>
      </c>
      <c r="N8" s="83">
        <f t="shared" si="5"/>
        <v>21.688612993336225</v>
      </c>
      <c r="O8" s="84">
        <f>'Prop. Rates'!D14</f>
        <v>21.688612993336225</v>
      </c>
      <c r="P8" s="83">
        <f t="shared" si="6"/>
        <v>40972.800000000003</v>
      </c>
      <c r="Q8" s="83">
        <f t="shared" si="7"/>
        <v>41642.136947205552</v>
      </c>
      <c r="R8" s="83">
        <f t="shared" si="8"/>
        <v>669.33694720554922</v>
      </c>
      <c r="S8" s="166">
        <f t="shared" si="1"/>
        <v>21.688612993336225</v>
      </c>
      <c r="T8" s="249">
        <f t="shared" si="9"/>
        <v>0</v>
      </c>
      <c r="U8" s="249">
        <f>((G8*E8*$C$95)*(References!$C$54/References!$G$60))-L8</f>
        <v>0</v>
      </c>
    </row>
    <row r="9" spans="1:21" s="67" customFormat="1">
      <c r="A9" s="286"/>
      <c r="B9" s="85">
        <v>21</v>
      </c>
      <c r="C9" s="79" t="s">
        <v>6</v>
      </c>
      <c r="D9" s="80">
        <v>17</v>
      </c>
      <c r="E9" s="81">
        <f>References!$B$10</f>
        <v>4.333333333333333</v>
      </c>
      <c r="F9" s="80">
        <f t="shared" si="2"/>
        <v>883.99999999999989</v>
      </c>
      <c r="G9" s="176">
        <f>References!B19</f>
        <v>77</v>
      </c>
      <c r="H9" s="80">
        <f t="shared" si="3"/>
        <v>68067.999999999985</v>
      </c>
      <c r="I9" s="82">
        <f t="shared" si="0"/>
        <v>52651.595595008766</v>
      </c>
      <c r="J9" s="83">
        <f>References!$C$54*'DF Calc (Kitsap Co.)'!I9</f>
        <v>105.30319119001763</v>
      </c>
      <c r="K9" s="83">
        <f>J9/References!$G$60</f>
        <v>107.37280194755679</v>
      </c>
      <c r="L9" s="83">
        <f t="shared" si="4"/>
        <v>0.5263372644488078</v>
      </c>
      <c r="M9" s="84">
        <f>'Prop. Rates'!B15</f>
        <v>28.36</v>
      </c>
      <c r="N9" s="83">
        <f t="shared" si="5"/>
        <v>28.886337264448809</v>
      </c>
      <c r="O9" s="84">
        <f>'Prop. Rates'!D15</f>
        <v>28.886337264448809</v>
      </c>
      <c r="P9" s="83">
        <f t="shared" si="6"/>
        <v>5785.4400000000005</v>
      </c>
      <c r="Q9" s="83">
        <f t="shared" si="7"/>
        <v>5892.8128019475571</v>
      </c>
      <c r="R9" s="83">
        <f t="shared" si="8"/>
        <v>107.37280194755658</v>
      </c>
      <c r="S9" s="166">
        <f t="shared" si="1"/>
        <v>28.886337264448809</v>
      </c>
      <c r="T9" s="249">
        <f t="shared" si="9"/>
        <v>0</v>
      </c>
      <c r="U9" s="249">
        <f>((G9*E9*$C$95)*(References!$C$54/References!$G$60))-L9</f>
        <v>0</v>
      </c>
    </row>
    <row r="10" spans="1:21" s="67" customFormat="1">
      <c r="A10" s="286"/>
      <c r="B10" s="85">
        <v>21</v>
      </c>
      <c r="C10" s="79" t="s">
        <v>235</v>
      </c>
      <c r="D10" s="80">
        <v>118</v>
      </c>
      <c r="E10" s="81">
        <f>References!$B$10</f>
        <v>4.333333333333333</v>
      </c>
      <c r="F10" s="80">
        <f>D10*E10*12</f>
        <v>6136</v>
      </c>
      <c r="G10" s="176">
        <f>+References!$B$24</f>
        <v>47.8125</v>
      </c>
      <c r="H10" s="80">
        <f>F10*G10</f>
        <v>293377.5</v>
      </c>
      <c r="I10" s="82">
        <f t="shared" si="0"/>
        <v>226931.79594926673</v>
      </c>
      <c r="J10" s="83">
        <f>References!$C$54*'DF Calc (Kitsap Co.)'!I10</f>
        <v>453.86359189853385</v>
      </c>
      <c r="K10" s="83">
        <f>J10/References!$G$60</f>
        <v>462.7837486538366</v>
      </c>
      <c r="L10" s="83">
        <f>K10/F10*E10</f>
        <v>0.32682468125270941</v>
      </c>
      <c r="M10" s="84">
        <f>'Prop. Rates'!B19</f>
        <v>19.03</v>
      </c>
      <c r="N10" s="83">
        <f>L10+M10</f>
        <v>19.356824681252711</v>
      </c>
      <c r="O10" s="84">
        <f>'Prop. Rates'!D19</f>
        <v>19.356824681252711</v>
      </c>
      <c r="P10" s="83">
        <f>D10*M10*12</f>
        <v>26946.48</v>
      </c>
      <c r="Q10" s="83">
        <f>D10*O10*12</f>
        <v>27409.263748653841</v>
      </c>
      <c r="R10" s="83">
        <f>Q10-P10</f>
        <v>462.78374865384103</v>
      </c>
      <c r="S10" s="166">
        <f t="shared" si="1"/>
        <v>19.356824681252711</v>
      </c>
      <c r="T10" s="249">
        <f t="shared" si="9"/>
        <v>0</v>
      </c>
      <c r="U10" s="249">
        <f>((G10*E10*$C$95)*(References!$C$54/References!$G$60))-L10</f>
        <v>0</v>
      </c>
    </row>
    <row r="11" spans="1:21" s="67" customFormat="1">
      <c r="A11" s="286"/>
      <c r="B11" s="85">
        <v>21</v>
      </c>
      <c r="C11" s="79" t="s">
        <v>236</v>
      </c>
      <c r="D11" s="80">
        <v>8</v>
      </c>
      <c r="E11" s="81">
        <f>References!$B$10</f>
        <v>4.333333333333333</v>
      </c>
      <c r="F11" s="80">
        <f>D11*E11*12</f>
        <v>416</v>
      </c>
      <c r="G11" s="176">
        <f>G10+G10</f>
        <v>95.625</v>
      </c>
      <c r="H11" s="80">
        <f>F11*G11</f>
        <v>39780</v>
      </c>
      <c r="I11" s="82">
        <f t="shared" si="0"/>
        <v>30770.413010070064</v>
      </c>
      <c r="J11" s="83">
        <f>References!$C$54*'DF Calc (Kitsap Co.)'!I11</f>
        <v>61.54082602014018</v>
      </c>
      <c r="K11" s="83">
        <f>J11/References!$G$60</f>
        <v>62.750338800520211</v>
      </c>
      <c r="L11" s="83">
        <f>K11/F11*E11</f>
        <v>0.65364936250541883</v>
      </c>
      <c r="M11" s="84">
        <f>M10*2</f>
        <v>38.06</v>
      </c>
      <c r="N11" s="83">
        <f>L11+M11</f>
        <v>38.713649362505421</v>
      </c>
      <c r="O11" s="84">
        <f>O10*2</f>
        <v>38.713649362505421</v>
      </c>
      <c r="P11" s="83">
        <f>D11*M11*12</f>
        <v>3653.76</v>
      </c>
      <c r="Q11" s="83">
        <f>D11*O11*12</f>
        <v>3716.5103388005205</v>
      </c>
      <c r="R11" s="83">
        <f>Q11-P11</f>
        <v>62.75033880052024</v>
      </c>
      <c r="S11" s="166">
        <f t="shared" si="1"/>
        <v>38.713649362505421</v>
      </c>
      <c r="T11" s="249">
        <f t="shared" si="9"/>
        <v>0</v>
      </c>
      <c r="U11" s="249">
        <f>((G11*E11*$C$95)*(References!$C$54/References!$G$60))-L11</f>
        <v>0</v>
      </c>
    </row>
    <row r="12" spans="1:21" s="67" customFormat="1">
      <c r="A12" s="286"/>
      <c r="B12" s="85"/>
      <c r="C12" s="79"/>
      <c r="D12" s="80"/>
      <c r="E12" s="81"/>
      <c r="F12" s="80"/>
      <c r="G12" s="176"/>
      <c r="H12" s="80"/>
      <c r="I12" s="82"/>
      <c r="J12" s="83"/>
      <c r="K12" s="83"/>
      <c r="L12" s="83"/>
      <c r="M12" s="84"/>
      <c r="N12" s="83"/>
      <c r="O12" s="84"/>
      <c r="P12" s="83"/>
      <c r="Q12" s="83"/>
      <c r="R12" s="83"/>
      <c r="S12" s="166"/>
      <c r="T12" s="249">
        <f t="shared" si="9"/>
        <v>0</v>
      </c>
    </row>
    <row r="13" spans="1:21" s="67" customFormat="1">
      <c r="A13" s="286"/>
      <c r="B13" s="85">
        <v>21</v>
      </c>
      <c r="C13" s="79" t="s">
        <v>10</v>
      </c>
      <c r="D13" s="80">
        <v>134</v>
      </c>
      <c r="E13" s="81">
        <f>References!$B$10</f>
        <v>4.333333333333333</v>
      </c>
      <c r="F13" s="80">
        <f t="shared" si="2"/>
        <v>6968</v>
      </c>
      <c r="G13" s="176">
        <f>References!B23</f>
        <v>37.1875</v>
      </c>
      <c r="H13" s="80">
        <f t="shared" si="3"/>
        <v>259122.5</v>
      </c>
      <c r="I13" s="82">
        <f>$C$95*H13</f>
        <v>200435.0514128175</v>
      </c>
      <c r="J13" s="83">
        <f>References!$C$54*'DF Calc (Kitsap Co.)'!I13</f>
        <v>400.87010282563534</v>
      </c>
      <c r="K13" s="83">
        <f>J13/References!$G$60</f>
        <v>408.74873468672195</v>
      </c>
      <c r="L13" s="83">
        <f t="shared" si="4"/>
        <v>0.25419697430766292</v>
      </c>
      <c r="M13" s="84">
        <f>'Prop. Rates'!B26</f>
        <v>16.579999999999998</v>
      </c>
      <c r="N13" s="83">
        <f t="shared" si="5"/>
        <v>16.834196974307662</v>
      </c>
      <c r="O13" s="84">
        <f>'Prop. Rates'!D26</f>
        <v>16.834196974307662</v>
      </c>
      <c r="P13" s="83">
        <f t="shared" si="6"/>
        <v>26660.639999999999</v>
      </c>
      <c r="Q13" s="83">
        <f t="shared" si="7"/>
        <v>27069.38873468672</v>
      </c>
      <c r="R13" s="83">
        <f t="shared" si="8"/>
        <v>408.74873468672013</v>
      </c>
      <c r="S13" s="166">
        <f>N13</f>
        <v>16.834196974307662</v>
      </c>
      <c r="T13" s="249">
        <f t="shared" si="9"/>
        <v>0</v>
      </c>
      <c r="U13" s="249">
        <f>((G13*E13*$C$95)*(References!$C$54/References!$G$60))-L13</f>
        <v>0</v>
      </c>
    </row>
    <row r="14" spans="1:21" s="67" customFormat="1">
      <c r="A14" s="286"/>
      <c r="B14" s="85">
        <v>21</v>
      </c>
      <c r="C14" s="79" t="s">
        <v>13</v>
      </c>
      <c r="D14" s="80">
        <v>73</v>
      </c>
      <c r="E14" s="81">
        <f>References!$B$10</f>
        <v>4.333333333333333</v>
      </c>
      <c r="F14" s="80">
        <f t="shared" si="2"/>
        <v>3796</v>
      </c>
      <c r="G14" s="176">
        <f>References!$B$25</f>
        <v>51</v>
      </c>
      <c r="H14" s="80">
        <f t="shared" si="3"/>
        <v>193596</v>
      </c>
      <c r="I14" s="82">
        <f>$C$95*H14</f>
        <v>149749.34331567431</v>
      </c>
      <c r="J14" s="83">
        <f>References!$C$54*'DF Calc (Kitsap Co.)'!I14</f>
        <v>299.4986866313489</v>
      </c>
      <c r="K14" s="83">
        <f>J14/References!$G$60</f>
        <v>305.38498216253174</v>
      </c>
      <c r="L14" s="83">
        <f t="shared" si="4"/>
        <v>0.34861299333622342</v>
      </c>
      <c r="M14" s="84">
        <f>'Prop. Rates'!B27</f>
        <v>20.68</v>
      </c>
      <c r="N14" s="83">
        <f t="shared" si="5"/>
        <v>21.028612993336225</v>
      </c>
      <c r="O14" s="84">
        <f>'Prop. Rates'!D27</f>
        <v>21.028612993336225</v>
      </c>
      <c r="P14" s="83">
        <f t="shared" si="6"/>
        <v>18115.68</v>
      </c>
      <c r="Q14" s="83">
        <f t="shared" si="7"/>
        <v>18421.064982162534</v>
      </c>
      <c r="R14" s="83">
        <f t="shared" si="8"/>
        <v>305.38498216253356</v>
      </c>
      <c r="S14" s="166">
        <f>N14</f>
        <v>21.028612993336225</v>
      </c>
      <c r="T14" s="249">
        <f t="shared" si="9"/>
        <v>0</v>
      </c>
      <c r="U14" s="249">
        <f>((G14*E14*$C$95)*(References!$C$54/References!$G$60))-L14</f>
        <v>0</v>
      </c>
    </row>
    <row r="15" spans="1:21" s="67" customFormat="1">
      <c r="A15" s="286"/>
      <c r="B15" s="85">
        <v>21</v>
      </c>
      <c r="C15" s="79" t="s">
        <v>14</v>
      </c>
      <c r="D15" s="80">
        <v>54</v>
      </c>
      <c r="E15" s="81">
        <f>References!$B$10</f>
        <v>4.333333333333333</v>
      </c>
      <c r="F15" s="80">
        <f t="shared" si="2"/>
        <v>2807.9999999999995</v>
      </c>
      <c r="G15" s="175">
        <f>References!B26</f>
        <v>50.133333333333333</v>
      </c>
      <c r="H15" s="80">
        <f t="shared" si="3"/>
        <v>140774.39999999997</v>
      </c>
      <c r="I15" s="82">
        <f>$C$95*H15</f>
        <v>108891.0615697538</v>
      </c>
      <c r="J15" s="83">
        <f>References!$C$54*'DF Calc (Kitsap Co.)'!I15</f>
        <v>217.7821231395078</v>
      </c>
      <c r="K15" s="83">
        <f>J15/References!$G$60</f>
        <v>222.06237542584088</v>
      </c>
      <c r="L15" s="83">
        <f t="shared" si="4"/>
        <v>0.34268885096580387</v>
      </c>
      <c r="M15" s="84">
        <f>'Prop. Rates'!B28</f>
        <v>24.76</v>
      </c>
      <c r="N15" s="83">
        <f t="shared" si="5"/>
        <v>25.102688850965805</v>
      </c>
      <c r="O15" s="84">
        <f>'Prop. Rates'!D28</f>
        <v>25.102688850965805</v>
      </c>
      <c r="P15" s="83">
        <f t="shared" si="6"/>
        <v>16044.480000000003</v>
      </c>
      <c r="Q15" s="83">
        <f t="shared" si="7"/>
        <v>16266.542375425843</v>
      </c>
      <c r="R15" s="83">
        <f t="shared" si="8"/>
        <v>222.06237542583949</v>
      </c>
      <c r="S15" s="166">
        <f>N15</f>
        <v>25.102688850965805</v>
      </c>
      <c r="T15" s="249">
        <f t="shared" si="9"/>
        <v>0</v>
      </c>
      <c r="U15" s="249">
        <f>((G15*E15*$C$95)*(References!$C$54/References!$G$60))-L15</f>
        <v>0</v>
      </c>
    </row>
    <row r="16" spans="1:21" s="67" customFormat="1">
      <c r="A16" s="286"/>
      <c r="B16" s="85">
        <v>21</v>
      </c>
      <c r="C16" s="79" t="s">
        <v>15</v>
      </c>
      <c r="D16" s="80">
        <v>29</v>
      </c>
      <c r="E16" s="81">
        <f>References!$B$10</f>
        <v>4.333333333333333</v>
      </c>
      <c r="F16" s="80">
        <f t="shared" si="2"/>
        <v>1508</v>
      </c>
      <c r="G16" s="175">
        <f>References!B27</f>
        <v>71.022222222222226</v>
      </c>
      <c r="H16" s="80">
        <f t="shared" si="3"/>
        <v>107101.51111111112</v>
      </c>
      <c r="I16" s="82">
        <f>$C$95*H16</f>
        <v>82844.588509087407</v>
      </c>
      <c r="J16" s="83">
        <f>References!$C$54*'DF Calc (Kitsap Co.)'!I16</f>
        <v>165.68917701817497</v>
      </c>
      <c r="K16" s="83">
        <f>J16/References!$G$60</f>
        <v>168.94560352614135</v>
      </c>
      <c r="L16" s="83">
        <f t="shared" si="4"/>
        <v>0.48547587220155558</v>
      </c>
      <c r="M16" s="84">
        <f>'Prop. Rates'!B29</f>
        <v>31.18</v>
      </c>
      <c r="N16" s="83">
        <f t="shared" si="5"/>
        <v>31.665475872201554</v>
      </c>
      <c r="O16" s="84">
        <f>'Prop. Rates'!D29</f>
        <v>31.665475872201554</v>
      </c>
      <c r="P16" s="83">
        <f t="shared" si="6"/>
        <v>10850.64</v>
      </c>
      <c r="Q16" s="83">
        <f t="shared" si="7"/>
        <v>11019.58560352614</v>
      </c>
      <c r="R16" s="83">
        <f t="shared" si="8"/>
        <v>168.94560352614099</v>
      </c>
      <c r="S16" s="166">
        <f>N16</f>
        <v>31.665475872201554</v>
      </c>
      <c r="T16" s="249">
        <f t="shared" si="9"/>
        <v>0</v>
      </c>
      <c r="U16" s="249">
        <f>((G16*E16*$C$95)*(References!$C$54/References!$G$60))-L16</f>
        <v>0</v>
      </c>
    </row>
    <row r="17" spans="1:21" s="67" customFormat="1">
      <c r="A17" s="286"/>
      <c r="B17" s="85"/>
      <c r="C17" s="79"/>
      <c r="D17" s="80"/>
      <c r="E17" s="81"/>
      <c r="F17" s="80"/>
      <c r="G17" s="175"/>
      <c r="H17" s="80"/>
      <c r="I17" s="82"/>
      <c r="J17" s="83"/>
      <c r="K17" s="83"/>
      <c r="L17" s="83"/>
      <c r="M17" s="84"/>
      <c r="N17" s="83"/>
      <c r="O17" s="84"/>
      <c r="P17" s="83"/>
      <c r="Q17" s="83"/>
      <c r="R17" s="83"/>
      <c r="S17" s="166"/>
      <c r="T17" s="249">
        <f t="shared" si="9"/>
        <v>0</v>
      </c>
    </row>
    <row r="18" spans="1:21" s="67" customFormat="1">
      <c r="A18" s="286"/>
      <c r="B18" s="85">
        <v>21</v>
      </c>
      <c r="C18" s="79" t="s">
        <v>16</v>
      </c>
      <c r="D18" s="80">
        <v>225</v>
      </c>
      <c r="E18" s="81">
        <f>References!$B$11</f>
        <v>2.1666666666666665</v>
      </c>
      <c r="F18" s="80">
        <f t="shared" si="2"/>
        <v>5849.9999999999991</v>
      </c>
      <c r="G18" s="175">
        <f>References!B17</f>
        <v>34</v>
      </c>
      <c r="H18" s="80">
        <f t="shared" si="3"/>
        <v>198899.99999999997</v>
      </c>
      <c r="I18" s="82">
        <f>$C$95*H18</f>
        <v>153852.0650503503</v>
      </c>
      <c r="J18" s="83">
        <f>References!$C$54*'DF Calc (Kitsap Co.)'!I18</f>
        <v>307.70413010070087</v>
      </c>
      <c r="K18" s="83">
        <f>J18/References!$G$60</f>
        <v>313.75169400260103</v>
      </c>
      <c r="L18" s="83">
        <f t="shared" si="4"/>
        <v>0.11620433111207447</v>
      </c>
      <c r="M18" s="84">
        <f>'Prop. Rates'!B20</f>
        <v>8.3800000000000008</v>
      </c>
      <c r="N18" s="83">
        <f t="shared" si="5"/>
        <v>8.4962043311120752</v>
      </c>
      <c r="O18" s="84">
        <f>'Prop. Rates'!D20</f>
        <v>8.4962043311120752</v>
      </c>
      <c r="P18" s="83">
        <f t="shared" si="6"/>
        <v>22626.000000000004</v>
      </c>
      <c r="Q18" s="83">
        <f t="shared" si="7"/>
        <v>22939.751694002603</v>
      </c>
      <c r="R18" s="83">
        <f t="shared" si="8"/>
        <v>313.75169400259983</v>
      </c>
      <c r="S18" s="166">
        <f>N18</f>
        <v>8.4962043311120752</v>
      </c>
      <c r="T18" s="249">
        <f t="shared" si="9"/>
        <v>0</v>
      </c>
      <c r="U18" s="249">
        <f>((G18*E18*$C$95)*(References!$C$54/References!$G$60))-L18</f>
        <v>0</v>
      </c>
    </row>
    <row r="19" spans="1:21" s="67" customFormat="1">
      <c r="A19" s="286"/>
      <c r="B19" s="85">
        <v>21</v>
      </c>
      <c r="C19" s="79" t="s">
        <v>17</v>
      </c>
      <c r="D19" s="80">
        <v>24</v>
      </c>
      <c r="E19" s="81">
        <f>References!$B$11</f>
        <v>2.1666666666666665</v>
      </c>
      <c r="F19" s="80">
        <f t="shared" si="2"/>
        <v>624</v>
      </c>
      <c r="G19" s="176">
        <f>G8</f>
        <v>51</v>
      </c>
      <c r="H19" s="80">
        <f t="shared" si="3"/>
        <v>31824</v>
      </c>
      <c r="I19" s="82">
        <f>$C$95*H19</f>
        <v>24616.330408056052</v>
      </c>
      <c r="J19" s="83">
        <f>References!$C$54*'DF Calc (Kitsap Co.)'!I19</f>
        <v>49.232660816112144</v>
      </c>
      <c r="K19" s="83">
        <f>J19/References!$G$60</f>
        <v>50.200271040416169</v>
      </c>
      <c r="L19" s="83">
        <f t="shared" si="4"/>
        <v>0.17430649666811171</v>
      </c>
      <c r="M19" s="84">
        <f>'Prop. Rates'!B21</f>
        <v>13.37</v>
      </c>
      <c r="N19" s="83">
        <f t="shared" si="5"/>
        <v>13.544306496668112</v>
      </c>
      <c r="O19" s="84">
        <f>'Prop. Rates'!D21</f>
        <v>13.544306496668112</v>
      </c>
      <c r="P19" s="83">
        <f t="shared" si="6"/>
        <v>3850.56</v>
      </c>
      <c r="Q19" s="83">
        <f t="shared" si="7"/>
        <v>3900.7602710404162</v>
      </c>
      <c r="R19" s="83">
        <f t="shared" si="8"/>
        <v>50.200271040416283</v>
      </c>
      <c r="S19" s="166">
        <f>N19</f>
        <v>13.544306496668112</v>
      </c>
      <c r="T19" s="249">
        <f t="shared" si="9"/>
        <v>0</v>
      </c>
      <c r="U19" s="249">
        <f>((G19*E19*$C$95)*(References!$C$54/References!$G$60))-L19</f>
        <v>0</v>
      </c>
    </row>
    <row r="20" spans="1:21" s="67" customFormat="1">
      <c r="A20" s="286"/>
      <c r="B20" s="85"/>
      <c r="C20" s="79"/>
      <c r="D20" s="80"/>
      <c r="E20" s="81"/>
      <c r="F20" s="80"/>
      <c r="G20" s="176"/>
      <c r="H20" s="80"/>
      <c r="I20" s="82"/>
      <c r="J20" s="83"/>
      <c r="K20" s="83"/>
      <c r="L20" s="83"/>
      <c r="M20" s="84"/>
      <c r="N20" s="83"/>
      <c r="O20" s="84"/>
      <c r="P20" s="83"/>
      <c r="Q20" s="83"/>
      <c r="R20" s="83"/>
      <c r="S20" s="166"/>
      <c r="T20" s="249">
        <f t="shared" si="9"/>
        <v>0</v>
      </c>
    </row>
    <row r="21" spans="1:21" s="67" customFormat="1">
      <c r="A21" s="286"/>
      <c r="B21" s="85">
        <v>21</v>
      </c>
      <c r="C21" s="79" t="s">
        <v>18</v>
      </c>
      <c r="D21" s="80">
        <v>61</v>
      </c>
      <c r="E21" s="81">
        <f>References!$B$11</f>
        <v>2.1666666666666665</v>
      </c>
      <c r="F21" s="80">
        <f t="shared" si="2"/>
        <v>1586</v>
      </c>
      <c r="G21" s="176">
        <f>References!B23</f>
        <v>37.1875</v>
      </c>
      <c r="H21" s="80">
        <f t="shared" si="3"/>
        <v>58979.375</v>
      </c>
      <c r="I21" s="82">
        <f>$C$95*H21</f>
        <v>45621.410955902487</v>
      </c>
      <c r="J21" s="83">
        <f>References!$C$54*'DF Calc (Kitsap Co.)'!I21</f>
        <v>91.242821911805052</v>
      </c>
      <c r="K21" s="83">
        <f>J21/References!$G$60</f>
        <v>93.036092596604604</v>
      </c>
      <c r="L21" s="83">
        <f t="shared" si="4"/>
        <v>0.12709848715383143</v>
      </c>
      <c r="M21" s="84">
        <f>'Prop. Rates'!B30</f>
        <v>9.98</v>
      </c>
      <c r="N21" s="83">
        <f t="shared" si="5"/>
        <v>10.107098487153833</v>
      </c>
      <c r="O21" s="84">
        <f>'Prop. Rates'!D30</f>
        <v>10.107098487153833</v>
      </c>
      <c r="P21" s="83">
        <f t="shared" si="6"/>
        <v>7305.36</v>
      </c>
      <c r="Q21" s="83">
        <f t="shared" si="7"/>
        <v>7398.3960925966048</v>
      </c>
      <c r="R21" s="83">
        <f t="shared" si="8"/>
        <v>93.036092596605158</v>
      </c>
      <c r="S21" s="166">
        <f>N21</f>
        <v>10.107098487153833</v>
      </c>
      <c r="T21" s="249">
        <f t="shared" si="9"/>
        <v>0</v>
      </c>
      <c r="U21" s="249">
        <f>((G21*E21*$C$95)*(References!$C$54/References!$G$60))-L21</f>
        <v>0</v>
      </c>
    </row>
    <row r="22" spans="1:21" s="67" customFormat="1">
      <c r="A22" s="286"/>
      <c r="B22" s="85">
        <v>21</v>
      </c>
      <c r="C22" s="79" t="s">
        <v>19</v>
      </c>
      <c r="D22" s="80">
        <v>21</v>
      </c>
      <c r="E22" s="81">
        <f>References!$B$11</f>
        <v>2.1666666666666665</v>
      </c>
      <c r="F22" s="80">
        <f t="shared" si="2"/>
        <v>546</v>
      </c>
      <c r="G22" s="176">
        <f>References!$B$25</f>
        <v>51</v>
      </c>
      <c r="H22" s="80">
        <f t="shared" si="3"/>
        <v>27846</v>
      </c>
      <c r="I22" s="82">
        <f>$C$95*H22</f>
        <v>21539.289107049044</v>
      </c>
      <c r="J22" s="83">
        <f>References!$C$54*'DF Calc (Kitsap Co.)'!I22</f>
        <v>43.07857821409813</v>
      </c>
      <c r="K22" s="83">
        <f>J22/References!$G$60</f>
        <v>43.925237160364148</v>
      </c>
      <c r="L22" s="83">
        <f t="shared" si="4"/>
        <v>0.17430649666811171</v>
      </c>
      <c r="M22" s="84">
        <f>'Prop. Rates'!B31</f>
        <v>13.15</v>
      </c>
      <c r="N22" s="83">
        <f t="shared" si="5"/>
        <v>13.324306496668113</v>
      </c>
      <c r="O22" s="84">
        <f>'Prop. Rates'!D31</f>
        <v>13.324306496668113</v>
      </c>
      <c r="P22" s="83">
        <f t="shared" si="6"/>
        <v>3313.8</v>
      </c>
      <c r="Q22" s="83">
        <f t="shared" si="7"/>
        <v>3357.7252371603645</v>
      </c>
      <c r="R22" s="83">
        <f t="shared" si="8"/>
        <v>43.925237160364304</v>
      </c>
      <c r="S22" s="166">
        <f>N22</f>
        <v>13.324306496668113</v>
      </c>
      <c r="T22" s="249">
        <f t="shared" si="9"/>
        <v>0</v>
      </c>
      <c r="U22" s="249">
        <f>((G22*E22*$C$95)*(References!$C$54/References!$G$60))-L22</f>
        <v>0</v>
      </c>
    </row>
    <row r="23" spans="1:21" s="67" customFormat="1">
      <c r="A23" s="286"/>
      <c r="B23" s="85">
        <v>21</v>
      </c>
      <c r="C23" s="79" t="s">
        <v>20</v>
      </c>
      <c r="D23" s="80">
        <v>14</v>
      </c>
      <c r="E23" s="81">
        <f>References!$B$11</f>
        <v>2.1666666666666665</v>
      </c>
      <c r="F23" s="80">
        <f t="shared" si="2"/>
        <v>364</v>
      </c>
      <c r="G23" s="176">
        <f>References!B26</f>
        <v>50.133333333333333</v>
      </c>
      <c r="H23" s="80">
        <f t="shared" si="3"/>
        <v>18248.533333333333</v>
      </c>
      <c r="I23" s="82">
        <f>$C$95*H23</f>
        <v>14115.507981264383</v>
      </c>
      <c r="J23" s="83">
        <f>References!$C$54*'DF Calc (Kitsap Co.)'!I23</f>
        <v>28.231015962528794</v>
      </c>
      <c r="K23" s="83">
        <f>J23/References!$G$60</f>
        <v>28.785863481127528</v>
      </c>
      <c r="L23" s="83">
        <f t="shared" si="4"/>
        <v>0.17134442548290194</v>
      </c>
      <c r="M23" s="84">
        <f>'Prop. Rates'!B32</f>
        <v>15.66</v>
      </c>
      <c r="N23" s="83">
        <f t="shared" si="5"/>
        <v>15.831344425482902</v>
      </c>
      <c r="O23" s="84">
        <f>'Prop. Rates'!D32</f>
        <v>15.831344425482902</v>
      </c>
      <c r="P23" s="83">
        <f t="shared" si="6"/>
        <v>2630.88</v>
      </c>
      <c r="Q23" s="83">
        <f t="shared" si="7"/>
        <v>2659.6658634811274</v>
      </c>
      <c r="R23" s="83">
        <f t="shared" si="8"/>
        <v>28.785863481127308</v>
      </c>
      <c r="S23" s="166">
        <f>N23</f>
        <v>15.831344425482902</v>
      </c>
      <c r="T23" s="249">
        <f t="shared" si="9"/>
        <v>0</v>
      </c>
      <c r="U23" s="249">
        <f>((G23*E23*$C$95)*(References!$C$54/References!$G$60))-L23</f>
        <v>0</v>
      </c>
    </row>
    <row r="24" spans="1:21" s="67" customFormat="1">
      <c r="A24" s="286"/>
      <c r="B24" s="85">
        <v>21</v>
      </c>
      <c r="C24" s="79" t="s">
        <v>21</v>
      </c>
      <c r="D24" s="80">
        <v>10</v>
      </c>
      <c r="E24" s="81">
        <f>References!$B$11</f>
        <v>2.1666666666666665</v>
      </c>
      <c r="F24" s="80">
        <f t="shared" si="2"/>
        <v>260</v>
      </c>
      <c r="G24" s="176">
        <f>References!B27</f>
        <v>71.022222222222226</v>
      </c>
      <c r="H24" s="80">
        <f t="shared" si="3"/>
        <v>18465.777777777777</v>
      </c>
      <c r="I24" s="82">
        <f>$C$95*H24</f>
        <v>14283.549742946103</v>
      </c>
      <c r="J24" s="83">
        <f>References!$C$54*'DF Calc (Kitsap Co.)'!I24</f>
        <v>28.567099485892232</v>
      </c>
      <c r="K24" s="83">
        <f>J24/References!$G$60</f>
        <v>29.128552332093332</v>
      </c>
      <c r="L24" s="83">
        <f t="shared" si="4"/>
        <v>0.24273793610077776</v>
      </c>
      <c r="M24" s="84">
        <f>'Prop. Rates'!B33</f>
        <v>19.48</v>
      </c>
      <c r="N24" s="83">
        <f t="shared" si="5"/>
        <v>19.722737936100778</v>
      </c>
      <c r="O24" s="84">
        <f>'Prop. Rates'!D33</f>
        <v>19.722737936100778</v>
      </c>
      <c r="P24" s="83">
        <f t="shared" si="6"/>
        <v>2337.6000000000004</v>
      </c>
      <c r="Q24" s="83">
        <f t="shared" si="7"/>
        <v>2366.7285523320934</v>
      </c>
      <c r="R24" s="83">
        <f t="shared" si="8"/>
        <v>29.128552332093022</v>
      </c>
      <c r="S24" s="166">
        <f>N24</f>
        <v>19.722737936100778</v>
      </c>
      <c r="T24" s="249">
        <f t="shared" si="9"/>
        <v>0</v>
      </c>
      <c r="U24" s="249">
        <f>((G24*E24*$C$95)*(References!$C$54/References!$G$60))-L24</f>
        <v>0</v>
      </c>
    </row>
    <row r="25" spans="1:21" s="67" customFormat="1">
      <c r="A25" s="286"/>
      <c r="B25" s="85"/>
      <c r="C25" s="79"/>
      <c r="D25" s="80"/>
      <c r="E25" s="81"/>
      <c r="F25" s="80"/>
      <c r="G25" s="175"/>
      <c r="H25" s="80"/>
      <c r="I25" s="82"/>
      <c r="J25" s="83"/>
      <c r="K25" s="83"/>
      <c r="L25" s="83"/>
      <c r="M25" s="84"/>
      <c r="N25" s="83"/>
      <c r="O25" s="84"/>
      <c r="P25" s="83"/>
      <c r="Q25" s="83"/>
      <c r="R25" s="83"/>
      <c r="S25" s="166"/>
      <c r="T25" s="249">
        <f t="shared" si="9"/>
        <v>0</v>
      </c>
    </row>
    <row r="26" spans="1:21" s="67" customFormat="1">
      <c r="A26" s="286"/>
      <c r="B26" s="85">
        <v>21</v>
      </c>
      <c r="C26" s="79" t="s">
        <v>22</v>
      </c>
      <c r="D26" s="80">
        <v>38</v>
      </c>
      <c r="E26" s="81">
        <f>References!$B$12</f>
        <v>1</v>
      </c>
      <c r="F26" s="80">
        <f t="shared" si="2"/>
        <v>456</v>
      </c>
      <c r="G26" s="175">
        <f>References!B17</f>
        <v>34</v>
      </c>
      <c r="H26" s="80">
        <f t="shared" si="3"/>
        <v>15504</v>
      </c>
      <c r="I26" s="82">
        <f>$C$95*H26</f>
        <v>11992.571224437563</v>
      </c>
      <c r="J26" s="83">
        <f>References!$C$54*'DF Calc (Kitsap Co.)'!I26</f>
        <v>23.985142448875148</v>
      </c>
      <c r="K26" s="83">
        <f>J26/References!$G$60</f>
        <v>24.456542301741212</v>
      </c>
      <c r="L26" s="83">
        <f>K26/F26*E26</f>
        <v>5.3632768205572834E-2</v>
      </c>
      <c r="M26" s="84">
        <f>'Prop. Rates'!B22</f>
        <v>4.68</v>
      </c>
      <c r="N26" s="83">
        <f t="shared" si="5"/>
        <v>4.7336327682055721</v>
      </c>
      <c r="O26" s="84">
        <f>'Prop. Rates'!D22</f>
        <v>4.7336327682055721</v>
      </c>
      <c r="P26" s="83">
        <f t="shared" si="6"/>
        <v>2134.08</v>
      </c>
      <c r="Q26" s="83">
        <f t="shared" si="7"/>
        <v>2158.5365423017411</v>
      </c>
      <c r="R26" s="83">
        <f t="shared" si="8"/>
        <v>24.456542301741138</v>
      </c>
      <c r="S26" s="166">
        <f>N26</f>
        <v>4.7336327682055721</v>
      </c>
      <c r="T26" s="249">
        <f t="shared" si="9"/>
        <v>0</v>
      </c>
      <c r="U26" s="249">
        <f>((G26*E26*$C$95)*(References!$C$54/References!$G$60))-L26</f>
        <v>0</v>
      </c>
    </row>
    <row r="27" spans="1:21" s="67" customFormat="1">
      <c r="A27" s="286"/>
      <c r="B27" s="85">
        <v>21</v>
      </c>
      <c r="C27" s="79" t="s">
        <v>23</v>
      </c>
      <c r="D27" s="80">
        <v>9</v>
      </c>
      <c r="E27" s="81">
        <f>References!$B$12</f>
        <v>1</v>
      </c>
      <c r="F27" s="80">
        <f t="shared" si="2"/>
        <v>108</v>
      </c>
      <c r="G27" s="176">
        <f>References!B23</f>
        <v>37.1875</v>
      </c>
      <c r="H27" s="80">
        <f t="shared" si="3"/>
        <v>4016.25</v>
      </c>
      <c r="I27" s="82">
        <f>$C$95*H27</f>
        <v>3106.6282365936122</v>
      </c>
      <c r="J27" s="83">
        <f>References!$C$54*'DF Calc (Kitsap Co.)'!I27</f>
        <v>6.2132564731872302</v>
      </c>
      <c r="K27" s="83">
        <f>J27/References!$G$60</f>
        <v>6.3353707442832912</v>
      </c>
      <c r="L27" s="83">
        <f t="shared" si="4"/>
        <v>5.8660840224845287E-2</v>
      </c>
      <c r="M27" s="84">
        <f>'Prop. Rates'!B34</f>
        <v>6.04</v>
      </c>
      <c r="N27" s="83">
        <f t="shared" si="5"/>
        <v>6.098660840224845</v>
      </c>
      <c r="O27" s="84">
        <f>'Prop. Rates'!D34</f>
        <v>6.098660840224845</v>
      </c>
      <c r="P27" s="83">
        <f t="shared" si="6"/>
        <v>652.31999999999994</v>
      </c>
      <c r="Q27" s="83">
        <f t="shared" si="7"/>
        <v>658.65537074428323</v>
      </c>
      <c r="R27" s="83">
        <f t="shared" si="8"/>
        <v>6.3353707442832956</v>
      </c>
      <c r="S27" s="166">
        <f>N27</f>
        <v>6.098660840224845</v>
      </c>
      <c r="T27" s="249">
        <f t="shared" si="9"/>
        <v>0</v>
      </c>
      <c r="U27" s="249">
        <f>((G27*E27*$C$95)*(References!$C$54/References!$G$60))-L27</f>
        <v>0</v>
      </c>
    </row>
    <row r="28" spans="1:21" s="67" customFormat="1">
      <c r="A28" s="286"/>
      <c r="B28" s="85">
        <v>21</v>
      </c>
      <c r="C28" s="79" t="s">
        <v>24</v>
      </c>
      <c r="D28" s="80">
        <v>0</v>
      </c>
      <c r="E28" s="81">
        <f>References!$B$12</f>
        <v>1</v>
      </c>
      <c r="F28" s="80">
        <v>12</v>
      </c>
      <c r="G28" s="176">
        <f>References!$B$25</f>
        <v>51</v>
      </c>
      <c r="H28" s="80">
        <f t="shared" si="3"/>
        <v>612</v>
      </c>
      <c r="I28" s="82">
        <f>$C$95*H28</f>
        <v>473.39096938569327</v>
      </c>
      <c r="J28" s="83">
        <f>References!$C$54*'DF Calc (Kitsap Co.)'!I28</f>
        <v>0.94678193877138739</v>
      </c>
      <c r="K28" s="83">
        <f>J28/References!$G$60</f>
        <v>0.9653898277003109</v>
      </c>
      <c r="L28" s="83">
        <f t="shared" si="4"/>
        <v>8.0449152308359237E-2</v>
      </c>
      <c r="M28" s="84">
        <f>'Prop. Rates'!B35</f>
        <v>7.56</v>
      </c>
      <c r="N28" s="83">
        <f t="shared" si="5"/>
        <v>7.6404491523083591</v>
      </c>
      <c r="O28" s="84">
        <f>'Prop. Rates'!D35</f>
        <v>7.6404491523083591</v>
      </c>
      <c r="P28" s="83">
        <f t="shared" si="6"/>
        <v>0</v>
      </c>
      <c r="Q28" s="83">
        <f t="shared" si="7"/>
        <v>0</v>
      </c>
      <c r="R28" s="83">
        <f t="shared" si="8"/>
        <v>0</v>
      </c>
      <c r="S28" s="166">
        <f>N28</f>
        <v>7.6404491523083591</v>
      </c>
      <c r="T28" s="249">
        <f t="shared" si="9"/>
        <v>0</v>
      </c>
      <c r="U28" s="249">
        <f>((G28*E28*$C$95)*(References!$C$54/References!$G$60))-L28</f>
        <v>0</v>
      </c>
    </row>
    <row r="29" spans="1:21" s="67" customFormat="1">
      <c r="A29" s="286"/>
      <c r="B29" s="85">
        <v>21</v>
      </c>
      <c r="C29" s="79" t="s">
        <v>25</v>
      </c>
      <c r="D29" s="80">
        <v>2</v>
      </c>
      <c r="E29" s="81">
        <f>References!$B$12</f>
        <v>1</v>
      </c>
      <c r="F29" s="80">
        <f t="shared" si="2"/>
        <v>24</v>
      </c>
      <c r="G29" s="175">
        <f>References!B26</f>
        <v>50.133333333333333</v>
      </c>
      <c r="H29" s="80">
        <f t="shared" si="3"/>
        <v>1203.2</v>
      </c>
      <c r="I29" s="82">
        <f>$C$95*H29</f>
        <v>930.69283392951991</v>
      </c>
      <c r="J29" s="83">
        <f>References!$C$54*'DF Calc (Kitsap Co.)'!I29</f>
        <v>1.8613856678590415</v>
      </c>
      <c r="K29" s="83">
        <f>J29/References!$G$60</f>
        <v>1.8979690207336832</v>
      </c>
      <c r="L29" s="83">
        <f t="shared" si="4"/>
        <v>7.9082042530570135E-2</v>
      </c>
      <c r="M29" s="84">
        <f>'Prop. Rates'!B36</f>
        <v>8.9</v>
      </c>
      <c r="N29" s="83">
        <f t="shared" si="5"/>
        <v>8.9790820425305711</v>
      </c>
      <c r="O29" s="84">
        <f>'Prop. Rates'!D36</f>
        <v>8.9790820425305711</v>
      </c>
      <c r="P29" s="83">
        <f t="shared" si="6"/>
        <v>213.60000000000002</v>
      </c>
      <c r="Q29" s="83">
        <f t="shared" si="7"/>
        <v>215.49796902073371</v>
      </c>
      <c r="R29" s="83">
        <f t="shared" si="8"/>
        <v>1.897969020733683</v>
      </c>
      <c r="S29" s="166">
        <f>N29</f>
        <v>8.9790820425305711</v>
      </c>
      <c r="T29" s="249">
        <f t="shared" si="9"/>
        <v>0</v>
      </c>
      <c r="U29" s="249">
        <f>((G29*E29*$C$95)*(References!$C$54/References!$G$60))-L29</f>
        <v>0</v>
      </c>
    </row>
    <row r="30" spans="1:21" s="67" customFormat="1">
      <c r="A30" s="286"/>
      <c r="B30" s="85">
        <v>21</v>
      </c>
      <c r="C30" s="79" t="s">
        <v>26</v>
      </c>
      <c r="D30" s="80">
        <v>1</v>
      </c>
      <c r="E30" s="81">
        <f>References!$B$12</f>
        <v>1</v>
      </c>
      <c r="F30" s="80">
        <f t="shared" si="2"/>
        <v>12</v>
      </c>
      <c r="G30" s="175">
        <f>References!B27</f>
        <v>71.022222222222226</v>
      </c>
      <c r="H30" s="80">
        <f t="shared" si="3"/>
        <v>852.26666666666665</v>
      </c>
      <c r="I30" s="82">
        <f>$C$95*H30</f>
        <v>659.2407573667432</v>
      </c>
      <c r="J30" s="83">
        <f>References!$C$54*'DF Calc (Kitsap Co.)'!I30</f>
        <v>1.3184815147334876</v>
      </c>
      <c r="K30" s="83">
        <f>J30/References!$G$60</f>
        <v>1.3443947230196922</v>
      </c>
      <c r="L30" s="83">
        <f t="shared" si="4"/>
        <v>0.11203289358497436</v>
      </c>
      <c r="M30" s="84">
        <f>'Prop. Rates'!B37</f>
        <v>10.87</v>
      </c>
      <c r="N30" s="83">
        <f t="shared" si="5"/>
        <v>10.982032893584973</v>
      </c>
      <c r="O30" s="84">
        <f>'Prop. Rates'!D37</f>
        <v>10.982032893584973</v>
      </c>
      <c r="P30" s="83">
        <f t="shared" si="6"/>
        <v>130.44</v>
      </c>
      <c r="Q30" s="83">
        <f t="shared" si="7"/>
        <v>131.78439472301969</v>
      </c>
      <c r="R30" s="83">
        <f t="shared" si="8"/>
        <v>1.3443947230196898</v>
      </c>
      <c r="S30" s="166">
        <f>N30</f>
        <v>10.982032893584973</v>
      </c>
      <c r="T30" s="249">
        <f t="shared" si="9"/>
        <v>0</v>
      </c>
      <c r="U30" s="249">
        <f>((G30*E30*$C$95)*(References!$C$54/References!$G$60))-L30</f>
        <v>0</v>
      </c>
    </row>
    <row r="31" spans="1:21" s="67" customFormat="1">
      <c r="A31" s="286"/>
      <c r="B31" s="85"/>
      <c r="C31" s="79"/>
      <c r="D31" s="80"/>
      <c r="E31" s="81"/>
      <c r="F31" s="80"/>
      <c r="G31" s="175"/>
      <c r="H31" s="80"/>
      <c r="I31" s="82"/>
      <c r="J31" s="83"/>
      <c r="K31" s="83"/>
      <c r="L31" s="83"/>
      <c r="M31" s="84"/>
      <c r="N31" s="83"/>
      <c r="O31" s="84"/>
      <c r="P31" s="83"/>
      <c r="Q31" s="83"/>
      <c r="R31" s="83"/>
      <c r="S31" s="166"/>
      <c r="T31" s="249">
        <f t="shared" si="9"/>
        <v>0</v>
      </c>
    </row>
    <row r="32" spans="1:21" s="67" customFormat="1">
      <c r="A32" s="286"/>
      <c r="B32" s="85">
        <v>22</v>
      </c>
      <c r="C32" s="142" t="s">
        <v>27</v>
      </c>
      <c r="D32" s="80">
        <v>70</v>
      </c>
      <c r="E32" s="81">
        <f>References!$B$12</f>
        <v>1</v>
      </c>
      <c r="F32" s="80">
        <f t="shared" si="2"/>
        <v>840</v>
      </c>
      <c r="G32" s="175">
        <f>References!B17</f>
        <v>34</v>
      </c>
      <c r="H32" s="80">
        <f t="shared" si="3"/>
        <v>28560</v>
      </c>
      <c r="I32" s="82">
        <f>$C$95*H32</f>
        <v>22091.578571332353</v>
      </c>
      <c r="J32" s="83">
        <f>References!$C$54*'DF Calc (Kitsap Co.)'!I32</f>
        <v>44.183157142664747</v>
      </c>
      <c r="K32" s="83">
        <f>J32/References!$G$60</f>
        <v>45.051525292681177</v>
      </c>
      <c r="L32" s="83">
        <f>K32/F32</f>
        <v>5.3632768205572827E-2</v>
      </c>
      <c r="M32" s="84">
        <f>'Prop. Rates'!B42</f>
        <v>4.68</v>
      </c>
      <c r="N32" s="83">
        <f t="shared" si="5"/>
        <v>4.7336327682055721</v>
      </c>
      <c r="O32" s="84">
        <f>'Prop. Rates'!D42</f>
        <v>4.7336327682055721</v>
      </c>
      <c r="P32" s="83">
        <f>F32*M32</f>
        <v>3931.2</v>
      </c>
      <c r="Q32" s="83">
        <f>F32*O32</f>
        <v>3976.2515252926805</v>
      </c>
      <c r="R32" s="83">
        <f t="shared" si="8"/>
        <v>45.051525292680708</v>
      </c>
      <c r="S32" s="166">
        <f>N32</f>
        <v>4.7336327682055721</v>
      </c>
      <c r="T32" s="249">
        <f t="shared" si="9"/>
        <v>0</v>
      </c>
      <c r="U32" s="249">
        <f>((G32*E32*$C$95)*(References!$C$54/References!$G$60))-L32</f>
        <v>0</v>
      </c>
    </row>
    <row r="33" spans="1:21" s="67" customFormat="1">
      <c r="A33" s="286"/>
      <c r="B33" s="85">
        <v>22</v>
      </c>
      <c r="C33" s="142" t="s">
        <v>28</v>
      </c>
      <c r="D33" s="80">
        <v>2</v>
      </c>
      <c r="E33" s="81">
        <f>References!$B$12</f>
        <v>1</v>
      </c>
      <c r="F33" s="80">
        <f t="shared" si="2"/>
        <v>24</v>
      </c>
      <c r="G33" s="176">
        <f>References!B23</f>
        <v>37.1875</v>
      </c>
      <c r="H33" s="80">
        <f t="shared" si="3"/>
        <v>892.5</v>
      </c>
      <c r="I33" s="82">
        <f>$C$95*H33</f>
        <v>690.36183035413603</v>
      </c>
      <c r="J33" s="83">
        <f>References!$C$54*'DF Calc (Kitsap Co.)'!I33</f>
        <v>1.3807236607082733</v>
      </c>
      <c r="K33" s="83">
        <f>J33/References!$G$60</f>
        <v>1.4078601653962868</v>
      </c>
      <c r="L33" s="83">
        <f t="shared" ref="L33:L39" si="10">K33/F33</f>
        <v>5.866084022484528E-2</v>
      </c>
      <c r="M33" s="84">
        <f>'Prop. Rates'!B44</f>
        <v>6.04</v>
      </c>
      <c r="N33" s="83">
        <f t="shared" si="5"/>
        <v>6.098660840224845</v>
      </c>
      <c r="O33" s="84">
        <f>'Prop. Rates'!D44</f>
        <v>6.098660840224845</v>
      </c>
      <c r="P33" s="83">
        <f t="shared" ref="P33:P39" si="11">F33*M33</f>
        <v>144.96</v>
      </c>
      <c r="Q33" s="83">
        <f t="shared" ref="Q33:Q39" si="12">F33*O33</f>
        <v>146.36786016539628</v>
      </c>
      <c r="R33" s="83">
        <f t="shared" si="8"/>
        <v>1.4078601653962721</v>
      </c>
      <c r="S33" s="166">
        <f>N33</f>
        <v>6.098660840224845</v>
      </c>
      <c r="T33" s="249">
        <f t="shared" si="9"/>
        <v>0</v>
      </c>
      <c r="U33" s="249">
        <f>((G33*E33*$C$95)*(References!$C$54/References!$G$60))-L33</f>
        <v>0</v>
      </c>
    </row>
    <row r="34" spans="1:21" s="67" customFormat="1">
      <c r="A34" s="286"/>
      <c r="B34" s="85">
        <v>22</v>
      </c>
      <c r="C34" s="142" t="s">
        <v>29</v>
      </c>
      <c r="D34" s="80">
        <v>3</v>
      </c>
      <c r="E34" s="81">
        <f>References!$B$12</f>
        <v>1</v>
      </c>
      <c r="F34" s="80">
        <f t="shared" si="2"/>
        <v>36</v>
      </c>
      <c r="G34" s="176">
        <f>References!$B$25</f>
        <v>51</v>
      </c>
      <c r="H34" s="80">
        <f t="shared" si="3"/>
        <v>1836</v>
      </c>
      <c r="I34" s="82">
        <f>$C$95*H34</f>
        <v>1420.1729081570797</v>
      </c>
      <c r="J34" s="83">
        <f>References!$C$54*'DF Calc (Kitsap Co.)'!I34</f>
        <v>2.8403458163141622</v>
      </c>
      <c r="K34" s="83">
        <f>J34/References!$G$60</f>
        <v>2.8961694831009326</v>
      </c>
      <c r="L34" s="83">
        <f t="shared" si="10"/>
        <v>8.0449152308359237E-2</v>
      </c>
      <c r="M34" s="84">
        <f>'Prop. Rates'!B45</f>
        <v>7.56</v>
      </c>
      <c r="N34" s="83">
        <f t="shared" si="5"/>
        <v>7.6404491523083591</v>
      </c>
      <c r="O34" s="84">
        <f>'Prop. Rates'!D45</f>
        <v>7.6404491523083591</v>
      </c>
      <c r="P34" s="83">
        <f t="shared" si="11"/>
        <v>272.15999999999997</v>
      </c>
      <c r="Q34" s="83">
        <f t="shared" si="12"/>
        <v>275.05616948310092</v>
      </c>
      <c r="R34" s="83">
        <f t="shared" si="8"/>
        <v>2.8961694831009481</v>
      </c>
      <c r="S34" s="166">
        <f>N34</f>
        <v>7.6404491523083591</v>
      </c>
      <c r="T34" s="249">
        <f t="shared" si="9"/>
        <v>0</v>
      </c>
      <c r="U34" s="249">
        <f>((G34*E34*$C$95)*(References!$C$54/References!$G$60))-L34</f>
        <v>0</v>
      </c>
    </row>
    <row r="35" spans="1:21" s="67" customFormat="1">
      <c r="A35" s="286"/>
      <c r="B35" s="85">
        <v>22</v>
      </c>
      <c r="C35" s="142" t="s">
        <v>30</v>
      </c>
      <c r="D35" s="80"/>
      <c r="E35" s="81">
        <f>References!$B$12</f>
        <v>1</v>
      </c>
      <c r="F35" s="80">
        <v>12</v>
      </c>
      <c r="G35" s="175">
        <f>References!B26</f>
        <v>50.133333333333333</v>
      </c>
      <c r="H35" s="80">
        <f t="shared" si="3"/>
        <v>601.6</v>
      </c>
      <c r="I35" s="82">
        <f>$C$95*H35</f>
        <v>465.34641696475995</v>
      </c>
      <c r="J35" s="83">
        <f>References!$C$54*'DF Calc (Kitsap Co.)'!I35</f>
        <v>0.93069283392952074</v>
      </c>
      <c r="K35" s="83">
        <f>J35/References!$G$60</f>
        <v>0.94898451036684162</v>
      </c>
      <c r="L35" s="83">
        <f t="shared" si="10"/>
        <v>7.9082042530570135E-2</v>
      </c>
      <c r="M35" s="84">
        <f>'Prop. Rates'!B46</f>
        <v>8.9</v>
      </c>
      <c r="N35" s="83">
        <f t="shared" si="5"/>
        <v>8.9790820425305711</v>
      </c>
      <c r="O35" s="84">
        <f>'Prop. Rates'!D46</f>
        <v>8.9790820425305711</v>
      </c>
      <c r="P35" s="83">
        <f t="shared" si="11"/>
        <v>106.80000000000001</v>
      </c>
      <c r="Q35" s="83">
        <f t="shared" si="12"/>
        <v>107.74898451036685</v>
      </c>
      <c r="R35" s="83">
        <f t="shared" si="8"/>
        <v>0.9489845103668415</v>
      </c>
      <c r="S35" s="166">
        <f>N35</f>
        <v>8.9790820425305711</v>
      </c>
      <c r="T35" s="249">
        <f t="shared" si="9"/>
        <v>0</v>
      </c>
      <c r="U35" s="249">
        <f>((G35*E35*$C$95)*(References!$C$54/References!$G$60))-L35</f>
        <v>0</v>
      </c>
    </row>
    <row r="36" spans="1:21" s="67" customFormat="1">
      <c r="A36" s="286"/>
      <c r="B36" s="85">
        <v>22</v>
      </c>
      <c r="C36" s="142" t="s">
        <v>31</v>
      </c>
      <c r="D36" s="80"/>
      <c r="E36" s="81">
        <f>References!$B$12</f>
        <v>1</v>
      </c>
      <c r="F36" s="80">
        <v>12</v>
      </c>
      <c r="G36" s="175">
        <f>References!B27</f>
        <v>71.022222222222226</v>
      </c>
      <c r="H36" s="80">
        <f t="shared" si="3"/>
        <v>852.26666666666665</v>
      </c>
      <c r="I36" s="82">
        <f>$C$95*H36</f>
        <v>659.2407573667432</v>
      </c>
      <c r="J36" s="83">
        <f>References!$C$54*'DF Calc (Kitsap Co.)'!I36</f>
        <v>1.3184815147334876</v>
      </c>
      <c r="K36" s="83">
        <f>J36/References!$G$60</f>
        <v>1.3443947230196922</v>
      </c>
      <c r="L36" s="83">
        <f t="shared" si="10"/>
        <v>0.11203289358497436</v>
      </c>
      <c r="M36" s="84">
        <f>'Prop. Rates'!B47</f>
        <v>10.87</v>
      </c>
      <c r="N36" s="83">
        <f t="shared" si="5"/>
        <v>10.982032893584973</v>
      </c>
      <c r="O36" s="84">
        <f>'Prop. Rates'!D47</f>
        <v>10.982032893584973</v>
      </c>
      <c r="P36" s="83">
        <f t="shared" si="11"/>
        <v>130.44</v>
      </c>
      <c r="Q36" s="83">
        <f t="shared" si="12"/>
        <v>131.78439472301969</v>
      </c>
      <c r="R36" s="83">
        <f t="shared" si="8"/>
        <v>1.3443947230196898</v>
      </c>
      <c r="S36" s="166">
        <f>N36</f>
        <v>10.982032893584973</v>
      </c>
      <c r="T36" s="249">
        <f t="shared" si="9"/>
        <v>0</v>
      </c>
      <c r="U36" s="249">
        <f>((G36*E36*$C$95)*(References!$C$54/References!$G$60))-L36</f>
        <v>0</v>
      </c>
    </row>
    <row r="37" spans="1:21" s="67" customFormat="1">
      <c r="A37" s="286"/>
      <c r="B37" s="85"/>
      <c r="C37" s="142"/>
      <c r="D37" s="80"/>
      <c r="E37" s="81"/>
      <c r="F37" s="80"/>
      <c r="G37" s="175"/>
      <c r="H37" s="80"/>
      <c r="I37" s="82"/>
      <c r="J37" s="83"/>
      <c r="K37" s="83"/>
      <c r="L37" s="83"/>
      <c r="M37" s="84"/>
      <c r="N37" s="83"/>
      <c r="O37" s="84"/>
      <c r="P37" s="83"/>
      <c r="Q37" s="83"/>
      <c r="R37" s="83"/>
      <c r="S37" s="166"/>
      <c r="T37" s="249">
        <f t="shared" si="9"/>
        <v>0</v>
      </c>
    </row>
    <row r="38" spans="1:21" s="67" customFormat="1">
      <c r="A38" s="286"/>
      <c r="B38" s="85">
        <v>22</v>
      </c>
      <c r="C38" s="142" t="s">
        <v>33</v>
      </c>
      <c r="D38" s="80">
        <v>299</v>
      </c>
      <c r="E38" s="81">
        <f>References!$B$12</f>
        <v>1</v>
      </c>
      <c r="F38" s="80">
        <f t="shared" si="2"/>
        <v>3588</v>
      </c>
      <c r="G38" s="175">
        <f>References!B29</f>
        <v>34</v>
      </c>
      <c r="H38" s="80">
        <f t="shared" si="3"/>
        <v>121992</v>
      </c>
      <c r="I38" s="82">
        <f>$C$95*H38</f>
        <v>94362.599897548193</v>
      </c>
      <c r="J38" s="83">
        <f>References!$C$54*'DF Calc (Kitsap Co.)'!I38</f>
        <v>188.72519979509656</v>
      </c>
      <c r="K38" s="83">
        <f>J38/References!$G$60</f>
        <v>192.4343723215953</v>
      </c>
      <c r="L38" s="83">
        <f t="shared" si="10"/>
        <v>5.3632768205572827E-2</v>
      </c>
      <c r="M38" s="84">
        <f>'Prop. Rates'!B41</f>
        <v>4.1399999999999997</v>
      </c>
      <c r="N38" s="83">
        <f t="shared" si="5"/>
        <v>4.1936327682055721</v>
      </c>
      <c r="O38" s="84">
        <f>'Prop. Rates'!D41</f>
        <v>4.1936327682055721</v>
      </c>
      <c r="P38" s="83">
        <f t="shared" si="11"/>
        <v>14854.32</v>
      </c>
      <c r="Q38" s="83">
        <f t="shared" si="12"/>
        <v>15046.754372321593</v>
      </c>
      <c r="R38" s="83">
        <f t="shared" si="8"/>
        <v>192.4343723215934</v>
      </c>
      <c r="S38" s="166">
        <f>N38</f>
        <v>4.1936327682055721</v>
      </c>
      <c r="T38" s="249">
        <f t="shared" si="9"/>
        <v>0</v>
      </c>
      <c r="U38" s="249">
        <f>((G38*E38*$C$95)*(References!$C$54/References!$G$60))-L38</f>
        <v>0</v>
      </c>
    </row>
    <row r="39" spans="1:21" s="67" customFormat="1">
      <c r="A39" s="286"/>
      <c r="B39" s="85">
        <v>22</v>
      </c>
      <c r="C39" s="142" t="s">
        <v>34</v>
      </c>
      <c r="D39" s="80">
        <v>22</v>
      </c>
      <c r="E39" s="81">
        <f>References!$B$12</f>
        <v>1</v>
      </c>
      <c r="F39" s="80">
        <f t="shared" si="2"/>
        <v>264</v>
      </c>
      <c r="G39" s="175">
        <f>References!B29</f>
        <v>34</v>
      </c>
      <c r="H39" s="80">
        <f t="shared" si="3"/>
        <v>8976</v>
      </c>
      <c r="I39" s="82">
        <f>$C$95*H39</f>
        <v>6943.0675509901685</v>
      </c>
      <c r="J39" s="83">
        <f>References!$C$54*'DF Calc (Kitsap Co.)'!I39</f>
        <v>13.886135101980349</v>
      </c>
      <c r="K39" s="83">
        <f>J39/References!$G$60</f>
        <v>14.159050806271228</v>
      </c>
      <c r="L39" s="83">
        <f t="shared" si="10"/>
        <v>5.3632768205572834E-2</v>
      </c>
      <c r="M39" s="84">
        <f>'Prop. Rates'!B42</f>
        <v>4.68</v>
      </c>
      <c r="N39" s="83">
        <f t="shared" si="5"/>
        <v>4.7336327682055721</v>
      </c>
      <c r="O39" s="84">
        <f>'Prop. Rates'!D42</f>
        <v>4.7336327682055721</v>
      </c>
      <c r="P39" s="83">
        <f t="shared" si="11"/>
        <v>1235.52</v>
      </c>
      <c r="Q39" s="83">
        <f t="shared" si="12"/>
        <v>1249.6790508062711</v>
      </c>
      <c r="R39" s="83">
        <f t="shared" si="8"/>
        <v>14.159050806271125</v>
      </c>
      <c r="S39" s="166">
        <f>N39</f>
        <v>4.7336327682055721</v>
      </c>
      <c r="T39" s="249">
        <f t="shared" si="9"/>
        <v>0</v>
      </c>
      <c r="U39" s="249">
        <f>((G39*E39*$C$95)*(References!$C$54/References!$G$60))-L39</f>
        <v>0</v>
      </c>
    </row>
    <row r="40" spans="1:21" s="67" customFormat="1">
      <c r="A40" s="286"/>
      <c r="B40" s="85"/>
      <c r="C40" s="78"/>
      <c r="D40" s="86"/>
      <c r="E40" s="81"/>
      <c r="F40" s="80"/>
      <c r="G40" s="176"/>
      <c r="H40" s="80"/>
      <c r="I40" s="82"/>
      <c r="J40" s="83"/>
      <c r="K40" s="83"/>
      <c r="L40" s="83"/>
      <c r="M40" s="87"/>
      <c r="N40" s="83"/>
      <c r="O40" s="83"/>
      <c r="P40" s="83"/>
      <c r="Q40" s="83"/>
      <c r="R40" s="83"/>
      <c r="S40" s="166"/>
    </row>
    <row r="41" spans="1:21" s="67" customFormat="1">
      <c r="A41" s="149"/>
      <c r="B41" s="150"/>
      <c r="C41" s="151" t="s">
        <v>36</v>
      </c>
      <c r="D41" s="152">
        <f>SUM(D6:D40)</f>
        <v>1959</v>
      </c>
      <c r="E41" s="153"/>
      <c r="F41" s="154">
        <f>SUM(F6:F40)</f>
        <v>74834</v>
      </c>
      <c r="G41" s="177"/>
      <c r="H41" s="155">
        <f>SUM(H6:H40)</f>
        <v>3064493.6805555555</v>
      </c>
      <c r="I41" s="156">
        <f>SUM(I6:I40)</f>
        <v>2370430.7746969368</v>
      </c>
      <c r="J41" s="157"/>
      <c r="K41" s="157"/>
      <c r="L41" s="157"/>
      <c r="M41" s="157"/>
      <c r="N41" s="157"/>
      <c r="O41" s="157"/>
      <c r="P41" s="158">
        <f>SUM(P6:P40)</f>
        <v>313183.8</v>
      </c>
      <c r="Q41" s="158">
        <f>SUM(Q6:Q40)</f>
        <v>318016.87223478057</v>
      </c>
      <c r="R41" s="158">
        <f>SUM(R6:R40)</f>
        <v>4833.0722347804867</v>
      </c>
      <c r="S41" s="158"/>
    </row>
    <row r="42" spans="1:21" s="67" customFormat="1" ht="15" customHeight="1">
      <c r="A42" s="287" t="s">
        <v>176</v>
      </c>
      <c r="B42" s="85"/>
      <c r="C42" s="88" t="s">
        <v>38</v>
      </c>
      <c r="D42" s="80">
        <v>82</v>
      </c>
      <c r="E42" s="81">
        <f>References!$B$12</f>
        <v>1</v>
      </c>
      <c r="F42" s="80">
        <f t="shared" ref="F42:F47" si="13">D42*E42*12</f>
        <v>984</v>
      </c>
      <c r="G42" s="176">
        <f>References!B31</f>
        <v>29</v>
      </c>
      <c r="H42" s="90">
        <f t="shared" ref="H42:H47" si="14">F42*G42</f>
        <v>28536</v>
      </c>
      <c r="I42" s="82">
        <f t="shared" ref="I42:I47" si="15">$C$95*H42</f>
        <v>22073.014219591736</v>
      </c>
      <c r="J42" s="83">
        <f>References!$C$54*'DF Calc (Kitsap Co.)'!I42</f>
        <v>44.14602843918351</v>
      </c>
      <c r="K42" s="83">
        <f>J42/References!$G$60</f>
        <v>45.013666868065471</v>
      </c>
      <c r="L42" s="83">
        <f t="shared" ref="L42:L47" si="16">K42/F42</f>
        <v>4.5745596410635643E-2</v>
      </c>
      <c r="M42" s="83">
        <f>'Prop. Rates'!B101</f>
        <v>4.3899999999999997</v>
      </c>
      <c r="N42" s="83">
        <f t="shared" ref="N42:N47" si="17">L42+M42</f>
        <v>4.4357455964106354</v>
      </c>
      <c r="O42" s="91">
        <f>'Prop. Rates'!D101</f>
        <v>4.4357455964106354</v>
      </c>
      <c r="P42" s="83">
        <f t="shared" ref="P42:P47" si="18">F42*M42</f>
        <v>4319.7599999999993</v>
      </c>
      <c r="Q42" s="83">
        <f t="shared" ref="Q42:Q47" si="19">F42*O42</f>
        <v>4364.7736668680654</v>
      </c>
      <c r="R42" s="83">
        <f t="shared" ref="R42:R47" si="20">Q42-P42</f>
        <v>45.013666868066139</v>
      </c>
      <c r="S42" s="166">
        <f t="shared" ref="S42:S47" si="21">N42</f>
        <v>4.4357455964106354</v>
      </c>
      <c r="T42" s="249">
        <f t="shared" ref="T42:T47" si="22">+O42-S42</f>
        <v>0</v>
      </c>
      <c r="U42" s="249">
        <f>((G42*E42*$C$95)*(References!$C$54/References!$G$60))-L42</f>
        <v>0</v>
      </c>
    </row>
    <row r="43" spans="1:21" s="67" customFormat="1" ht="15" customHeight="1">
      <c r="A43" s="286"/>
      <c r="B43" s="85"/>
      <c r="C43" s="88" t="s">
        <v>40</v>
      </c>
      <c r="D43" s="80">
        <v>41</v>
      </c>
      <c r="E43" s="81">
        <f>References!$B$10</f>
        <v>4.333333333333333</v>
      </c>
      <c r="F43" s="80">
        <f t="shared" si="13"/>
        <v>2132</v>
      </c>
      <c r="G43" s="176">
        <f>References!B33</f>
        <v>250</v>
      </c>
      <c r="H43" s="90">
        <f t="shared" si="14"/>
        <v>533000</v>
      </c>
      <c r="I43" s="82">
        <f t="shared" si="15"/>
        <v>412283.31157283415</v>
      </c>
      <c r="J43" s="83">
        <f>References!$C$54*'DF Calc (Kitsap Co.)'!I43</f>
        <v>824.56662314566904</v>
      </c>
      <c r="K43" s="83">
        <f>J43/References!$G$60</f>
        <v>840.77251334030348</v>
      </c>
      <c r="L43" s="83">
        <f t="shared" si="16"/>
        <v>0.39435858974685906</v>
      </c>
      <c r="M43" s="83">
        <f>'Prop. Rates'!B83</f>
        <v>16.55</v>
      </c>
      <c r="N43" s="83">
        <f t="shared" si="17"/>
        <v>16.944358589746859</v>
      </c>
      <c r="O43" s="91">
        <f>'Prop. Rates'!D83</f>
        <v>16.944358589746859</v>
      </c>
      <c r="P43" s="83">
        <f t="shared" si="18"/>
        <v>35284.6</v>
      </c>
      <c r="Q43" s="83">
        <f t="shared" si="19"/>
        <v>36125.372513340306</v>
      </c>
      <c r="R43" s="83">
        <f t="shared" si="20"/>
        <v>840.77251334030734</v>
      </c>
      <c r="S43" s="166">
        <f t="shared" si="21"/>
        <v>16.944358589746859</v>
      </c>
      <c r="T43" s="249">
        <f t="shared" si="22"/>
        <v>0</v>
      </c>
      <c r="U43" s="249">
        <f>((G43*$C$95)*(References!$C$54/References!$G$60))-L43</f>
        <v>0</v>
      </c>
    </row>
    <row r="44" spans="1:21" s="67" customFormat="1" ht="15" customHeight="1">
      <c r="A44" s="286"/>
      <c r="B44" s="85"/>
      <c r="C44" s="88" t="s">
        <v>41</v>
      </c>
      <c r="D44" s="80">
        <v>133</v>
      </c>
      <c r="E44" s="81">
        <f>References!$B$10</f>
        <v>4.333333333333333</v>
      </c>
      <c r="F44" s="80">
        <f t="shared" si="13"/>
        <v>6915.9999999999991</v>
      </c>
      <c r="G44" s="176">
        <f>References!B34</f>
        <v>324</v>
      </c>
      <c r="H44" s="90">
        <f t="shared" si="14"/>
        <v>2240783.9999999995</v>
      </c>
      <c r="I44" s="82">
        <f t="shared" si="15"/>
        <v>1733279.2646142992</v>
      </c>
      <c r="J44" s="83">
        <f>References!$C$54*'DF Calc (Kitsap Co.)'!I44</f>
        <v>3466.5585292286014</v>
      </c>
      <c r="K44" s="83">
        <f>J44/References!$G$60</f>
        <v>3534.6896726693021</v>
      </c>
      <c r="L44" s="83">
        <f t="shared" si="16"/>
        <v>0.51108873231192919</v>
      </c>
      <c r="M44" s="83">
        <f>'Prop. Rates'!B84</f>
        <v>21.67</v>
      </c>
      <c r="N44" s="83">
        <f t="shared" si="17"/>
        <v>22.181088732311931</v>
      </c>
      <c r="O44" s="91">
        <f>'Prop. Rates'!D84</f>
        <v>22.181088732311931</v>
      </c>
      <c r="P44" s="83">
        <f t="shared" si="18"/>
        <v>149869.72</v>
      </c>
      <c r="Q44" s="83">
        <f t="shared" si="19"/>
        <v>153404.40967266928</v>
      </c>
      <c r="R44" s="83">
        <f t="shared" si="20"/>
        <v>3534.6896726692794</v>
      </c>
      <c r="S44" s="166">
        <f t="shared" si="21"/>
        <v>22.181088732311931</v>
      </c>
      <c r="T44" s="249">
        <f t="shared" si="22"/>
        <v>0</v>
      </c>
      <c r="U44" s="249">
        <f>((G44*$C$95)*(References!$C$54/References!$G$60))-L44</f>
        <v>0</v>
      </c>
    </row>
    <row r="45" spans="1:21" s="67" customFormat="1" ht="15" customHeight="1">
      <c r="A45" s="286"/>
      <c r="B45" s="85"/>
      <c r="C45" s="88" t="s">
        <v>42</v>
      </c>
      <c r="D45" s="80">
        <v>2</v>
      </c>
      <c r="E45" s="81">
        <f>References!$B$11</f>
        <v>2.1666666666666665</v>
      </c>
      <c r="F45" s="80">
        <f t="shared" si="13"/>
        <v>52</v>
      </c>
      <c r="G45" s="176">
        <f>References!B32</f>
        <v>175</v>
      </c>
      <c r="H45" s="90">
        <f t="shared" si="14"/>
        <v>9100</v>
      </c>
      <c r="I45" s="82">
        <f t="shared" si="15"/>
        <v>7038.9833683166808</v>
      </c>
      <c r="J45" s="83">
        <f>References!$C$54*'DF Calc (Kitsap Co.)'!I45</f>
        <v>14.077966736633375</v>
      </c>
      <c r="K45" s="83">
        <f>J45/References!$G$60</f>
        <v>14.35465266678567</v>
      </c>
      <c r="L45" s="83">
        <f t="shared" si="16"/>
        <v>0.27605101282280137</v>
      </c>
      <c r="M45" s="83">
        <f>'Prop. Rates'!B82</f>
        <v>15.34</v>
      </c>
      <c r="N45" s="83">
        <f t="shared" si="17"/>
        <v>15.616051012822801</v>
      </c>
      <c r="O45" s="91">
        <f>N45</f>
        <v>15.616051012822801</v>
      </c>
      <c r="P45" s="83">
        <f t="shared" si="18"/>
        <v>797.68</v>
      </c>
      <c r="Q45" s="83">
        <f t="shared" si="19"/>
        <v>812.03465266678563</v>
      </c>
      <c r="R45" s="83">
        <f t="shared" si="20"/>
        <v>14.354652666785682</v>
      </c>
      <c r="S45" s="166">
        <f t="shared" si="21"/>
        <v>15.616051012822801</v>
      </c>
      <c r="T45" s="249">
        <f t="shared" si="22"/>
        <v>0</v>
      </c>
      <c r="U45" s="249">
        <f>((G45*$C$95)*(References!$C$54/References!$G$60))-L45</f>
        <v>0</v>
      </c>
    </row>
    <row r="46" spans="1:21" s="67" customFormat="1" ht="15" customHeight="1">
      <c r="A46" s="286"/>
      <c r="B46" s="85"/>
      <c r="C46" s="88" t="s">
        <v>43</v>
      </c>
      <c r="D46" s="80">
        <v>60</v>
      </c>
      <c r="E46" s="81">
        <f>References!$B$11</f>
        <v>2.1666666666666665</v>
      </c>
      <c r="F46" s="80">
        <f t="shared" si="13"/>
        <v>1560</v>
      </c>
      <c r="G46" s="176">
        <f>References!B33</f>
        <v>250</v>
      </c>
      <c r="H46" s="90">
        <f t="shared" si="14"/>
        <v>390000</v>
      </c>
      <c r="I46" s="82">
        <f t="shared" si="15"/>
        <v>301670.71578500059</v>
      </c>
      <c r="J46" s="83">
        <f>References!$C$54*'DF Calc (Kitsap Co.)'!I46</f>
        <v>603.34143157000176</v>
      </c>
      <c r="K46" s="83">
        <f>J46/References!$G$60</f>
        <v>615.19940000510007</v>
      </c>
      <c r="L46" s="83">
        <f t="shared" si="16"/>
        <v>0.394358589746859</v>
      </c>
      <c r="M46" s="83">
        <f>'Prop. Rates'!B83</f>
        <v>16.55</v>
      </c>
      <c r="N46" s="83">
        <f t="shared" si="17"/>
        <v>16.944358589746859</v>
      </c>
      <c r="O46" s="91">
        <f>N46</f>
        <v>16.944358589746859</v>
      </c>
      <c r="P46" s="83">
        <f t="shared" si="18"/>
        <v>25818</v>
      </c>
      <c r="Q46" s="83">
        <f t="shared" si="19"/>
        <v>26433.199400005098</v>
      </c>
      <c r="R46" s="83">
        <f t="shared" si="20"/>
        <v>615.19940000509814</v>
      </c>
      <c r="S46" s="166">
        <f t="shared" si="21"/>
        <v>16.944358589746859</v>
      </c>
      <c r="T46" s="249">
        <f t="shared" si="22"/>
        <v>0</v>
      </c>
      <c r="U46" s="249">
        <f>((G46*$C$95)*(References!$C$54/References!$G$60))-L46</f>
        <v>0</v>
      </c>
    </row>
    <row r="47" spans="1:21" s="67" customFormat="1" ht="15" customHeight="1">
      <c r="A47" s="286"/>
      <c r="B47" s="85"/>
      <c r="C47" s="88" t="s">
        <v>44</v>
      </c>
      <c r="D47" s="80">
        <v>45</v>
      </c>
      <c r="E47" s="81">
        <f>References!$B$11</f>
        <v>2.1666666666666665</v>
      </c>
      <c r="F47" s="80">
        <f t="shared" si="13"/>
        <v>1170</v>
      </c>
      <c r="G47" s="176">
        <f>References!B34</f>
        <v>324</v>
      </c>
      <c r="H47" s="90">
        <f t="shared" si="14"/>
        <v>379080</v>
      </c>
      <c r="I47" s="82">
        <f t="shared" si="15"/>
        <v>293223.93574302061</v>
      </c>
      <c r="J47" s="83">
        <f>References!$C$54*'DF Calc (Kitsap Co.)'!I47</f>
        <v>586.44787148604178</v>
      </c>
      <c r="K47" s="83">
        <f>J47/References!$G$60</f>
        <v>597.97381680495732</v>
      </c>
      <c r="L47" s="83">
        <f t="shared" si="16"/>
        <v>0.51108873231192931</v>
      </c>
      <c r="M47" s="83">
        <f>'Prop. Rates'!B84</f>
        <v>21.67</v>
      </c>
      <c r="N47" s="83">
        <f t="shared" si="17"/>
        <v>22.181088732311931</v>
      </c>
      <c r="O47" s="91">
        <f>N47</f>
        <v>22.181088732311931</v>
      </c>
      <c r="P47" s="83">
        <f t="shared" si="18"/>
        <v>25353.9</v>
      </c>
      <c r="Q47" s="83">
        <f t="shared" si="19"/>
        <v>25951.87381680496</v>
      </c>
      <c r="R47" s="83">
        <f t="shared" si="20"/>
        <v>597.97381680495891</v>
      </c>
      <c r="S47" s="166">
        <f t="shared" si="21"/>
        <v>22.181088732311931</v>
      </c>
      <c r="T47" s="249">
        <f t="shared" si="22"/>
        <v>0</v>
      </c>
      <c r="U47" s="249">
        <f>((G47*$C$95)*(References!$C$54/References!$G$60))-L47</f>
        <v>0</v>
      </c>
    </row>
    <row r="48" spans="1:21" s="67" customFormat="1">
      <c r="A48" s="286"/>
      <c r="B48" s="85"/>
      <c r="C48" s="92"/>
      <c r="D48" s="86"/>
      <c r="E48" s="86"/>
      <c r="F48" s="89"/>
      <c r="G48" s="176"/>
      <c r="H48" s="90"/>
      <c r="I48" s="82"/>
      <c r="J48" s="83"/>
      <c r="K48" s="83"/>
      <c r="L48" s="83"/>
      <c r="M48" s="91"/>
      <c r="N48" s="83"/>
      <c r="O48" s="91"/>
      <c r="P48" s="83"/>
      <c r="Q48" s="83"/>
      <c r="R48" s="83"/>
      <c r="S48" s="166"/>
    </row>
    <row r="49" spans="1:21" s="67" customFormat="1">
      <c r="A49" s="149"/>
      <c r="B49" s="139"/>
      <c r="C49" s="151" t="s">
        <v>36</v>
      </c>
      <c r="D49" s="152">
        <f>SUM(D42:D48)</f>
        <v>363</v>
      </c>
      <c r="E49" s="152"/>
      <c r="F49" s="152">
        <f>SUM(F42:F48)</f>
        <v>12814</v>
      </c>
      <c r="G49" s="152"/>
      <c r="H49" s="152">
        <f>SUM(H42:H48)</f>
        <v>3580499.9999999995</v>
      </c>
      <c r="I49" s="156">
        <f>SUM(I42:I48)</f>
        <v>2769569.2253030632</v>
      </c>
      <c r="J49" s="158"/>
      <c r="K49" s="158"/>
      <c r="L49" s="158"/>
      <c r="M49" s="158"/>
      <c r="N49" s="158"/>
      <c r="O49" s="158"/>
      <c r="P49" s="158">
        <f>SUM(P42:P48)</f>
        <v>241443.66</v>
      </c>
      <c r="Q49" s="158">
        <f>SUM(Q42:Q48)</f>
        <v>247091.66372235451</v>
      </c>
      <c r="R49" s="158">
        <f>SUM(R42:R48)</f>
        <v>5648.0037223544959</v>
      </c>
      <c r="S49" s="158"/>
    </row>
    <row r="50" spans="1:21">
      <c r="C50" s="94" t="s">
        <v>199</v>
      </c>
      <c r="D50" s="95">
        <f>D41+D49</f>
        <v>2322</v>
      </c>
      <c r="E50" s="95"/>
      <c r="F50" s="95">
        <f>F41+F49</f>
        <v>87648</v>
      </c>
      <c r="G50" s="178"/>
      <c r="H50" s="95">
        <f>H41+H49</f>
        <v>6644993.680555555</v>
      </c>
      <c r="I50" s="95">
        <f>I41+I49</f>
        <v>5140000</v>
      </c>
      <c r="J50" s="83"/>
      <c r="K50" s="96"/>
      <c r="L50" s="96"/>
      <c r="M50" s="96"/>
      <c r="N50" s="96"/>
      <c r="O50" s="96"/>
      <c r="P50" s="96">
        <f>P41+P49</f>
        <v>554627.46</v>
      </c>
      <c r="Q50" s="96">
        <f>Q41+Q49</f>
        <v>565108.53595713503</v>
      </c>
      <c r="R50" s="96">
        <f>R41+R49</f>
        <v>10481.075957134983</v>
      </c>
      <c r="S50" s="96"/>
    </row>
    <row r="51" spans="1:21">
      <c r="J51" s="99"/>
    </row>
    <row r="52" spans="1:21" ht="45">
      <c r="D52" s="146" t="s">
        <v>185</v>
      </c>
      <c r="E52" s="146" t="s">
        <v>186</v>
      </c>
      <c r="F52" s="146" t="s">
        <v>187</v>
      </c>
      <c r="G52" s="174" t="s">
        <v>62</v>
      </c>
      <c r="H52" s="146" t="s">
        <v>188</v>
      </c>
      <c r="I52" s="148" t="s">
        <v>189</v>
      </c>
      <c r="J52" s="146" t="s">
        <v>190</v>
      </c>
      <c r="K52" s="146" t="s">
        <v>191</v>
      </c>
      <c r="L52" s="146" t="s">
        <v>110</v>
      </c>
      <c r="M52" s="146" t="s">
        <v>192</v>
      </c>
      <c r="N52" s="146" t="s">
        <v>193</v>
      </c>
      <c r="O52" s="146" t="s">
        <v>194</v>
      </c>
    </row>
    <row r="53" spans="1:21">
      <c r="A53" s="159"/>
      <c r="B53" s="160"/>
      <c r="C53" s="161" t="s">
        <v>200</v>
      </c>
      <c r="D53" s="162"/>
      <c r="E53" s="159"/>
      <c r="F53" s="159"/>
      <c r="G53" s="180"/>
      <c r="H53" s="159"/>
      <c r="I53" s="163"/>
      <c r="J53" s="164"/>
      <c r="K53" s="159"/>
      <c r="L53" s="159"/>
      <c r="M53" s="159"/>
      <c r="N53" s="159"/>
      <c r="O53" s="159"/>
      <c r="Q53" s="78" t="s">
        <v>175</v>
      </c>
      <c r="R53" s="113">
        <f>R41</f>
        <v>4833.0722347804867</v>
      </c>
      <c r="S53" s="240">
        <f>R41/P41</f>
        <v>1.5432063327606622E-2</v>
      </c>
    </row>
    <row r="54" spans="1:21" ht="15" customHeight="1">
      <c r="A54" s="286" t="s">
        <v>175</v>
      </c>
      <c r="C54" s="135" t="s">
        <v>164</v>
      </c>
      <c r="D54" s="101"/>
      <c r="E54" s="81">
        <f>References!$B$12</f>
        <v>1</v>
      </c>
      <c r="F54" s="80">
        <f>E54*References!$G$22</f>
        <v>12</v>
      </c>
      <c r="G54" s="181">
        <f>References!B29</f>
        <v>34</v>
      </c>
      <c r="H54" s="98">
        <f>F54*G54</f>
        <v>408</v>
      </c>
      <c r="I54" s="98">
        <f>$C$95*H54</f>
        <v>315.5939795904622</v>
      </c>
      <c r="J54" s="83">
        <f>References!$C$54*'DF Calc (Kitsap Co.)'!I54</f>
        <v>0.63118795918092496</v>
      </c>
      <c r="K54" s="83">
        <f>J54/References!$G$60</f>
        <v>0.64359321846687401</v>
      </c>
      <c r="L54" s="83">
        <f>K54/F54</f>
        <v>5.3632768205572834E-2</v>
      </c>
      <c r="M54" s="83">
        <f>'Prop. Rates'!B9</f>
        <v>4.1399999999999997</v>
      </c>
      <c r="N54" s="83">
        <f>L54+M54</f>
        <v>4.193632768205573</v>
      </c>
      <c r="O54" s="83">
        <f>'Prop. Rates'!D9</f>
        <v>4.193632768205573</v>
      </c>
      <c r="P54" s="250">
        <f>+N54-O54</f>
        <v>0</v>
      </c>
      <c r="Q54" s="78" t="s">
        <v>176</v>
      </c>
      <c r="R54" s="113">
        <f>R49</f>
        <v>5648.0037223544959</v>
      </c>
      <c r="S54" s="240">
        <f>R49/P49</f>
        <v>2.3392636287714062E-2</v>
      </c>
      <c r="U54" s="249">
        <f>((G54*E54*$C$95)*(References!$C$54/References!$G$60))-L54</f>
        <v>0</v>
      </c>
    </row>
    <row r="55" spans="1:21" ht="15" customHeight="1">
      <c r="A55" s="286"/>
      <c r="B55" s="85">
        <v>21</v>
      </c>
      <c r="C55" s="79" t="s">
        <v>7</v>
      </c>
      <c r="D55" s="80">
        <v>0</v>
      </c>
      <c r="E55" s="81">
        <f>References!$B$10</f>
        <v>4.333333333333333</v>
      </c>
      <c r="F55" s="80">
        <f>E55*References!$G$22</f>
        <v>52</v>
      </c>
      <c r="G55" s="176">
        <f>References!B20</f>
        <v>97</v>
      </c>
      <c r="H55" s="80">
        <f>F55*G55</f>
        <v>5044</v>
      </c>
      <c r="I55" s="82">
        <f>$C$95*H55</f>
        <v>3901.6079241526745</v>
      </c>
      <c r="J55" s="83">
        <f>References!$C$54*'DF Calc (Kitsap Co.)'!I55</f>
        <v>7.8032158483053555</v>
      </c>
      <c r="K55" s="83">
        <f>J55/References!$G$60</f>
        <v>7.9565789067326271</v>
      </c>
      <c r="L55" s="83">
        <f>K55/F55*E55</f>
        <v>0.66304824222771896</v>
      </c>
      <c r="M55" s="83">
        <f>'Prop. Rates'!B16</f>
        <v>36.130000000000003</v>
      </c>
      <c r="N55" s="83">
        <f>L55+M55</f>
        <v>36.793048242227719</v>
      </c>
      <c r="O55" s="84">
        <f>'Prop. Rates'!D16</f>
        <v>36.793048242227719</v>
      </c>
      <c r="P55" s="250">
        <f t="shared" ref="P55:P86" si="23">+N55-O55</f>
        <v>0</v>
      </c>
      <c r="Q55" s="83"/>
      <c r="R55" s="83"/>
      <c r="S55" s="240"/>
      <c r="U55" s="249">
        <f>((G55*E55*$C$95)*(References!$C$54/References!$G$60))-L55</f>
        <v>0</v>
      </c>
    </row>
    <row r="56" spans="1:21" ht="15" customHeight="1">
      <c r="A56" s="286"/>
      <c r="B56" s="85">
        <v>21</v>
      </c>
      <c r="C56" s="79" t="s">
        <v>8</v>
      </c>
      <c r="D56" s="80"/>
      <c r="E56" s="81">
        <f>References!$B$10</f>
        <v>4.333333333333333</v>
      </c>
      <c r="F56" s="80">
        <f>E56*References!$G$22</f>
        <v>52</v>
      </c>
      <c r="G56" s="176">
        <f>References!B21</f>
        <v>117</v>
      </c>
      <c r="H56" s="80">
        <f>F56*G56</f>
        <v>6084</v>
      </c>
      <c r="I56" s="82">
        <f>$C$95*H56</f>
        <v>4706.06316624601</v>
      </c>
      <c r="J56" s="83">
        <f>References!$C$54*'DF Calc (Kitsap Co.)'!I56</f>
        <v>9.4121263324920292</v>
      </c>
      <c r="K56" s="83">
        <f>J56/References!$G$60</f>
        <v>9.5971106400795634</v>
      </c>
      <c r="L56" s="83">
        <f>K56/F56*E56</f>
        <v>0.79975922000663024</v>
      </c>
      <c r="M56" s="83">
        <f>'Prop. Rates'!B17</f>
        <v>43.14</v>
      </c>
      <c r="N56" s="83">
        <f>L56+M56</f>
        <v>43.939759220006628</v>
      </c>
      <c r="O56" s="84">
        <f>'Prop. Rates'!D17</f>
        <v>43.939759220006628</v>
      </c>
      <c r="P56" s="250">
        <f t="shared" si="23"/>
        <v>0</v>
      </c>
      <c r="Q56" s="83"/>
      <c r="R56" s="83"/>
      <c r="S56" s="240"/>
      <c r="U56" s="249">
        <f>((G56*E56*$C$95)*(References!$C$54/References!$G$60))-L56</f>
        <v>0</v>
      </c>
    </row>
    <row r="57" spans="1:21" ht="15" customHeight="1">
      <c r="A57" s="286"/>
      <c r="B57" s="85">
        <v>21</v>
      </c>
      <c r="C57" s="79" t="s">
        <v>9</v>
      </c>
      <c r="D57" s="80">
        <v>0</v>
      </c>
      <c r="E57" s="81">
        <f>References!$B$10</f>
        <v>4.333333333333333</v>
      </c>
      <c r="F57" s="80">
        <f>E57*References!$G$22</f>
        <v>52</v>
      </c>
      <c r="G57" s="176">
        <f>References!B22</f>
        <v>157</v>
      </c>
      <c r="H57" s="80">
        <f>F57*G57</f>
        <v>8164</v>
      </c>
      <c r="I57" s="82">
        <f>$C$95*H57</f>
        <v>6314.9736504326793</v>
      </c>
      <c r="J57" s="83">
        <f>References!$C$54*'DF Calc (Kitsap Co.)'!I57</f>
        <v>12.62994730086537</v>
      </c>
      <c r="K57" s="83">
        <f>J57/References!$G$60</f>
        <v>12.878174106773429</v>
      </c>
      <c r="L57" s="83">
        <f>K57/F57*E57</f>
        <v>1.0731811755644522</v>
      </c>
      <c r="M57" s="83">
        <f>'Prop. Rates'!B18</f>
        <v>49.9</v>
      </c>
      <c r="N57" s="83">
        <f>L57+M57</f>
        <v>50.973181175564449</v>
      </c>
      <c r="O57" s="84">
        <f>'Prop. Rates'!D18</f>
        <v>50.973181175564449</v>
      </c>
      <c r="P57" s="250">
        <f t="shared" si="23"/>
        <v>0</v>
      </c>
      <c r="Q57" s="242" t="s">
        <v>255</v>
      </c>
      <c r="R57" s="243">
        <v>1021</v>
      </c>
      <c r="S57" s="67" t="s">
        <v>222</v>
      </c>
      <c r="U57" s="249">
        <f>((G57*E57*$C$95)*(References!$C$54/References!$G$60))-L57</f>
        <v>0</v>
      </c>
    </row>
    <row r="58" spans="1:21">
      <c r="A58" s="288"/>
      <c r="B58" s="24"/>
      <c r="C58" s="104"/>
      <c r="D58" s="105"/>
      <c r="E58" s="106"/>
      <c r="F58" s="107"/>
      <c r="G58" s="182"/>
      <c r="H58" s="108"/>
      <c r="I58" s="108"/>
      <c r="J58" s="60"/>
      <c r="K58" s="60"/>
      <c r="L58" s="60"/>
      <c r="M58" s="109"/>
      <c r="N58" s="60"/>
      <c r="O58" s="109"/>
      <c r="P58" s="167"/>
      <c r="S58" s="240"/>
      <c r="U58" s="249"/>
    </row>
    <row r="59" spans="1:21">
      <c r="A59" s="172"/>
      <c r="B59" s="93" t="s">
        <v>238</v>
      </c>
      <c r="C59" s="78" t="s">
        <v>143</v>
      </c>
      <c r="E59" s="81">
        <f>References!$B$12</f>
        <v>1</v>
      </c>
      <c r="F59" s="80">
        <f>E59*References!$G$22</f>
        <v>12</v>
      </c>
      <c r="G59" s="179">
        <f>References!$B$26</f>
        <v>50.133333333333333</v>
      </c>
      <c r="H59" s="98">
        <f t="shared" ref="H59:H65" si="24">F59*G59</f>
        <v>601.6</v>
      </c>
      <c r="I59" s="98">
        <f t="shared" ref="I59:I65" si="25">$C$95*H59</f>
        <v>465.34641696475995</v>
      </c>
      <c r="J59" s="83">
        <f>References!$C$54*'DF Calc (Kitsap Co.)'!I59</f>
        <v>0.93069283392952074</v>
      </c>
      <c r="K59" s="83">
        <f>J59/References!$G$60</f>
        <v>0.94898451036684162</v>
      </c>
      <c r="L59" s="83">
        <f>K59/F59</f>
        <v>7.9082042530570135E-2</v>
      </c>
      <c r="M59" s="83">
        <f>'Prop. Rates'!B51</f>
        <v>14.01</v>
      </c>
      <c r="N59" s="83">
        <f t="shared" ref="N59:N65" si="26">L59+M59</f>
        <v>14.089082042530571</v>
      </c>
      <c r="O59" s="83">
        <f>'Prop. Rates'!D51</f>
        <v>14.089082042530571</v>
      </c>
      <c r="P59" s="250">
        <f t="shared" si="23"/>
        <v>0</v>
      </c>
      <c r="Q59" s="78" t="s">
        <v>256</v>
      </c>
      <c r="R59" s="241">
        <f>R57*References!B54</f>
        <v>4084</v>
      </c>
      <c r="S59" s="240">
        <f>References!D54</f>
        <v>5.6338028169014086E-2</v>
      </c>
      <c r="U59" s="249">
        <f>((G59*E59*$C$95)*(References!$C$54/References!$G$60))-L59</f>
        <v>0</v>
      </c>
    </row>
    <row r="60" spans="1:21">
      <c r="A60" s="172"/>
      <c r="B60" s="93" t="s">
        <v>238</v>
      </c>
      <c r="C60" s="78" t="s">
        <v>241</v>
      </c>
      <c r="E60" s="81">
        <f>References!$B$12</f>
        <v>1</v>
      </c>
      <c r="F60" s="80">
        <f>E60*References!$G$22</f>
        <v>12</v>
      </c>
      <c r="G60" s="179">
        <f>References!$B$26</f>
        <v>50.133333333333333</v>
      </c>
      <c r="H60" s="98">
        <f t="shared" si="24"/>
        <v>601.6</v>
      </c>
      <c r="I60" s="98">
        <f t="shared" si="25"/>
        <v>465.34641696475995</v>
      </c>
      <c r="J60" s="83">
        <f>References!$C$54*'DF Calc (Kitsap Co.)'!I60</f>
        <v>0.93069283392952074</v>
      </c>
      <c r="K60" s="83">
        <f>J60/References!$G$60</f>
        <v>0.94898451036684162</v>
      </c>
      <c r="L60" s="83">
        <f>K60/F60</f>
        <v>7.9082042530570135E-2</v>
      </c>
      <c r="M60" s="83">
        <f>'Prop. Rates'!B55</f>
        <v>4.3600000000000003</v>
      </c>
      <c r="N60" s="83">
        <f t="shared" si="26"/>
        <v>4.4390820425305701</v>
      </c>
      <c r="O60" s="83">
        <f>'Prop. Rates'!D55</f>
        <v>4.4390820425305701</v>
      </c>
      <c r="P60" s="250">
        <f t="shared" si="23"/>
        <v>0</v>
      </c>
      <c r="S60" s="240"/>
      <c r="U60" s="249">
        <f>((G60*E60*$C$95)*(References!$C$54/References!$G$60))-L60</f>
        <v>0</v>
      </c>
    </row>
    <row r="61" spans="1:21">
      <c r="A61" s="172"/>
      <c r="B61" s="93" t="s">
        <v>238</v>
      </c>
      <c r="C61" s="78" t="s">
        <v>242</v>
      </c>
      <c r="E61" s="81">
        <f>References!$B$10</f>
        <v>4.333333333333333</v>
      </c>
      <c r="F61" s="80">
        <f>E61*References!$G$22</f>
        <v>52</v>
      </c>
      <c r="G61" s="179">
        <f>References!$B$26</f>
        <v>50.133333333333333</v>
      </c>
      <c r="H61" s="98">
        <f t="shared" si="24"/>
        <v>2606.9333333333334</v>
      </c>
      <c r="I61" s="98">
        <f t="shared" si="25"/>
        <v>2016.5011401806264</v>
      </c>
      <c r="J61" s="83">
        <f>References!$C$54*'DF Calc (Kitsap Co.)'!I61</f>
        <v>4.0330022803612566</v>
      </c>
      <c r="K61" s="83">
        <f>J61/References!$G$60</f>
        <v>4.1122662115896471</v>
      </c>
      <c r="L61" s="83">
        <f>K61/F61*E61</f>
        <v>0.34268885096580387</v>
      </c>
      <c r="M61" s="83">
        <f>'Prop. Rates'!B56</f>
        <v>18.850000000000001</v>
      </c>
      <c r="N61" s="83">
        <f t="shared" si="26"/>
        <v>19.192688850965805</v>
      </c>
      <c r="O61" s="83">
        <f>'Prop. Rates'!D56</f>
        <v>19.22122524415737</v>
      </c>
      <c r="P61" s="250">
        <f t="shared" si="23"/>
        <v>-2.8536393191565423E-2</v>
      </c>
      <c r="S61" s="240"/>
      <c r="U61" s="249">
        <f>((G61*E61*$C$95)*(References!$C$54/References!$G$60))-L61</f>
        <v>0</v>
      </c>
    </row>
    <row r="62" spans="1:21">
      <c r="A62" s="172"/>
      <c r="B62" s="93" t="s">
        <v>238</v>
      </c>
      <c r="C62" s="78" t="s">
        <v>147</v>
      </c>
      <c r="E62" s="81">
        <f>References!$B$12</f>
        <v>1</v>
      </c>
      <c r="F62" s="80">
        <f>E62*References!$G$22</f>
        <v>12</v>
      </c>
      <c r="G62" s="179">
        <f>References!$B$47</f>
        <v>125</v>
      </c>
      <c r="H62" s="98">
        <f t="shared" si="24"/>
        <v>1500</v>
      </c>
      <c r="I62" s="98">
        <f t="shared" si="25"/>
        <v>1160.271983788464</v>
      </c>
      <c r="J62" s="83">
        <f>References!$C$54*'DF Calc (Kitsap Co.)'!I62</f>
        <v>2.3205439675769299</v>
      </c>
      <c r="K62" s="83">
        <f>J62/References!$G$60</f>
        <v>2.3661515384811542</v>
      </c>
      <c r="L62" s="83">
        <f>K62/F62</f>
        <v>0.19717929487342953</v>
      </c>
      <c r="M62" s="83">
        <f>'Prop. Rates'!B59</f>
        <v>25.35</v>
      </c>
      <c r="N62" s="83">
        <f t="shared" si="26"/>
        <v>25.54717929487343</v>
      </c>
      <c r="O62" s="83">
        <f>'Prop. Rates'!D59</f>
        <v>25.54717929487343</v>
      </c>
      <c r="P62" s="250">
        <f t="shared" si="23"/>
        <v>0</v>
      </c>
      <c r="U62" s="249">
        <f>((G62*E62*$C$95)*(References!$C$54/References!$G$60))-L62</f>
        <v>0</v>
      </c>
    </row>
    <row r="63" spans="1:21">
      <c r="A63" s="172"/>
      <c r="B63" s="93" t="s">
        <v>238</v>
      </c>
      <c r="C63" s="78" t="s">
        <v>148</v>
      </c>
      <c r="E63" s="81">
        <f>References!$B$12</f>
        <v>1</v>
      </c>
      <c r="F63" s="80">
        <f>E63*References!$G$22</f>
        <v>12</v>
      </c>
      <c r="G63" s="179">
        <f>References!$B$47</f>
        <v>125</v>
      </c>
      <c r="H63" s="98">
        <f t="shared" si="24"/>
        <v>1500</v>
      </c>
      <c r="I63" s="98">
        <f t="shared" si="25"/>
        <v>1160.271983788464</v>
      </c>
      <c r="J63" s="83">
        <f>References!$C$54*'DF Calc (Kitsap Co.)'!I63</f>
        <v>2.3205439675769299</v>
      </c>
      <c r="K63" s="83">
        <f>J63/References!$G$60</f>
        <v>2.3661515384811542</v>
      </c>
      <c r="L63" s="83">
        <f>K63/F63</f>
        <v>0.19717929487342953</v>
      </c>
      <c r="M63" s="83">
        <f>'Prop. Rates'!B60</f>
        <v>25.35</v>
      </c>
      <c r="N63" s="83">
        <f t="shared" si="26"/>
        <v>25.54717929487343</v>
      </c>
      <c r="O63" s="83">
        <f>'Prop. Rates'!D60</f>
        <v>25.54717929487343</v>
      </c>
      <c r="P63" s="250">
        <f t="shared" si="23"/>
        <v>0</v>
      </c>
      <c r="U63" s="249">
        <f>((G63*E63*$C$95)*(References!$C$54/References!$G$60))-L63</f>
        <v>0</v>
      </c>
    </row>
    <row r="64" spans="1:21">
      <c r="A64" s="172"/>
      <c r="B64" s="93" t="s">
        <v>238</v>
      </c>
      <c r="C64" s="78" t="s">
        <v>149</v>
      </c>
      <c r="E64" s="81">
        <f>References!$B$12</f>
        <v>1</v>
      </c>
      <c r="F64" s="80">
        <f>E64*References!$G$22</f>
        <v>12</v>
      </c>
      <c r="G64" s="179">
        <f>References!$B$47</f>
        <v>125</v>
      </c>
      <c r="H64" s="98">
        <f t="shared" si="24"/>
        <v>1500</v>
      </c>
      <c r="I64" s="98">
        <f t="shared" si="25"/>
        <v>1160.271983788464</v>
      </c>
      <c r="J64" s="83">
        <f>References!$C$54*'DF Calc (Kitsap Co.)'!I64</f>
        <v>2.3205439675769299</v>
      </c>
      <c r="K64" s="83">
        <f>J64/References!$G$60</f>
        <v>2.3661515384811542</v>
      </c>
      <c r="L64" s="83">
        <f>K64/F64</f>
        <v>0.19717929487342953</v>
      </c>
      <c r="M64" s="83">
        <f>'Prop. Rates'!B61</f>
        <v>25.35</v>
      </c>
      <c r="N64" s="83">
        <f t="shared" si="26"/>
        <v>25.54717929487343</v>
      </c>
      <c r="O64" s="83">
        <f>'Prop. Rates'!D61</f>
        <v>25.54717929487343</v>
      </c>
      <c r="P64" s="250">
        <f t="shared" si="23"/>
        <v>0</v>
      </c>
      <c r="U64" s="249">
        <f>((G64*E64*$C$95)*(References!$C$54/References!$G$60))-L64</f>
        <v>0</v>
      </c>
    </row>
    <row r="65" spans="1:21">
      <c r="A65" s="172"/>
      <c r="B65" s="93" t="s">
        <v>238</v>
      </c>
      <c r="C65" s="78" t="s">
        <v>150</v>
      </c>
      <c r="E65" s="81">
        <f>References!$B$10</f>
        <v>4.333333333333333</v>
      </c>
      <c r="F65" s="80">
        <f>E65*References!$G$22</f>
        <v>52</v>
      </c>
      <c r="G65" s="179">
        <f>References!$B$47</f>
        <v>125</v>
      </c>
      <c r="H65" s="98">
        <f t="shared" si="24"/>
        <v>6500</v>
      </c>
      <c r="I65" s="98">
        <f t="shared" si="25"/>
        <v>5027.8452630833435</v>
      </c>
      <c r="J65" s="83">
        <f>References!$C$54*'DF Calc (Kitsap Co.)'!I65</f>
        <v>10.055690526166696</v>
      </c>
      <c r="K65" s="83">
        <f>J65/References!$G$60</f>
        <v>10.253323333418335</v>
      </c>
      <c r="L65" s="83">
        <f>K65/F65*E65</f>
        <v>0.85444361111819445</v>
      </c>
      <c r="M65" s="83">
        <f>'Prop. Rates'!B62</f>
        <v>29.88</v>
      </c>
      <c r="N65" s="83">
        <f t="shared" si="26"/>
        <v>30.734443611118195</v>
      </c>
      <c r="O65" s="83">
        <f>'Prop. Rates'!D62</f>
        <v>30.734443611118195</v>
      </c>
      <c r="P65" s="250">
        <f t="shared" si="23"/>
        <v>0</v>
      </c>
      <c r="U65" s="249">
        <f>((G65*E65*$C$95)*(References!$C$54/References!$G$60))-L65</f>
        <v>0</v>
      </c>
    </row>
    <row r="66" spans="1:21">
      <c r="A66" s="172"/>
      <c r="B66" s="171"/>
      <c r="C66" s="194"/>
      <c r="D66" s="195"/>
      <c r="E66" s="86"/>
      <c r="F66" s="80"/>
      <c r="G66" s="181"/>
      <c r="H66" s="98"/>
      <c r="J66" s="83"/>
      <c r="K66" s="83"/>
      <c r="L66" s="83"/>
      <c r="M66" s="91"/>
      <c r="N66" s="83"/>
      <c r="O66" s="91"/>
      <c r="P66" s="167"/>
    </row>
    <row r="67" spans="1:21">
      <c r="A67" s="170"/>
      <c r="B67" s="93" t="s">
        <v>239</v>
      </c>
      <c r="C67" s="88" t="s">
        <v>243</v>
      </c>
      <c r="D67" s="80"/>
      <c r="E67" s="81">
        <f>References!$B$10</f>
        <v>4.333333333333333</v>
      </c>
      <c r="F67" s="80">
        <f>E67*References!$G$22</f>
        <v>52</v>
      </c>
      <c r="G67" s="176">
        <f>References!B32</f>
        <v>175</v>
      </c>
      <c r="H67" s="90">
        <f>F67*G67</f>
        <v>9100</v>
      </c>
      <c r="I67" s="82">
        <f t="shared" ref="I67:I72" si="27">$C$95*H67</f>
        <v>7038.9833683166808</v>
      </c>
      <c r="J67" s="83">
        <f>References!$C$54*'DF Calc (Kitsap Co.)'!I67</f>
        <v>14.077966736633375</v>
      </c>
      <c r="K67" s="83">
        <f>J67/References!$G$60</f>
        <v>14.35465266678567</v>
      </c>
      <c r="L67" s="83">
        <f>K67/F67</f>
        <v>0.27605101282280137</v>
      </c>
      <c r="M67" s="83">
        <f>'Prop. Rates'!B82</f>
        <v>15.34</v>
      </c>
      <c r="N67" s="83">
        <f>L67+M67</f>
        <v>15.616051012822801</v>
      </c>
      <c r="O67" s="91">
        <f>'Prop. Rates'!D82</f>
        <v>15.616051012822801</v>
      </c>
      <c r="P67" s="250">
        <f t="shared" si="23"/>
        <v>0</v>
      </c>
      <c r="U67" s="249">
        <f>((G67*$C$95)*(References!$C$54/References!$G$60))-L67</f>
        <v>0</v>
      </c>
    </row>
    <row r="68" spans="1:21">
      <c r="A68" s="286" t="s">
        <v>176</v>
      </c>
      <c r="B68" s="93" t="s">
        <v>240</v>
      </c>
      <c r="C68" s="100" t="s">
        <v>113</v>
      </c>
      <c r="D68" s="101"/>
      <c r="E68" s="81">
        <f>References!$B$12</f>
        <v>1</v>
      </c>
      <c r="F68" s="80">
        <f>E68*References!$G$22</f>
        <v>12</v>
      </c>
      <c r="G68" s="181">
        <f>References!B31</f>
        <v>29</v>
      </c>
      <c r="H68" s="98">
        <f>F68*G68</f>
        <v>348</v>
      </c>
      <c r="I68" s="98">
        <f t="shared" si="27"/>
        <v>269.1831002389236</v>
      </c>
      <c r="J68" s="83">
        <f>References!$C$54*'DF Calc (Kitsap Co.)'!I68</f>
        <v>0.53836620047784767</v>
      </c>
      <c r="K68" s="83">
        <f>J68/References!$G$60</f>
        <v>0.54894715692762774</v>
      </c>
      <c r="L68" s="83">
        <f>K68/F68*E68</f>
        <v>4.5745596410635643E-2</v>
      </c>
      <c r="M68" s="43">
        <f>'Prop. Rates'!B88</f>
        <v>4.0199999999999996</v>
      </c>
      <c r="N68" s="83">
        <f>L68+M68</f>
        <v>4.0657455964106353</v>
      </c>
      <c r="O68" s="43">
        <f>'Prop. Rates'!D88</f>
        <v>4.0657455964106353</v>
      </c>
      <c r="P68" s="250">
        <f t="shared" si="23"/>
        <v>0</v>
      </c>
      <c r="U68" s="249">
        <f>((G68*E68*$C$95)*(References!$C$54/References!$G$60))-L68</f>
        <v>0</v>
      </c>
    </row>
    <row r="69" spans="1:21">
      <c r="A69" s="286"/>
      <c r="B69" s="93" t="s">
        <v>240</v>
      </c>
      <c r="C69" s="100" t="s">
        <v>156</v>
      </c>
      <c r="D69" s="101"/>
      <c r="E69" s="81">
        <f>References!$B$12</f>
        <v>1</v>
      </c>
      <c r="F69" s="80">
        <f>E69*References!$G$22</f>
        <v>12</v>
      </c>
      <c r="G69" s="181">
        <f>References!B23</f>
        <v>37.1875</v>
      </c>
      <c r="H69" s="98">
        <f t="shared" ref="H69:H78" si="28">F69*G69</f>
        <v>446.25</v>
      </c>
      <c r="I69" s="98">
        <f t="shared" si="27"/>
        <v>345.18091517706802</v>
      </c>
      <c r="J69" s="83">
        <f>References!$C$54*'DF Calc (Kitsap Co.)'!I69</f>
        <v>0.69036183035413667</v>
      </c>
      <c r="K69" s="83">
        <f>J69/References!$G$60</f>
        <v>0.70393008269814339</v>
      </c>
      <c r="L69" s="83">
        <f t="shared" ref="L69:L77" si="29">K69/F69</f>
        <v>5.866084022484528E-2</v>
      </c>
      <c r="M69" s="43">
        <f>'Prop. Rates'!B89</f>
        <v>4.3600000000000003</v>
      </c>
      <c r="N69" s="83">
        <f t="shared" ref="N69:N86" si="30">L69+M69</f>
        <v>4.4186608402248453</v>
      </c>
      <c r="O69" s="43">
        <f>'Prop. Rates'!D89</f>
        <v>4.4186608402248453</v>
      </c>
      <c r="P69" s="250">
        <f t="shared" si="23"/>
        <v>0</v>
      </c>
      <c r="U69" s="249">
        <f>((G69*E69*$C$95)*(References!$C$54/References!$G$60))-L69</f>
        <v>0</v>
      </c>
    </row>
    <row r="70" spans="1:21">
      <c r="A70" s="286"/>
      <c r="B70" s="93" t="s">
        <v>240</v>
      </c>
      <c r="C70" s="100" t="s">
        <v>157</v>
      </c>
      <c r="D70" s="101"/>
      <c r="E70" s="81">
        <f>References!$B$12</f>
        <v>1</v>
      </c>
      <c r="F70" s="80">
        <f>E70*References!$G$22</f>
        <v>12</v>
      </c>
      <c r="G70" s="176">
        <f>References!$B$25</f>
        <v>51</v>
      </c>
      <c r="H70" s="98">
        <f t="shared" si="28"/>
        <v>612</v>
      </c>
      <c r="I70" s="98">
        <f t="shared" si="27"/>
        <v>473.39096938569327</v>
      </c>
      <c r="J70" s="83">
        <f>References!$C$54*'DF Calc (Kitsap Co.)'!I70</f>
        <v>0.94678193877138739</v>
      </c>
      <c r="K70" s="83">
        <f>J70/References!$G$60</f>
        <v>0.9653898277003109</v>
      </c>
      <c r="L70" s="83">
        <f t="shared" si="29"/>
        <v>8.0449152308359237E-2</v>
      </c>
      <c r="M70" s="43">
        <f>'Prop. Rates'!B90</f>
        <v>4.9800000000000004</v>
      </c>
      <c r="N70" s="83">
        <f t="shared" si="30"/>
        <v>5.0604491523083599</v>
      </c>
      <c r="O70" s="43">
        <f>'Prop. Rates'!D90</f>
        <v>5.0604491523083599</v>
      </c>
      <c r="P70" s="250">
        <f t="shared" si="23"/>
        <v>0</v>
      </c>
      <c r="U70" s="249">
        <f>((G70*E70*$C$95)*(References!$C$54/References!$G$60))-L70</f>
        <v>0</v>
      </c>
    </row>
    <row r="71" spans="1:21">
      <c r="A71" s="286"/>
      <c r="B71" s="93" t="s">
        <v>240</v>
      </c>
      <c r="C71" s="100" t="s">
        <v>158</v>
      </c>
      <c r="D71" s="101"/>
      <c r="E71" s="81">
        <f>References!$B$12</f>
        <v>1</v>
      </c>
      <c r="F71" s="80">
        <f>E71*References!$G$22</f>
        <v>12</v>
      </c>
      <c r="G71" s="181">
        <f>References!B26</f>
        <v>50.133333333333333</v>
      </c>
      <c r="H71" s="98">
        <f t="shared" si="28"/>
        <v>601.6</v>
      </c>
      <c r="I71" s="98">
        <f t="shared" si="27"/>
        <v>465.34641696475995</v>
      </c>
      <c r="J71" s="83">
        <f>References!$C$54*'DF Calc (Kitsap Co.)'!I71</f>
        <v>0.93069283392952074</v>
      </c>
      <c r="K71" s="83">
        <f>J71/References!$G$60</f>
        <v>0.94898451036684162</v>
      </c>
      <c r="L71" s="83">
        <f t="shared" si="29"/>
        <v>7.9082042530570135E-2</v>
      </c>
      <c r="M71" s="43">
        <f>'Prop. Rates'!B91</f>
        <v>5.94</v>
      </c>
      <c r="N71" s="83">
        <f t="shared" si="30"/>
        <v>6.0190820425305702</v>
      </c>
      <c r="O71" s="43">
        <f>'Prop. Rates'!D91</f>
        <v>6.0190820425305702</v>
      </c>
      <c r="P71" s="250">
        <f t="shared" si="23"/>
        <v>0</v>
      </c>
      <c r="U71" s="249">
        <f>((G71*E71*$C$95)*(References!$C$54/References!$G$60))-L71</f>
        <v>0</v>
      </c>
    </row>
    <row r="72" spans="1:21">
      <c r="A72" s="286"/>
      <c r="B72" s="93" t="s">
        <v>240</v>
      </c>
      <c r="C72" s="100" t="s">
        <v>159</v>
      </c>
      <c r="D72" s="101"/>
      <c r="E72" s="81">
        <f>References!$B$12</f>
        <v>1</v>
      </c>
      <c r="F72" s="80">
        <f>E72*References!$G$22</f>
        <v>12</v>
      </c>
      <c r="G72" s="181">
        <f>References!B27</f>
        <v>71.022222222222226</v>
      </c>
      <c r="H72" s="98">
        <f t="shared" si="28"/>
        <v>852.26666666666665</v>
      </c>
      <c r="I72" s="98">
        <f t="shared" si="27"/>
        <v>659.2407573667432</v>
      </c>
      <c r="J72" s="83">
        <f>References!$C$54*'DF Calc (Kitsap Co.)'!I72</f>
        <v>1.3184815147334876</v>
      </c>
      <c r="K72" s="83">
        <f>J72/References!$G$60</f>
        <v>1.3443947230196922</v>
      </c>
      <c r="L72" s="83">
        <f t="shared" si="29"/>
        <v>0.11203289358497436</v>
      </c>
      <c r="M72" s="43">
        <f>'Prop. Rates'!B92</f>
        <v>7.47</v>
      </c>
      <c r="N72" s="83">
        <f t="shared" si="30"/>
        <v>7.5820328935849739</v>
      </c>
      <c r="O72" s="43">
        <f>'Prop. Rates'!D92</f>
        <v>7.5820328935849739</v>
      </c>
      <c r="P72" s="250">
        <f t="shared" si="23"/>
        <v>0</v>
      </c>
      <c r="U72" s="249">
        <f>((G72*E72*$C$95)*(References!$C$54/References!$G$60))-L72</f>
        <v>0</v>
      </c>
    </row>
    <row r="73" spans="1:21">
      <c r="A73" s="286"/>
      <c r="C73" t="s">
        <v>217</v>
      </c>
      <c r="D73" s="101"/>
      <c r="E73" s="81">
        <f>References!$B$12</f>
        <v>1</v>
      </c>
      <c r="F73" s="80">
        <f>E73*References!$G$22</f>
        <v>12</v>
      </c>
      <c r="G73" s="181">
        <f>+References!B31</f>
        <v>29</v>
      </c>
      <c r="H73" s="98">
        <f t="shared" si="28"/>
        <v>348</v>
      </c>
      <c r="I73" s="98">
        <f t="shared" ref="I73:I86" si="31">$C$95*H73</f>
        <v>269.1831002389236</v>
      </c>
      <c r="J73" s="83">
        <f>References!$C$54*'DF Calc (Kitsap Co.)'!I73</f>
        <v>0.53836620047784767</v>
      </c>
      <c r="K73" s="83">
        <f>J73/References!$G$60</f>
        <v>0.54894715692762774</v>
      </c>
      <c r="L73" s="83">
        <f t="shared" si="29"/>
        <v>4.5745596410635643E-2</v>
      </c>
      <c r="M73" s="43">
        <f>'Prop. Rates'!B95</f>
        <v>14.15</v>
      </c>
      <c r="N73" s="83">
        <f t="shared" si="30"/>
        <v>14.195745596410635</v>
      </c>
      <c r="O73" s="43">
        <f>'Prop. Rates'!D95</f>
        <v>14.195745596410635</v>
      </c>
      <c r="P73" s="250">
        <f t="shared" si="23"/>
        <v>0</v>
      </c>
      <c r="U73" s="249">
        <f>((G73*E73*$C$95)*(References!$C$54/References!$G$60))-L73</f>
        <v>0</v>
      </c>
    </row>
    <row r="74" spans="1:21">
      <c r="A74" s="286"/>
      <c r="C74" t="s">
        <v>218</v>
      </c>
      <c r="D74" s="101"/>
      <c r="E74" s="81">
        <f>References!$B$12</f>
        <v>1</v>
      </c>
      <c r="F74" s="80">
        <f>E74*References!$G$22</f>
        <v>12</v>
      </c>
      <c r="G74" s="181">
        <f>References!B23</f>
        <v>37.1875</v>
      </c>
      <c r="H74" s="98">
        <f t="shared" si="28"/>
        <v>446.25</v>
      </c>
      <c r="I74" s="98">
        <f t="shared" si="31"/>
        <v>345.18091517706802</v>
      </c>
      <c r="J74" s="83">
        <f>References!$C$54*'DF Calc (Kitsap Co.)'!I74</f>
        <v>0.69036183035413667</v>
      </c>
      <c r="K74" s="83">
        <f>J74/References!$G$60</f>
        <v>0.70393008269814339</v>
      </c>
      <c r="L74" s="83">
        <f t="shared" si="29"/>
        <v>5.866084022484528E-2</v>
      </c>
      <c r="M74" s="43">
        <f>'Prop. Rates'!B96</f>
        <v>14.47</v>
      </c>
      <c r="N74" s="83">
        <f t="shared" si="30"/>
        <v>14.528660840224846</v>
      </c>
      <c r="O74" s="43">
        <f>'Prop. Rates'!D96</f>
        <v>14.528660840224846</v>
      </c>
      <c r="P74" s="250">
        <f t="shared" si="23"/>
        <v>0</v>
      </c>
      <c r="U74" s="249">
        <f>((G74*E74*$C$95)*(References!$C$54/References!$G$60))-L74</f>
        <v>0</v>
      </c>
    </row>
    <row r="75" spans="1:21">
      <c r="A75" s="286"/>
      <c r="C75" t="s">
        <v>219</v>
      </c>
      <c r="D75" s="101"/>
      <c r="E75" s="81">
        <f>References!$B$12</f>
        <v>1</v>
      </c>
      <c r="F75" s="80">
        <f>E75*References!$G$22</f>
        <v>12</v>
      </c>
      <c r="G75" s="176">
        <f>References!$B$25</f>
        <v>51</v>
      </c>
      <c r="H75" s="98">
        <f t="shared" si="28"/>
        <v>612</v>
      </c>
      <c r="I75" s="98">
        <f t="shared" si="31"/>
        <v>473.39096938569327</v>
      </c>
      <c r="J75" s="83">
        <f>References!$C$54*'DF Calc (Kitsap Co.)'!I75</f>
        <v>0.94678193877138739</v>
      </c>
      <c r="K75" s="83">
        <f>J75/References!$G$60</f>
        <v>0.9653898277003109</v>
      </c>
      <c r="L75" s="83">
        <f t="shared" si="29"/>
        <v>8.0449152308359237E-2</v>
      </c>
      <c r="M75" s="43">
        <f>'Prop. Rates'!B97</f>
        <v>15.1</v>
      </c>
      <c r="N75" s="83">
        <f t="shared" si="30"/>
        <v>15.180449152308359</v>
      </c>
      <c r="O75" s="43">
        <f>'Prop. Rates'!D97</f>
        <v>15.180449152308359</v>
      </c>
      <c r="P75" s="250">
        <f t="shared" si="23"/>
        <v>0</v>
      </c>
      <c r="U75" s="249">
        <f>((G75*E75*$C$95)*(References!$C$54/References!$G$60))-L75</f>
        <v>0</v>
      </c>
    </row>
    <row r="76" spans="1:21">
      <c r="A76" s="286"/>
      <c r="C76" t="s">
        <v>220</v>
      </c>
      <c r="D76" s="101"/>
      <c r="E76" s="81">
        <f>References!$B$12</f>
        <v>1</v>
      </c>
      <c r="F76" s="80">
        <f>E76*References!$G$22</f>
        <v>12</v>
      </c>
      <c r="G76" s="181">
        <f>References!B26</f>
        <v>50.133333333333333</v>
      </c>
      <c r="H76" s="98">
        <f t="shared" si="28"/>
        <v>601.6</v>
      </c>
      <c r="I76" s="98">
        <f t="shared" si="31"/>
        <v>465.34641696475995</v>
      </c>
      <c r="J76" s="83">
        <f>References!$C$54*'DF Calc (Kitsap Co.)'!I76</f>
        <v>0.93069283392952074</v>
      </c>
      <c r="K76" s="83">
        <f>J76/References!$G$60</f>
        <v>0.94898451036684162</v>
      </c>
      <c r="L76" s="83">
        <f t="shared" si="29"/>
        <v>7.9082042530570135E-2</v>
      </c>
      <c r="M76" s="43">
        <f>'Prop. Rates'!B98</f>
        <v>16.059999999999999</v>
      </c>
      <c r="N76" s="83">
        <f t="shared" si="30"/>
        <v>16.139082042530568</v>
      </c>
      <c r="O76" s="43">
        <f>'Prop. Rates'!D98</f>
        <v>16.139082042530568</v>
      </c>
      <c r="P76" s="250">
        <f t="shared" si="23"/>
        <v>0</v>
      </c>
      <c r="U76" s="249">
        <f>((G76*E76*$C$95)*(References!$C$54/References!$G$60))-L76</f>
        <v>0</v>
      </c>
    </row>
    <row r="77" spans="1:21">
      <c r="A77" s="286"/>
      <c r="C77" t="s">
        <v>221</v>
      </c>
      <c r="D77" s="101"/>
      <c r="E77" s="81">
        <f>References!$B$12</f>
        <v>1</v>
      </c>
      <c r="F77" s="80">
        <f>E77*References!$G$22</f>
        <v>12</v>
      </c>
      <c r="G77" s="181">
        <f>References!B27</f>
        <v>71.022222222222226</v>
      </c>
      <c r="H77" s="98">
        <f t="shared" si="28"/>
        <v>852.26666666666665</v>
      </c>
      <c r="I77" s="98">
        <f t="shared" si="31"/>
        <v>659.2407573667432</v>
      </c>
      <c r="J77" s="83">
        <f>References!$C$54*'DF Calc (Kitsap Co.)'!I77</f>
        <v>1.3184815147334876</v>
      </c>
      <c r="K77" s="83">
        <f>J77/References!$G$60</f>
        <v>1.3443947230196922</v>
      </c>
      <c r="L77" s="83">
        <f t="shared" si="29"/>
        <v>0.11203289358497436</v>
      </c>
      <c r="M77" s="43">
        <f>'Prop. Rates'!B99</f>
        <v>17.579999999999998</v>
      </c>
      <c r="N77" s="83">
        <f t="shared" si="30"/>
        <v>17.692032893584972</v>
      </c>
      <c r="O77" s="43">
        <f>'Prop. Rates'!D99</f>
        <v>17.692032893584972</v>
      </c>
      <c r="P77" s="250">
        <f t="shared" si="23"/>
        <v>0</v>
      </c>
      <c r="U77" s="249">
        <f>((G77*E77*$C$95)*(References!$C$54/References!$G$60))-L77</f>
        <v>0</v>
      </c>
    </row>
    <row r="78" spans="1:21">
      <c r="A78" s="286"/>
      <c r="C78" s="135" t="s">
        <v>45</v>
      </c>
      <c r="D78" s="102"/>
      <c r="E78" s="81">
        <f>References!$B$12</f>
        <v>1</v>
      </c>
      <c r="F78" s="80">
        <f>E78*References!$G$22</f>
        <v>12</v>
      </c>
      <c r="G78" s="181">
        <f>References!B47</f>
        <v>125</v>
      </c>
      <c r="H78" s="98">
        <f t="shared" si="28"/>
        <v>1500</v>
      </c>
      <c r="I78" s="98">
        <f t="shared" si="31"/>
        <v>1160.271983788464</v>
      </c>
      <c r="J78" s="83">
        <f>References!$C$54*'DF Calc (Kitsap Co.)'!I78</f>
        <v>2.3205439675769299</v>
      </c>
      <c r="K78" s="83">
        <f>J78/References!$G$60</f>
        <v>2.3661515384811542</v>
      </c>
      <c r="L78" s="83">
        <f>K78/F78</f>
        <v>0.19717929487342953</v>
      </c>
      <c r="M78" s="43">
        <f>+'Prop. Rates'!B85</f>
        <v>14.35</v>
      </c>
      <c r="N78" s="83">
        <f t="shared" si="30"/>
        <v>14.547179294873429</v>
      </c>
      <c r="O78" s="43">
        <f>+'Prop. Rates'!D85</f>
        <v>14.547179294873429</v>
      </c>
      <c r="P78" s="250">
        <f t="shared" si="23"/>
        <v>0</v>
      </c>
      <c r="U78" s="249">
        <f>((G78*E78*$C$95)*(References!$C$54/References!$G$60))-L78</f>
        <v>0</v>
      </c>
    </row>
    <row r="79" spans="1:21">
      <c r="A79" s="286"/>
      <c r="C79" s="100" t="s">
        <v>167</v>
      </c>
      <c r="D79" s="101"/>
      <c r="E79" s="81">
        <f>References!$B$12</f>
        <v>1</v>
      </c>
      <c r="F79" s="80">
        <f>E79*References!$G$22</f>
        <v>12</v>
      </c>
      <c r="G79" s="181">
        <f>G68</f>
        <v>29</v>
      </c>
      <c r="H79" s="98">
        <f>F79*G79</f>
        <v>348</v>
      </c>
      <c r="I79" s="98">
        <f>$C$95*H79</f>
        <v>269.1831002389236</v>
      </c>
      <c r="J79" s="83">
        <f>References!$C$54*'DF Calc (Kitsap Co.)'!I79</f>
        <v>0.53836620047784767</v>
      </c>
      <c r="K79" s="83">
        <f>J79/References!$G$60</f>
        <v>0.54894715692762774</v>
      </c>
      <c r="L79" s="83">
        <f>K79/F79</f>
        <v>4.5745596410635643E-2</v>
      </c>
      <c r="M79" s="43">
        <f>'Prop. Rates'!B101</f>
        <v>4.3899999999999997</v>
      </c>
      <c r="N79" s="83">
        <f>L79+M79</f>
        <v>4.4357455964106354</v>
      </c>
      <c r="O79" s="43">
        <f>'Prop. Rates'!D101</f>
        <v>4.4357455964106354</v>
      </c>
      <c r="P79" s="250">
        <f t="shared" si="23"/>
        <v>0</v>
      </c>
      <c r="U79" s="249">
        <f>((G79*E79*$C$95)*(References!$C$54/References!$G$60))-L79</f>
        <v>0</v>
      </c>
    </row>
    <row r="80" spans="1:21">
      <c r="A80" s="286"/>
      <c r="C80" s="100" t="s">
        <v>174</v>
      </c>
      <c r="D80" s="101">
        <v>0</v>
      </c>
      <c r="E80" s="101">
        <f>References!B10</f>
        <v>4.333333333333333</v>
      </c>
      <c r="F80" s="80">
        <f>E80*References!$G$22</f>
        <v>52</v>
      </c>
      <c r="G80" s="181">
        <f>References!$B$31</f>
        <v>29</v>
      </c>
      <c r="H80" s="98">
        <f t="shared" ref="H80:H86" si="32">F80*G80</f>
        <v>1508</v>
      </c>
      <c r="I80" s="98">
        <f t="shared" si="31"/>
        <v>1166.4601010353358</v>
      </c>
      <c r="J80" s="83">
        <f>References!$C$54*'DF Calc (Kitsap Co.)'!I80</f>
        <v>2.3329202020706736</v>
      </c>
      <c r="K80" s="83">
        <f>J80/References!$G$60</f>
        <v>2.3787710133530537</v>
      </c>
      <c r="L80" s="83">
        <f>K80/F80*E80</f>
        <v>0.19823091777942115</v>
      </c>
      <c r="M80" s="43">
        <f>'Prop. Rates'!B102</f>
        <v>17.46</v>
      </c>
      <c r="N80" s="83">
        <f t="shared" si="30"/>
        <v>17.658230917779424</v>
      </c>
      <c r="O80" s="43">
        <f>'Prop. Rates'!D102</f>
        <v>17.658230917779424</v>
      </c>
      <c r="P80" s="250">
        <f t="shared" si="23"/>
        <v>0</v>
      </c>
      <c r="U80" s="249">
        <f>((G80*E80*$C$95)*(References!$C$54/References!$G$60))-L80</f>
        <v>0</v>
      </c>
    </row>
    <row r="81" spans="1:21">
      <c r="A81" s="286"/>
      <c r="C81" s="100" t="s">
        <v>168</v>
      </c>
      <c r="D81" s="101"/>
      <c r="E81" s="81">
        <f>References!$B$12</f>
        <v>1</v>
      </c>
      <c r="F81" s="80">
        <f>E81*References!$G$22</f>
        <v>12</v>
      </c>
      <c r="G81" s="181">
        <f>References!$B$31</f>
        <v>29</v>
      </c>
      <c r="H81" s="98">
        <f t="shared" si="32"/>
        <v>348</v>
      </c>
      <c r="I81" s="98">
        <f t="shared" si="31"/>
        <v>269.1831002389236</v>
      </c>
      <c r="J81" s="83">
        <f>References!$C$54*'DF Calc (Kitsap Co.)'!I81</f>
        <v>0.53836620047784767</v>
      </c>
      <c r="K81" s="83">
        <f>J81/References!$G$60</f>
        <v>0.54894715692762774</v>
      </c>
      <c r="L81" s="83">
        <f t="shared" ref="L81:L86" si="33">K81/F81*E81</f>
        <v>4.5745596410635643E-2</v>
      </c>
      <c r="M81" s="43">
        <f>'Prop. Rates'!B103</f>
        <v>3.7</v>
      </c>
      <c r="N81" s="83">
        <f t="shared" si="30"/>
        <v>3.7457455964106359</v>
      </c>
      <c r="O81" s="43">
        <f>'Prop. Rates'!D103</f>
        <v>3.7457455964106359</v>
      </c>
      <c r="P81" s="250">
        <f t="shared" si="23"/>
        <v>0</v>
      </c>
      <c r="U81" s="249">
        <f>((G81*E81*$C$95)*(References!$C$54/References!$G$60))-L81</f>
        <v>0</v>
      </c>
    </row>
    <row r="82" spans="1:21">
      <c r="A82" s="286"/>
      <c r="C82" s="100" t="s">
        <v>169</v>
      </c>
      <c r="D82" s="101"/>
      <c r="E82" s="81">
        <f>References!$B$12</f>
        <v>1</v>
      </c>
      <c r="F82" s="80">
        <f>E82*References!$G$22</f>
        <v>12</v>
      </c>
      <c r="G82" s="181">
        <f>References!$B$31</f>
        <v>29</v>
      </c>
      <c r="H82" s="98">
        <f t="shared" si="32"/>
        <v>348</v>
      </c>
      <c r="I82" s="98">
        <f t="shared" si="31"/>
        <v>269.1831002389236</v>
      </c>
      <c r="J82" s="83">
        <f>References!$C$54*'DF Calc (Kitsap Co.)'!I82</f>
        <v>0.53836620047784767</v>
      </c>
      <c r="K82" s="83">
        <f>J82/References!$G$60</f>
        <v>0.54894715692762774</v>
      </c>
      <c r="L82" s="83">
        <f t="shared" si="33"/>
        <v>4.5745596410635643E-2</v>
      </c>
      <c r="M82" s="43">
        <f>'Prop. Rates'!B104</f>
        <v>4.0199999999999996</v>
      </c>
      <c r="N82" s="83">
        <f t="shared" si="30"/>
        <v>4.0657455964106353</v>
      </c>
      <c r="O82" s="43">
        <f>'Prop. Rates'!D104</f>
        <v>4.0657455964106353</v>
      </c>
      <c r="P82" s="250">
        <f t="shared" si="23"/>
        <v>0</v>
      </c>
      <c r="U82" s="249">
        <f>((G82*E82*$C$95)*(References!$C$54/References!$G$60))-L82</f>
        <v>0</v>
      </c>
    </row>
    <row r="83" spans="1:21">
      <c r="A83" s="286"/>
      <c r="C83" s="100" t="s">
        <v>170</v>
      </c>
      <c r="D83" s="101">
        <v>0</v>
      </c>
      <c r="E83" s="101">
        <f>References!$B$10</f>
        <v>4.333333333333333</v>
      </c>
      <c r="F83" s="80">
        <f>E83*References!$G$22</f>
        <v>52</v>
      </c>
      <c r="G83" s="181">
        <f>References!B23</f>
        <v>37.1875</v>
      </c>
      <c r="H83" s="98">
        <f t="shared" si="32"/>
        <v>1933.75</v>
      </c>
      <c r="I83" s="98">
        <f t="shared" si="31"/>
        <v>1495.7839657672948</v>
      </c>
      <c r="J83" s="83">
        <f>References!$C$54*'DF Calc (Kitsap Co.)'!I83</f>
        <v>2.9915679315345924</v>
      </c>
      <c r="K83" s="83">
        <f>J83/References!$G$60</f>
        <v>3.0503636916919552</v>
      </c>
      <c r="L83" s="83">
        <f>K83/F83*E83</f>
        <v>0.25419697430766292</v>
      </c>
      <c r="M83" s="43">
        <f>'Prop. Rates'!B106</f>
        <v>18.899999999999999</v>
      </c>
      <c r="N83" s="83">
        <f t="shared" si="30"/>
        <v>19.154196974307663</v>
      </c>
      <c r="O83" s="196">
        <f>'Prop. Rates'!D106</f>
        <v>19.154196974307663</v>
      </c>
      <c r="P83" s="250">
        <f t="shared" si="23"/>
        <v>0</v>
      </c>
      <c r="U83" s="249">
        <f>((G83*E83*$C$95)*(References!$C$54/References!$G$60))-L83</f>
        <v>0</v>
      </c>
    </row>
    <row r="84" spans="1:21">
      <c r="A84" s="286"/>
      <c r="C84" s="100" t="s">
        <v>171</v>
      </c>
      <c r="D84" s="101">
        <v>0</v>
      </c>
      <c r="E84" s="101">
        <f>References!$B$10</f>
        <v>4.333333333333333</v>
      </c>
      <c r="F84" s="80">
        <f>E84*References!$G$22</f>
        <v>52</v>
      </c>
      <c r="G84" s="176">
        <f>References!$B$25</f>
        <v>51</v>
      </c>
      <c r="H84" s="98">
        <f t="shared" si="32"/>
        <v>2652</v>
      </c>
      <c r="I84" s="98">
        <f t="shared" si="31"/>
        <v>2051.360867338004</v>
      </c>
      <c r="J84" s="83">
        <f>References!$C$54*'DF Calc (Kitsap Co.)'!I84</f>
        <v>4.1027217346760114</v>
      </c>
      <c r="K84" s="83">
        <f>J84/References!$G$60</f>
        <v>4.1833559200346802</v>
      </c>
      <c r="L84" s="83">
        <f t="shared" si="33"/>
        <v>0.34861299333622331</v>
      </c>
      <c r="M84" s="43">
        <f>'Prop. Rates'!B107</f>
        <v>21.57</v>
      </c>
      <c r="N84" s="83">
        <f t="shared" si="30"/>
        <v>21.918612993336225</v>
      </c>
      <c r="O84" s="196">
        <f>'Prop. Rates'!D107</f>
        <v>21.918612993336225</v>
      </c>
      <c r="P84" s="250">
        <f t="shared" si="23"/>
        <v>0</v>
      </c>
      <c r="U84" s="249">
        <f>((G84*E84*$C$95)*(References!$C$54/References!$G$60))-L84</f>
        <v>0</v>
      </c>
    </row>
    <row r="85" spans="1:21">
      <c r="A85" s="286"/>
      <c r="C85" s="100" t="s">
        <v>172</v>
      </c>
      <c r="D85" s="101">
        <v>0</v>
      </c>
      <c r="E85" s="101">
        <f>References!$B$10</f>
        <v>4.333333333333333</v>
      </c>
      <c r="F85" s="80">
        <f>E85*References!$G$22</f>
        <v>52</v>
      </c>
      <c r="G85" s="181">
        <f>References!B26</f>
        <v>50.133333333333333</v>
      </c>
      <c r="H85" s="98">
        <f t="shared" si="32"/>
        <v>2606.9333333333334</v>
      </c>
      <c r="I85" s="98">
        <f t="shared" si="31"/>
        <v>2016.5011401806264</v>
      </c>
      <c r="J85" s="83">
        <f>References!$C$54*'DF Calc (Kitsap Co.)'!I85</f>
        <v>4.0330022803612566</v>
      </c>
      <c r="K85" s="83">
        <f>J85/References!$G$60</f>
        <v>4.1122662115896471</v>
      </c>
      <c r="L85" s="83">
        <f t="shared" si="33"/>
        <v>0.34268885096580387</v>
      </c>
      <c r="M85" s="43">
        <f>'Prop. Rates'!B108</f>
        <v>25.71</v>
      </c>
      <c r="N85" s="83">
        <f t="shared" si="30"/>
        <v>26.052688850965804</v>
      </c>
      <c r="O85" s="196">
        <f>'Prop. Rates'!D108</f>
        <v>26.052688850965804</v>
      </c>
      <c r="P85" s="250">
        <f t="shared" si="23"/>
        <v>0</v>
      </c>
      <c r="U85" s="249">
        <f>((G85*E85*$C$95)*(References!$C$54/References!$G$60))-L85</f>
        <v>0</v>
      </c>
    </row>
    <row r="86" spans="1:21">
      <c r="A86" s="286"/>
      <c r="C86" s="100" t="s">
        <v>173</v>
      </c>
      <c r="D86" s="101">
        <v>0</v>
      </c>
      <c r="E86" s="101">
        <f>References!$B$10</f>
        <v>4.333333333333333</v>
      </c>
      <c r="F86" s="80">
        <f>E86*References!$G$22</f>
        <v>52</v>
      </c>
      <c r="G86" s="181">
        <f>References!B27</f>
        <v>71.022222222222226</v>
      </c>
      <c r="H86" s="98">
        <f t="shared" si="32"/>
        <v>3693.1555555555556</v>
      </c>
      <c r="I86" s="98">
        <f t="shared" si="31"/>
        <v>2856.7099485892209</v>
      </c>
      <c r="J86" s="83">
        <f>References!$C$54*'DF Calc (Kitsap Co.)'!I86</f>
        <v>5.7134198971784471</v>
      </c>
      <c r="K86" s="83">
        <f>J86/References!$G$60</f>
        <v>5.8257104664186672</v>
      </c>
      <c r="L86" s="83">
        <f t="shared" si="33"/>
        <v>0.48547587220155558</v>
      </c>
      <c r="M86" s="43">
        <f>'Prop. Rates'!B109</f>
        <v>32.35</v>
      </c>
      <c r="N86" s="83">
        <f t="shared" si="30"/>
        <v>32.835475872201556</v>
      </c>
      <c r="O86" s="196">
        <f>'Prop. Rates'!D109</f>
        <v>32.835475872201556</v>
      </c>
      <c r="P86" s="250">
        <f t="shared" si="23"/>
        <v>0</v>
      </c>
      <c r="U86" s="249">
        <f>((G86*E86*$C$95)*(References!$C$54/References!$G$60))-L86</f>
        <v>0</v>
      </c>
    </row>
    <row r="87" spans="1:21">
      <c r="A87" s="286"/>
      <c r="B87" s="23"/>
      <c r="C87" s="110"/>
      <c r="D87" s="105"/>
      <c r="E87" s="111"/>
      <c r="F87" s="108"/>
      <c r="G87" s="182"/>
      <c r="H87" s="108"/>
      <c r="I87" s="108"/>
      <c r="J87" s="60"/>
      <c r="K87" s="60"/>
      <c r="L87" s="60"/>
      <c r="M87" s="112"/>
      <c r="N87" s="60"/>
      <c r="O87" s="109"/>
      <c r="R87" s="113"/>
    </row>
    <row r="88" spans="1:21">
      <c r="A88" s="67"/>
      <c r="B88" s="169"/>
      <c r="C88" s="67"/>
      <c r="D88" s="114"/>
      <c r="E88" s="86"/>
      <c r="F88" s="80"/>
      <c r="G88" s="181"/>
      <c r="H88" s="80"/>
      <c r="I88" s="82"/>
      <c r="J88" s="83"/>
      <c r="K88" s="83"/>
      <c r="L88" s="83"/>
      <c r="M88" s="91"/>
      <c r="N88" s="83"/>
      <c r="O88" s="91"/>
    </row>
    <row r="89" spans="1:21">
      <c r="A89" s="115"/>
      <c r="C89" s="116"/>
    </row>
    <row r="90" spans="1:21">
      <c r="A90" s="115"/>
      <c r="B90" s="289" t="s">
        <v>201</v>
      </c>
      <c r="C90" s="289"/>
      <c r="D90" s="78"/>
      <c r="E90" s="67"/>
      <c r="F90" s="67"/>
      <c r="H90" s="278"/>
    </row>
    <row r="91" spans="1:21">
      <c r="A91" s="115"/>
      <c r="B91" s="78"/>
      <c r="C91" s="118" t="s">
        <v>36</v>
      </c>
      <c r="D91" s="78"/>
      <c r="E91" s="119"/>
      <c r="F91" s="119"/>
      <c r="H91" s="280"/>
      <c r="J91" s="120"/>
      <c r="P91" s="97"/>
      <c r="Q91" s="120"/>
    </row>
    <row r="92" spans="1:21">
      <c r="A92" s="115"/>
      <c r="B92" s="78" t="s">
        <v>202</v>
      </c>
      <c r="C92" s="121">
        <f>References!B60</f>
        <v>2570</v>
      </c>
      <c r="D92" s="78"/>
      <c r="E92" s="98"/>
      <c r="F92" s="98"/>
      <c r="G92" s="184"/>
      <c r="H92" s="281"/>
      <c r="I92" s="80"/>
      <c r="J92" s="120"/>
      <c r="P92" s="97"/>
      <c r="Q92" s="43"/>
    </row>
    <row r="93" spans="1:21">
      <c r="A93" s="115"/>
      <c r="B93" s="78" t="s">
        <v>203</v>
      </c>
      <c r="C93" s="122">
        <f>C92*2000</f>
        <v>5140000</v>
      </c>
      <c r="D93" s="78"/>
      <c r="E93" s="122"/>
      <c r="F93" s="122"/>
      <c r="G93" s="185"/>
      <c r="H93" s="123"/>
      <c r="J93" s="120"/>
      <c r="Q93" s="43"/>
    </row>
    <row r="94" spans="1:21">
      <c r="A94" s="115"/>
      <c r="B94" s="78" t="s">
        <v>204</v>
      </c>
      <c r="C94" s="122">
        <f>F50</f>
        <v>87648</v>
      </c>
      <c r="D94" s="78"/>
      <c r="E94" s="98"/>
      <c r="F94" s="98"/>
      <c r="G94" s="183"/>
      <c r="I94" s="80"/>
      <c r="J94" s="120"/>
      <c r="P94" s="97"/>
      <c r="Q94" s="43"/>
    </row>
    <row r="95" spans="1:21">
      <c r="B95" s="44" t="s">
        <v>205</v>
      </c>
      <c r="C95" s="124">
        <f>C93/$H$50</f>
        <v>0.77351465585897594</v>
      </c>
      <c r="D95" s="78"/>
      <c r="E95" s="124"/>
      <c r="F95" s="124"/>
      <c r="G95" s="186"/>
      <c r="H95" s="125"/>
      <c r="J95" s="120"/>
      <c r="M95" s="126"/>
      <c r="N95" s="126"/>
      <c r="O95" s="126"/>
      <c r="P95" s="127"/>
      <c r="Q95" s="127"/>
    </row>
    <row r="96" spans="1:21">
      <c r="E96" s="120"/>
      <c r="G96" s="187"/>
      <c r="H96" s="103"/>
      <c r="J96" s="120"/>
      <c r="M96" s="113"/>
      <c r="N96" s="128"/>
      <c r="O96" s="128"/>
      <c r="P96" s="117"/>
      <c r="Q96" s="125"/>
    </row>
    <row r="97" spans="2:17">
      <c r="D97" s="129"/>
      <c r="E97" s="130"/>
      <c r="G97" s="187"/>
      <c r="H97" s="103"/>
      <c r="J97" s="120"/>
      <c r="M97" s="113"/>
      <c r="N97" s="128"/>
      <c r="O97" s="128"/>
      <c r="P97" s="117"/>
      <c r="Q97" s="125"/>
    </row>
    <row r="98" spans="2:17">
      <c r="B98" s="285"/>
      <c r="C98" s="285"/>
      <c r="D98" s="285"/>
      <c r="E98" s="130"/>
      <c r="G98" s="187"/>
      <c r="H98" s="103"/>
      <c r="J98" s="120"/>
      <c r="M98" s="113"/>
      <c r="N98" s="128"/>
      <c r="O98" s="128"/>
      <c r="P98" s="117"/>
      <c r="Q98" s="125"/>
    </row>
    <row r="99" spans="2:17">
      <c r="B99" s="67"/>
      <c r="C99" s="133"/>
      <c r="D99" s="67"/>
      <c r="I99" s="78"/>
    </row>
    <row r="100" spans="2:17">
      <c r="B100" s="67"/>
      <c r="C100" s="131"/>
      <c r="D100" s="132"/>
      <c r="E100" s="120"/>
      <c r="I100" s="78"/>
    </row>
    <row r="101" spans="2:17">
      <c r="B101" s="134"/>
      <c r="C101" s="131"/>
      <c r="D101" s="132"/>
      <c r="I101" s="78"/>
    </row>
    <row r="102" spans="2:17">
      <c r="B102" s="134"/>
      <c r="C102" s="131"/>
      <c r="D102" s="132"/>
      <c r="I102" s="78"/>
    </row>
    <row r="103" spans="2:17">
      <c r="D103" s="78"/>
    </row>
  </sheetData>
  <mergeCells count="6">
    <mergeCell ref="B98:D98"/>
    <mergeCell ref="A6:A40"/>
    <mergeCell ref="A42:A48"/>
    <mergeCell ref="A54:A58"/>
    <mergeCell ref="A68:A87"/>
    <mergeCell ref="B90:C90"/>
  </mergeCells>
  <pageMargins left="0.7" right="0.7" top="0.75" bottom="0.75" header="0.3" footer="0.3"/>
  <pageSetup scale="42" fitToHeight="0" pageOrder="overThenDown" orientation="landscape" r:id="rId1"/>
  <headerFooter>
    <oddFooter xml:space="preserve">&amp;R&amp;P of &amp;N    </oddFooter>
  </headerFooter>
  <rowBreaks count="1" manualBreakCount="1">
    <brk id="5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3"/>
  <sheetViews>
    <sheetView view="pageBreakPreview" topLeftCell="A43" zoomScale="85" zoomScaleNormal="90" zoomScaleSheetLayoutView="85" workbookViewId="0">
      <selection activeCell="M25" sqref="M25"/>
    </sheetView>
  </sheetViews>
  <sheetFormatPr defaultRowHeight="15"/>
  <cols>
    <col min="1" max="1" width="29.140625" customWidth="1"/>
    <col min="2" max="2" width="11.140625" customWidth="1"/>
    <col min="3" max="3" width="10.7109375" customWidth="1"/>
    <col min="4" max="4" width="11.85546875" customWidth="1"/>
  </cols>
  <sheetData>
    <row r="1" spans="1:8" ht="20.25" customHeight="1">
      <c r="A1" s="236" t="s">
        <v>280</v>
      </c>
      <c r="B1" s="237"/>
      <c r="C1" s="238"/>
      <c r="D1" s="238"/>
    </row>
    <row r="2" spans="1:8" ht="15.75">
      <c r="A2" s="27"/>
      <c r="B2" s="237"/>
      <c r="C2" s="238"/>
      <c r="D2" s="238" t="s">
        <v>249</v>
      </c>
    </row>
    <row r="3" spans="1:8" ht="15" customHeight="1">
      <c r="B3" s="237" t="s">
        <v>248</v>
      </c>
      <c r="C3" s="238"/>
      <c r="D3" s="239" t="s">
        <v>251</v>
      </c>
    </row>
    <row r="4" spans="1:8" ht="21">
      <c r="A4" s="140" t="s">
        <v>216</v>
      </c>
      <c r="B4" s="239" t="s">
        <v>252</v>
      </c>
      <c r="C4" s="238" t="s">
        <v>249</v>
      </c>
      <c r="D4" s="239" t="s">
        <v>254</v>
      </c>
    </row>
    <row r="5" spans="1:8" ht="15.75">
      <c r="A5" s="27"/>
      <c r="B5" s="239" t="s">
        <v>253</v>
      </c>
      <c r="C5" s="238" t="s">
        <v>250</v>
      </c>
      <c r="D5" s="248">
        <v>43282</v>
      </c>
      <c r="E5" s="136"/>
    </row>
    <row r="6" spans="1:8">
      <c r="A6" s="27" t="s">
        <v>111</v>
      </c>
      <c r="B6" t="s">
        <v>1</v>
      </c>
      <c r="D6" t="s">
        <v>1</v>
      </c>
    </row>
    <row r="7" spans="1:8">
      <c r="B7" s="137"/>
      <c r="C7" s="25"/>
      <c r="D7" s="137"/>
      <c r="F7" s="137"/>
      <c r="H7" s="136"/>
    </row>
    <row r="8" spans="1:8">
      <c r="A8" s="188" t="s">
        <v>226</v>
      </c>
      <c r="B8" s="189"/>
      <c r="C8" s="189"/>
      <c r="D8" s="189"/>
      <c r="E8" s="188" t="s">
        <v>225</v>
      </c>
      <c r="F8" s="137"/>
      <c r="H8" s="136"/>
    </row>
    <row r="9" spans="1:8">
      <c r="A9" s="144" t="s">
        <v>112</v>
      </c>
      <c r="B9" s="137">
        <v>4.1399999999999997</v>
      </c>
      <c r="C9" s="25">
        <f>'DF Calc (Kitsap Co.)'!L54</f>
        <v>5.3632768205572834E-2</v>
      </c>
      <c r="D9" s="137">
        <f>B9+C9</f>
        <v>4.193632768205573</v>
      </c>
      <c r="F9" s="137"/>
      <c r="H9" s="136"/>
    </row>
    <row r="10" spans="1:8">
      <c r="B10" s="137"/>
      <c r="C10" s="25"/>
      <c r="D10" s="137"/>
      <c r="E10" s="27"/>
      <c r="F10" s="137"/>
    </row>
    <row r="11" spans="1:8">
      <c r="B11" s="137"/>
      <c r="C11" s="25"/>
      <c r="D11" s="137"/>
      <c r="E11" s="27"/>
      <c r="F11" s="137"/>
    </row>
    <row r="12" spans="1:8">
      <c r="A12" s="188" t="s">
        <v>227</v>
      </c>
      <c r="B12" s="190"/>
      <c r="C12" s="191"/>
      <c r="D12" s="190"/>
      <c r="E12" s="188" t="s">
        <v>225</v>
      </c>
      <c r="F12" s="137"/>
    </row>
    <row r="13" spans="1:8">
      <c r="A13" t="s">
        <v>113</v>
      </c>
      <c r="B13" s="137">
        <v>14.5</v>
      </c>
      <c r="C13" s="25">
        <f>'DF Calc (Kitsap Co.)'!L7</f>
        <v>0.23240866222414894</v>
      </c>
      <c r="D13" s="137">
        <f t="shared" ref="D13:D37" si="0">B13+C13</f>
        <v>14.732408662224149</v>
      </c>
      <c r="F13" s="137"/>
    </row>
    <row r="14" spans="1:8">
      <c r="A14" t="s">
        <v>114</v>
      </c>
      <c r="B14" s="137">
        <v>21.34</v>
      </c>
      <c r="C14" s="25">
        <f>'DF Calc (Kitsap Co.)'!L8</f>
        <v>0.34861299333622331</v>
      </c>
      <c r="D14" s="137">
        <f t="shared" si="0"/>
        <v>21.688612993336225</v>
      </c>
      <c r="E14" s="27"/>
      <c r="F14" s="137"/>
    </row>
    <row r="15" spans="1:8">
      <c r="A15" t="s">
        <v>115</v>
      </c>
      <c r="B15" s="137">
        <v>28.36</v>
      </c>
      <c r="C15" s="25">
        <f>'DF Calc (Kitsap Co.)'!L9</f>
        <v>0.5263372644488078</v>
      </c>
      <c r="D15" s="137">
        <f t="shared" si="0"/>
        <v>28.886337264448809</v>
      </c>
      <c r="E15" s="27"/>
      <c r="F15" s="137"/>
    </row>
    <row r="16" spans="1:8">
      <c r="A16" s="144" t="s">
        <v>116</v>
      </c>
      <c r="B16" s="137">
        <v>36.130000000000003</v>
      </c>
      <c r="C16" s="25">
        <f>'DF Calc (Kitsap Co.)'!L55</f>
        <v>0.66304824222771896</v>
      </c>
      <c r="D16" s="137">
        <f t="shared" si="0"/>
        <v>36.793048242227719</v>
      </c>
      <c r="E16" s="27"/>
      <c r="F16" s="137"/>
    </row>
    <row r="17" spans="1:6">
      <c r="A17" s="144" t="s">
        <v>117</v>
      </c>
      <c r="B17" s="137">
        <v>43.14</v>
      </c>
      <c r="C17" s="25">
        <f>'DF Calc (Kitsap Co.)'!L56</f>
        <v>0.79975922000663024</v>
      </c>
      <c r="D17" s="137">
        <f t="shared" si="0"/>
        <v>43.939759220006628</v>
      </c>
      <c r="E17" s="27"/>
      <c r="F17" s="137"/>
    </row>
    <row r="18" spans="1:6">
      <c r="A18" s="144" t="s">
        <v>118</v>
      </c>
      <c r="B18" s="137">
        <v>49.9</v>
      </c>
      <c r="C18" s="25">
        <f>'DF Calc (Kitsap Co.)'!L57</f>
        <v>1.0731811755644522</v>
      </c>
      <c r="D18" s="137">
        <f t="shared" si="0"/>
        <v>50.973181175564449</v>
      </c>
      <c r="E18" s="27"/>
      <c r="F18" s="137"/>
    </row>
    <row r="19" spans="1:6">
      <c r="A19" t="s">
        <v>119</v>
      </c>
      <c r="B19" s="137">
        <v>19.03</v>
      </c>
      <c r="C19" s="25">
        <f>'DF Calc (Kitsap Co.)'!L10</f>
        <v>0.32682468125270941</v>
      </c>
      <c r="D19" s="137">
        <f t="shared" si="0"/>
        <v>19.356824681252711</v>
      </c>
      <c r="E19" s="27"/>
      <c r="F19" s="137"/>
    </row>
    <row r="20" spans="1:6">
      <c r="A20" t="s">
        <v>120</v>
      </c>
      <c r="B20" s="137">
        <v>8.3800000000000008</v>
      </c>
      <c r="C20" s="25">
        <f>'DF Calc (Kitsap Co.)'!L18</f>
        <v>0.11620433111207447</v>
      </c>
      <c r="D20" s="137">
        <f t="shared" si="0"/>
        <v>8.4962043311120752</v>
      </c>
      <c r="E20" s="27"/>
      <c r="F20" s="137"/>
    </row>
    <row r="21" spans="1:6">
      <c r="A21" t="s">
        <v>121</v>
      </c>
      <c r="B21" s="137">
        <v>13.37</v>
      </c>
      <c r="C21" s="25">
        <f>'DF Calc (Kitsap Co.)'!L19</f>
        <v>0.17430649666811171</v>
      </c>
      <c r="D21" s="137">
        <f t="shared" si="0"/>
        <v>13.544306496668112</v>
      </c>
      <c r="E21" s="27"/>
      <c r="F21" s="137"/>
    </row>
    <row r="22" spans="1:6">
      <c r="A22" t="s">
        <v>122</v>
      </c>
      <c r="B22" s="137">
        <v>4.68</v>
      </c>
      <c r="C22" s="25">
        <f>'DF Calc (Kitsap Co.)'!L26</f>
        <v>5.3632768205572834E-2</v>
      </c>
      <c r="D22" s="137">
        <f t="shared" si="0"/>
        <v>4.7336327682055721</v>
      </c>
      <c r="E22" s="27"/>
      <c r="F22" s="137"/>
    </row>
    <row r="23" spans="1:6">
      <c r="A23" t="s">
        <v>123</v>
      </c>
      <c r="B23" s="137">
        <v>12.32</v>
      </c>
      <c r="C23" s="25">
        <f>'DF Calc (Kitsap Co.)'!L6</f>
        <v>0.13671097777891111</v>
      </c>
      <c r="D23" s="137">
        <f t="shared" si="0"/>
        <v>12.456710977778911</v>
      </c>
      <c r="E23" s="27"/>
      <c r="F23" s="137"/>
    </row>
    <row r="24" spans="1:6">
      <c r="A24" t="s">
        <v>1</v>
      </c>
      <c r="B24" s="137"/>
      <c r="C24" s="25"/>
      <c r="D24" s="137"/>
      <c r="E24" s="27"/>
      <c r="F24" s="137"/>
    </row>
    <row r="25" spans="1:6">
      <c r="A25" s="27" t="s">
        <v>124</v>
      </c>
      <c r="B25" s="137"/>
      <c r="C25" s="25"/>
      <c r="D25" s="137"/>
      <c r="E25" s="27"/>
      <c r="F25" s="137"/>
    </row>
    <row r="26" spans="1:6">
      <c r="A26" t="s">
        <v>125</v>
      </c>
      <c r="B26" s="137">
        <v>16.579999999999998</v>
      </c>
      <c r="C26" s="25">
        <f>'DF Calc (Kitsap Co.)'!L13</f>
        <v>0.25419697430766292</v>
      </c>
      <c r="D26" s="137">
        <f t="shared" si="0"/>
        <v>16.834196974307662</v>
      </c>
      <c r="E26" s="27"/>
      <c r="F26" s="137"/>
    </row>
    <row r="27" spans="1:6">
      <c r="A27" t="s">
        <v>126</v>
      </c>
      <c r="B27" s="137">
        <v>20.68</v>
      </c>
      <c r="C27" s="25">
        <f>'DF Calc (Kitsap Co.)'!L14</f>
        <v>0.34861299333622342</v>
      </c>
      <c r="D27" s="137">
        <f t="shared" si="0"/>
        <v>21.028612993336225</v>
      </c>
      <c r="E27" s="27"/>
      <c r="F27" s="137"/>
    </row>
    <row r="28" spans="1:6">
      <c r="A28" t="s">
        <v>127</v>
      </c>
      <c r="B28" s="137">
        <v>24.76</v>
      </c>
      <c r="C28" s="25">
        <f>'DF Calc (Kitsap Co.)'!L15</f>
        <v>0.34268885096580387</v>
      </c>
      <c r="D28" s="137">
        <f t="shared" si="0"/>
        <v>25.102688850965805</v>
      </c>
      <c r="E28" s="27"/>
      <c r="F28" s="137"/>
    </row>
    <row r="29" spans="1:6">
      <c r="A29" t="s">
        <v>128</v>
      </c>
      <c r="B29" s="137">
        <v>31.18</v>
      </c>
      <c r="C29" s="25">
        <f>'DF Calc (Kitsap Co.)'!L16</f>
        <v>0.48547587220155558</v>
      </c>
      <c r="D29" s="137">
        <f t="shared" si="0"/>
        <v>31.665475872201554</v>
      </c>
      <c r="E29" s="27"/>
      <c r="F29" s="137"/>
    </row>
    <row r="30" spans="1:6">
      <c r="A30" t="s">
        <v>129</v>
      </c>
      <c r="B30" s="137">
        <v>9.98</v>
      </c>
      <c r="C30" s="25">
        <f>'DF Calc (Kitsap Co.)'!L21</f>
        <v>0.12709848715383143</v>
      </c>
      <c r="D30" s="137">
        <f t="shared" si="0"/>
        <v>10.107098487153833</v>
      </c>
      <c r="E30" s="27"/>
      <c r="F30" s="137"/>
    </row>
    <row r="31" spans="1:6">
      <c r="A31" t="s">
        <v>130</v>
      </c>
      <c r="B31" s="137">
        <v>13.15</v>
      </c>
      <c r="C31" s="25">
        <f>'DF Calc (Kitsap Co.)'!L22</f>
        <v>0.17430649666811171</v>
      </c>
      <c r="D31" s="137">
        <f t="shared" si="0"/>
        <v>13.324306496668113</v>
      </c>
      <c r="E31" s="27"/>
      <c r="F31" s="137"/>
    </row>
    <row r="32" spans="1:6">
      <c r="A32" t="s">
        <v>131</v>
      </c>
      <c r="B32" s="137">
        <v>15.66</v>
      </c>
      <c r="C32" s="25">
        <f>'DF Calc (Kitsap Co.)'!L23</f>
        <v>0.17134442548290194</v>
      </c>
      <c r="D32" s="137">
        <f t="shared" si="0"/>
        <v>15.831344425482902</v>
      </c>
      <c r="E32" s="27"/>
      <c r="F32" s="137"/>
    </row>
    <row r="33" spans="1:6">
      <c r="A33" t="s">
        <v>132</v>
      </c>
      <c r="B33" s="137">
        <v>19.48</v>
      </c>
      <c r="C33" s="25">
        <f>'DF Calc (Kitsap Co.)'!L24</f>
        <v>0.24273793610077776</v>
      </c>
      <c r="D33" s="137">
        <f t="shared" si="0"/>
        <v>19.722737936100778</v>
      </c>
      <c r="E33" s="27"/>
      <c r="F33" s="137"/>
    </row>
    <row r="34" spans="1:6">
      <c r="A34" t="s">
        <v>133</v>
      </c>
      <c r="B34" s="137">
        <v>6.04</v>
      </c>
      <c r="C34" s="25">
        <f>'DF Calc (Kitsap Co.)'!L27</f>
        <v>5.8660840224845287E-2</v>
      </c>
      <c r="D34" s="137">
        <f t="shared" si="0"/>
        <v>6.098660840224845</v>
      </c>
      <c r="E34" s="27"/>
      <c r="F34" s="137"/>
    </row>
    <row r="35" spans="1:6">
      <c r="A35" t="s">
        <v>134</v>
      </c>
      <c r="B35" s="137">
        <v>7.56</v>
      </c>
      <c r="C35" s="25">
        <f>'DF Calc (Kitsap Co.)'!L28</f>
        <v>8.0449152308359237E-2</v>
      </c>
      <c r="D35" s="137">
        <f t="shared" si="0"/>
        <v>7.6404491523083591</v>
      </c>
      <c r="E35" s="27"/>
      <c r="F35" s="137"/>
    </row>
    <row r="36" spans="1:6">
      <c r="A36" t="s">
        <v>135</v>
      </c>
      <c r="B36" s="137">
        <v>8.9</v>
      </c>
      <c r="C36" s="25">
        <f>'DF Calc (Kitsap Co.)'!L29</f>
        <v>7.9082042530570135E-2</v>
      </c>
      <c r="D36" s="137">
        <f t="shared" si="0"/>
        <v>8.9790820425305711</v>
      </c>
      <c r="E36" s="27"/>
      <c r="F36" s="137"/>
    </row>
    <row r="37" spans="1:6">
      <c r="A37" t="s">
        <v>136</v>
      </c>
      <c r="B37" s="137">
        <v>10.87</v>
      </c>
      <c r="C37" s="25">
        <f>'DF Calc (Kitsap Co.)'!L30</f>
        <v>0.11203289358497436</v>
      </c>
      <c r="D37" s="137">
        <f t="shared" si="0"/>
        <v>10.982032893584973</v>
      </c>
      <c r="E37" s="27"/>
      <c r="F37" s="137"/>
    </row>
    <row r="38" spans="1:6">
      <c r="B38" s="137"/>
      <c r="C38" s="25"/>
      <c r="D38" s="137"/>
      <c r="E38" s="27"/>
      <c r="F38" s="137"/>
    </row>
    <row r="39" spans="1:6">
      <c r="B39" s="137"/>
      <c r="C39" s="25"/>
      <c r="D39" s="137"/>
      <c r="E39" s="27"/>
      <c r="F39" s="137"/>
    </row>
    <row r="40" spans="1:6">
      <c r="A40" s="188" t="s">
        <v>228</v>
      </c>
      <c r="B40" s="190"/>
      <c r="C40" s="191"/>
      <c r="D40" s="190"/>
      <c r="E40" s="188" t="s">
        <v>225</v>
      </c>
      <c r="F40" s="137"/>
    </row>
    <row r="41" spans="1:6">
      <c r="A41" t="s">
        <v>137</v>
      </c>
      <c r="B41" s="137">
        <v>4.1399999999999997</v>
      </c>
      <c r="C41" s="25">
        <f>'DF Calc (Kitsap Co.)'!L38</f>
        <v>5.3632768205572827E-2</v>
      </c>
      <c r="D41" s="137">
        <f>B41+C41</f>
        <v>4.1936327682055721</v>
      </c>
      <c r="E41" s="27"/>
      <c r="F41" s="137"/>
    </row>
    <row r="42" spans="1:6">
      <c r="A42" t="s">
        <v>138</v>
      </c>
      <c r="B42" s="137">
        <v>4.68</v>
      </c>
      <c r="C42" s="25">
        <f>'DF Calc (Kitsap Co.)'!L39</f>
        <v>5.3632768205572834E-2</v>
      </c>
      <c r="D42" s="137">
        <f>B42+C42</f>
        <v>4.7336327682055721</v>
      </c>
      <c r="E42" s="27"/>
      <c r="F42" s="137"/>
    </row>
    <row r="43" spans="1:6">
      <c r="B43" s="137"/>
      <c r="C43" s="25"/>
      <c r="D43" s="137"/>
      <c r="E43" s="27"/>
      <c r="F43" s="137"/>
    </row>
    <row r="44" spans="1:6">
      <c r="A44" t="s">
        <v>139</v>
      </c>
      <c r="B44" s="137">
        <v>6.04</v>
      </c>
      <c r="C44" s="25">
        <f>'DF Calc (Kitsap Co.)'!L33</f>
        <v>5.866084022484528E-2</v>
      </c>
      <c r="D44" s="137">
        <f>B44+C44</f>
        <v>6.098660840224845</v>
      </c>
      <c r="E44" s="27"/>
      <c r="F44" s="137"/>
    </row>
    <row r="45" spans="1:6">
      <c r="A45" t="s">
        <v>140</v>
      </c>
      <c r="B45" s="137">
        <v>7.56</v>
      </c>
      <c r="C45" s="25">
        <f>'DF Calc (Kitsap Co.)'!L34</f>
        <v>8.0449152308359237E-2</v>
      </c>
      <c r="D45" s="137">
        <f>B45+C45</f>
        <v>7.6404491523083591</v>
      </c>
      <c r="E45" s="27"/>
      <c r="F45" s="137"/>
    </row>
    <row r="46" spans="1:6">
      <c r="A46" t="s">
        <v>141</v>
      </c>
      <c r="B46" s="137">
        <v>8.9</v>
      </c>
      <c r="C46" s="25">
        <f>'DF Calc (Kitsap Co.)'!L35</f>
        <v>7.9082042530570135E-2</v>
      </c>
      <c r="D46" s="137">
        <f>B46+C46</f>
        <v>8.9790820425305711</v>
      </c>
      <c r="E46" s="27"/>
      <c r="F46" s="137"/>
    </row>
    <row r="47" spans="1:6">
      <c r="A47" t="s">
        <v>142</v>
      </c>
      <c r="B47" s="137">
        <v>10.87</v>
      </c>
      <c r="C47" s="25">
        <f>'DF Calc (Kitsap Co.)'!L36</f>
        <v>0.11203289358497436</v>
      </c>
      <c r="D47" s="137">
        <f>B47+C47</f>
        <v>10.982032893584973</v>
      </c>
      <c r="E47" s="27"/>
      <c r="F47" s="137"/>
    </row>
    <row r="48" spans="1:6">
      <c r="B48" s="137"/>
      <c r="C48" s="25"/>
      <c r="D48" s="137"/>
      <c r="E48" s="27"/>
      <c r="F48" s="137"/>
    </row>
    <row r="49" spans="1:6" ht="15" customHeight="1">
      <c r="B49" s="137"/>
      <c r="C49" s="25"/>
      <c r="D49" s="137"/>
      <c r="E49" s="27"/>
      <c r="F49" s="137"/>
    </row>
    <row r="50" spans="1:6" ht="15" customHeight="1">
      <c r="A50" s="188" t="s">
        <v>229</v>
      </c>
      <c r="B50" s="190"/>
      <c r="C50" s="191"/>
      <c r="D50" s="190"/>
      <c r="E50" s="188" t="s">
        <v>225</v>
      </c>
      <c r="F50" s="137"/>
    </row>
    <row r="51" spans="1:6" ht="15" customHeight="1">
      <c r="A51" s="144" t="s">
        <v>143</v>
      </c>
      <c r="B51" s="137">
        <v>14.01</v>
      </c>
      <c r="C51" s="25">
        <f>'DF Calc (Kitsap Co.)'!L59</f>
        <v>7.9082042530570135E-2</v>
      </c>
      <c r="D51" s="137">
        <f>B51+C51</f>
        <v>14.089082042530571</v>
      </c>
      <c r="E51" s="27"/>
      <c r="F51" s="137"/>
    </row>
    <row r="52" spans="1:6" ht="15" customHeight="1">
      <c r="A52" s="144" t="s">
        <v>144</v>
      </c>
      <c r="B52" s="137">
        <v>19.170000000000002</v>
      </c>
      <c r="C52" s="25">
        <f>C51</f>
        <v>7.9082042530570135E-2</v>
      </c>
      <c r="D52" s="137">
        <f>B52+C52</f>
        <v>19.249082042530571</v>
      </c>
      <c r="E52" s="27"/>
      <c r="F52" s="137"/>
    </row>
    <row r="53" spans="1:6" ht="15" customHeight="1">
      <c r="B53" s="137"/>
      <c r="C53" s="25"/>
      <c r="D53" s="137"/>
      <c r="E53" s="27"/>
      <c r="F53" s="137"/>
    </row>
    <row r="54" spans="1:6" ht="15" customHeight="1">
      <c r="A54" s="188" t="s">
        <v>230</v>
      </c>
      <c r="B54" s="190"/>
      <c r="C54" s="191"/>
      <c r="D54" s="190"/>
      <c r="E54" s="188" t="s">
        <v>225</v>
      </c>
      <c r="F54" s="137"/>
    </row>
    <row r="55" spans="1:6" ht="15" customHeight="1">
      <c r="A55" s="144" t="s">
        <v>145</v>
      </c>
      <c r="B55" s="137">
        <v>4.3600000000000003</v>
      </c>
      <c r="C55" s="25">
        <f>'DF Calc (Kitsap Co.)'!L60</f>
        <v>7.9082042530570135E-2</v>
      </c>
      <c r="D55" s="137">
        <f>B55+C55</f>
        <v>4.4390820425305701</v>
      </c>
      <c r="E55" s="27"/>
      <c r="F55" s="137"/>
    </row>
    <row r="56" spans="1:6" ht="15" customHeight="1">
      <c r="A56" s="144" t="s">
        <v>208</v>
      </c>
      <c r="B56" s="137">
        <v>18.850000000000001</v>
      </c>
      <c r="C56" s="25">
        <f>D56-B56</f>
        <v>0.37122524415736891</v>
      </c>
      <c r="D56" s="137">
        <f>D55*4.33</f>
        <v>19.22122524415737</v>
      </c>
      <c r="E56" s="27"/>
      <c r="F56" s="137"/>
    </row>
    <row r="57" spans="1:6" ht="15" customHeight="1">
      <c r="B57" s="137"/>
      <c r="C57" s="25"/>
      <c r="D57" s="137"/>
      <c r="E57" s="27"/>
      <c r="F57" s="137"/>
    </row>
    <row r="58" spans="1:6" ht="15" customHeight="1">
      <c r="A58" s="188" t="s">
        <v>231</v>
      </c>
      <c r="B58" s="190"/>
      <c r="C58" s="191"/>
      <c r="D58" s="190"/>
      <c r="E58" s="188" t="s">
        <v>225</v>
      </c>
      <c r="F58" s="137"/>
    </row>
    <row r="59" spans="1:6" ht="15" customHeight="1">
      <c r="A59" s="144" t="s">
        <v>147</v>
      </c>
      <c r="B59" s="141">
        <v>25.35</v>
      </c>
      <c r="C59" s="145">
        <f>'DF Calc (Kitsap Co.)'!L62</f>
        <v>0.19717929487342953</v>
      </c>
      <c r="D59" s="137">
        <f>B59+C59</f>
        <v>25.54717929487343</v>
      </c>
      <c r="E59" s="27"/>
      <c r="F59" s="137"/>
    </row>
    <row r="60" spans="1:6" ht="15" customHeight="1">
      <c r="A60" s="144" t="s">
        <v>148</v>
      </c>
      <c r="B60" s="141">
        <v>25.35</v>
      </c>
      <c r="C60" s="145">
        <f>'DF Calc (Kitsap Co.)'!L63</f>
        <v>0.19717929487342953</v>
      </c>
      <c r="D60" s="137">
        <f>B60+C60</f>
        <v>25.54717929487343</v>
      </c>
      <c r="E60" s="27"/>
      <c r="F60" s="137"/>
    </row>
    <row r="61" spans="1:6" ht="15" customHeight="1">
      <c r="A61" s="144" t="s">
        <v>149</v>
      </c>
      <c r="B61" s="141">
        <v>25.35</v>
      </c>
      <c r="C61" s="145">
        <f>'DF Calc (Kitsap Co.)'!L64</f>
        <v>0.19717929487342953</v>
      </c>
      <c r="D61" s="137">
        <f>B61+C61</f>
        <v>25.54717929487343</v>
      </c>
      <c r="E61" s="27"/>
      <c r="F61" s="137"/>
    </row>
    <row r="62" spans="1:6" ht="15" customHeight="1">
      <c r="A62" s="144" t="s">
        <v>150</v>
      </c>
      <c r="B62" s="141">
        <v>29.88</v>
      </c>
      <c r="C62" s="145">
        <f>'DF Calc (Kitsap Co.)'!L65</f>
        <v>0.85444361111819445</v>
      </c>
      <c r="D62" s="137">
        <f>B62+C62</f>
        <v>30.734443611118195</v>
      </c>
      <c r="E62" s="27"/>
      <c r="F62" s="137"/>
    </row>
    <row r="63" spans="1:6" ht="15" customHeight="1">
      <c r="A63" s="144"/>
      <c r="B63" s="137"/>
      <c r="C63" s="25"/>
      <c r="D63" s="137"/>
      <c r="E63" s="27"/>
      <c r="F63" s="137"/>
    </row>
    <row r="64" spans="1:6" ht="15" customHeight="1">
      <c r="A64" s="188" t="s">
        <v>232</v>
      </c>
      <c r="B64" s="190"/>
      <c r="C64" s="191"/>
      <c r="D64" s="190"/>
      <c r="E64" s="188" t="s">
        <v>225</v>
      </c>
      <c r="F64" s="137"/>
    </row>
    <row r="65" spans="1:6" ht="15" customHeight="1">
      <c r="A65" s="144" t="s">
        <v>151</v>
      </c>
      <c r="B65" s="137">
        <v>14.35</v>
      </c>
      <c r="C65" s="25">
        <f>'DF Calc (Kitsap Co.)'!L78</f>
        <v>0.19717929487342953</v>
      </c>
      <c r="D65" s="137">
        <f>B65+C65</f>
        <v>14.547179294873429</v>
      </c>
      <c r="E65" s="27"/>
      <c r="F65" s="137"/>
    </row>
    <row r="66" spans="1:6" ht="15" customHeight="1">
      <c r="A66" s="144" t="s">
        <v>152</v>
      </c>
      <c r="B66" s="137">
        <v>14.35</v>
      </c>
      <c r="C66" s="25">
        <f>C65</f>
        <v>0.19717929487342953</v>
      </c>
      <c r="D66" s="137">
        <f>B66+C66</f>
        <v>14.547179294873429</v>
      </c>
      <c r="E66" s="27"/>
      <c r="F66" s="137"/>
    </row>
    <row r="67" spans="1:6" ht="15" customHeight="1">
      <c r="B67" s="137"/>
      <c r="C67" s="25"/>
      <c r="D67" s="137"/>
      <c r="E67" s="27"/>
      <c r="F67" s="137"/>
    </row>
    <row r="68" spans="1:6" ht="15" customHeight="1">
      <c r="A68" s="188" t="s">
        <v>261</v>
      </c>
      <c r="B68" s="190"/>
      <c r="C68" s="191"/>
      <c r="D68" s="190"/>
      <c r="E68" s="188" t="s">
        <v>225</v>
      </c>
      <c r="F68" s="137"/>
    </row>
    <row r="69" spans="1:6" ht="15" customHeight="1">
      <c r="A69" t="s">
        <v>262</v>
      </c>
      <c r="B69" s="137">
        <v>71</v>
      </c>
      <c r="C69" s="25">
        <f>+D69-B69</f>
        <v>4</v>
      </c>
      <c r="D69" s="137">
        <f>+References!B53</f>
        <v>75</v>
      </c>
      <c r="E69" s="27"/>
      <c r="F69" s="137"/>
    </row>
    <row r="70" spans="1:6" ht="15" customHeight="1">
      <c r="A70" t="s">
        <v>263</v>
      </c>
      <c r="B70" s="137">
        <v>21.24</v>
      </c>
      <c r="C70" s="25">
        <f t="shared" ref="C70:C77" si="1">+D70-B70</f>
        <v>0.76000000000000156</v>
      </c>
      <c r="D70" s="137">
        <v>22</v>
      </c>
      <c r="E70" s="27"/>
      <c r="F70" s="137"/>
    </row>
    <row r="71" spans="1:6" ht="15" customHeight="1">
      <c r="A71" t="s">
        <v>264</v>
      </c>
      <c r="B71" s="137">
        <v>5</v>
      </c>
      <c r="C71" s="25">
        <f t="shared" si="1"/>
        <v>2</v>
      </c>
      <c r="D71" s="137">
        <v>7</v>
      </c>
      <c r="E71" s="27"/>
      <c r="F71" s="137"/>
    </row>
    <row r="72" spans="1:6" ht="15" customHeight="1">
      <c r="A72" t="s">
        <v>265</v>
      </c>
      <c r="B72" s="137">
        <v>8</v>
      </c>
      <c r="C72" s="25">
        <f t="shared" si="1"/>
        <v>1</v>
      </c>
      <c r="D72" s="137">
        <v>9</v>
      </c>
      <c r="E72" s="27"/>
      <c r="F72" s="137"/>
    </row>
    <row r="73" spans="1:6" ht="15" customHeight="1">
      <c r="A73" t="s">
        <v>266</v>
      </c>
      <c r="B73" s="137">
        <v>16.5</v>
      </c>
      <c r="C73" s="25">
        <f t="shared" si="1"/>
        <v>3.5</v>
      </c>
      <c r="D73" s="137">
        <v>20</v>
      </c>
      <c r="E73" s="27"/>
      <c r="F73" s="137"/>
    </row>
    <row r="74" spans="1:6" ht="15" customHeight="1">
      <c r="A74" t="s">
        <v>267</v>
      </c>
      <c r="B74" s="137">
        <v>64.84</v>
      </c>
      <c r="C74" s="25">
        <f t="shared" si="1"/>
        <v>4.2099999999999937</v>
      </c>
      <c r="D74" s="137">
        <v>69.05</v>
      </c>
      <c r="E74" s="27"/>
      <c r="F74" s="137"/>
    </row>
    <row r="75" spans="1:6" ht="15" customHeight="1">
      <c r="A75" t="s">
        <v>268</v>
      </c>
      <c r="B75" s="137">
        <v>105.31</v>
      </c>
      <c r="C75" s="25">
        <f t="shared" si="1"/>
        <v>2.1099999999999994</v>
      </c>
      <c r="D75" s="137">
        <v>107.42</v>
      </c>
      <c r="E75" s="27"/>
      <c r="F75" s="137"/>
    </row>
    <row r="76" spans="1:6" ht="15" customHeight="1">
      <c r="A76" t="s">
        <v>269</v>
      </c>
      <c r="B76" s="137">
        <v>40.14</v>
      </c>
      <c r="C76" s="25">
        <f t="shared" si="1"/>
        <v>2.6099999999999994</v>
      </c>
      <c r="D76" s="137">
        <v>42.75</v>
      </c>
      <c r="E76" s="27"/>
      <c r="F76" s="137"/>
    </row>
    <row r="77" spans="1:6" ht="15" customHeight="1">
      <c r="A77" t="s">
        <v>270</v>
      </c>
      <c r="B77" s="137">
        <v>42.26</v>
      </c>
      <c r="C77" s="25">
        <f t="shared" si="1"/>
        <v>0.85000000000000142</v>
      </c>
      <c r="D77" s="137">
        <v>43.11</v>
      </c>
      <c r="E77" s="27"/>
      <c r="F77" s="137"/>
    </row>
    <row r="78" spans="1:6" ht="15" customHeight="1">
      <c r="B78" s="137"/>
      <c r="C78" s="25"/>
      <c r="D78" s="137"/>
      <c r="E78" s="27"/>
      <c r="F78" s="137"/>
    </row>
    <row r="79" spans="1:6" ht="15" customHeight="1">
      <c r="A79" s="140" t="s">
        <v>209</v>
      </c>
      <c r="C79" s="25"/>
      <c r="E79" s="27"/>
    </row>
    <row r="80" spans="1:6" ht="15" customHeight="1">
      <c r="A80" s="27"/>
      <c r="C80" s="25"/>
      <c r="E80" s="27"/>
    </row>
    <row r="81" spans="1:6" ht="15" customHeight="1">
      <c r="A81" s="188" t="s">
        <v>233</v>
      </c>
      <c r="B81" s="189"/>
      <c r="C81" s="191"/>
      <c r="D81" s="189"/>
      <c r="E81" s="188" t="s">
        <v>225</v>
      </c>
      <c r="F81" s="137"/>
    </row>
    <row r="82" spans="1:6" ht="15" customHeight="1">
      <c r="A82" s="144" t="s">
        <v>153</v>
      </c>
      <c r="B82" s="137">
        <v>15.34</v>
      </c>
      <c r="C82" s="25">
        <f>'DF Calc (Kitsap Co.)'!L45</f>
        <v>0.27605101282280137</v>
      </c>
      <c r="D82" s="137">
        <f>B82+C82</f>
        <v>15.616051012822801</v>
      </c>
      <c r="E82" s="27"/>
      <c r="F82" s="137"/>
    </row>
    <row r="83" spans="1:6" ht="15" customHeight="1">
      <c r="A83" t="s">
        <v>154</v>
      </c>
      <c r="B83" s="137">
        <v>16.55</v>
      </c>
      <c r="C83" s="25">
        <f>'DF Calc (Kitsap Co.)'!L43</f>
        <v>0.39435858974685906</v>
      </c>
      <c r="D83" s="137">
        <f>B83+C83</f>
        <v>16.944358589746859</v>
      </c>
      <c r="E83" s="27"/>
      <c r="F83" s="137"/>
    </row>
    <row r="84" spans="1:6" ht="15" customHeight="1">
      <c r="A84" t="s">
        <v>155</v>
      </c>
      <c r="B84" s="137">
        <v>21.67</v>
      </c>
      <c r="C84" s="25">
        <f>'DF Calc (Kitsap Co.)'!L44</f>
        <v>0.51108873231192919</v>
      </c>
      <c r="D84" s="137">
        <f>B84+C84</f>
        <v>22.181088732311931</v>
      </c>
      <c r="E84" s="27"/>
      <c r="F84" s="137"/>
    </row>
    <row r="85" spans="1:6" ht="15" customHeight="1">
      <c r="A85" s="144" t="s">
        <v>210</v>
      </c>
      <c r="B85" s="137">
        <v>14.35</v>
      </c>
      <c r="C85" s="25">
        <f>'DF Calc (Kitsap Co.)'!L78</f>
        <v>0.19717929487342953</v>
      </c>
      <c r="D85" s="137">
        <f>B85+C85</f>
        <v>14.547179294873429</v>
      </c>
      <c r="E85" s="27"/>
      <c r="F85" s="137"/>
    </row>
    <row r="86" spans="1:6" ht="15" customHeight="1">
      <c r="B86" s="137"/>
      <c r="C86" s="25"/>
      <c r="D86" s="137"/>
      <c r="E86" s="27"/>
      <c r="F86" s="137"/>
    </row>
    <row r="87" spans="1:6" ht="15" customHeight="1">
      <c r="A87" s="188" t="s">
        <v>234</v>
      </c>
      <c r="B87" s="190"/>
      <c r="C87" s="191"/>
      <c r="D87" s="190"/>
      <c r="E87" s="188" t="s">
        <v>225</v>
      </c>
    </row>
    <row r="88" spans="1:6" ht="15" customHeight="1">
      <c r="A88" s="144" t="s">
        <v>113</v>
      </c>
      <c r="B88" s="137">
        <v>4.0199999999999996</v>
      </c>
      <c r="C88" s="25">
        <f>'DF Calc (Kitsap Co.)'!L68</f>
        <v>4.5745596410635643E-2</v>
      </c>
      <c r="D88" s="137">
        <f>B88+C88</f>
        <v>4.0657455964106353</v>
      </c>
      <c r="E88" s="27"/>
    </row>
    <row r="89" spans="1:6" ht="15" customHeight="1">
      <c r="A89" s="144" t="s">
        <v>156</v>
      </c>
      <c r="B89" s="137">
        <v>4.3600000000000003</v>
      </c>
      <c r="C89" s="25">
        <f>'DF Calc (Kitsap Co.)'!L69</f>
        <v>5.866084022484528E-2</v>
      </c>
      <c r="D89" s="137">
        <f>B89+C89</f>
        <v>4.4186608402248453</v>
      </c>
      <c r="E89" s="27"/>
    </row>
    <row r="90" spans="1:6" ht="15" customHeight="1">
      <c r="A90" s="144" t="s">
        <v>157</v>
      </c>
      <c r="B90" s="137">
        <v>4.9800000000000004</v>
      </c>
      <c r="C90" s="25">
        <f>'DF Calc (Kitsap Co.)'!L70</f>
        <v>8.0449152308359237E-2</v>
      </c>
      <c r="D90" s="137">
        <f>B90+C90</f>
        <v>5.0604491523083599</v>
      </c>
      <c r="E90" s="27"/>
    </row>
    <row r="91" spans="1:6" ht="15" customHeight="1">
      <c r="A91" s="144" t="s">
        <v>158</v>
      </c>
      <c r="B91" s="137">
        <v>5.94</v>
      </c>
      <c r="C91" s="25">
        <f>'DF Calc (Kitsap Co.)'!L71</f>
        <v>7.9082042530570135E-2</v>
      </c>
      <c r="D91" s="137">
        <f>B91+C91</f>
        <v>6.0190820425305702</v>
      </c>
      <c r="E91" s="27"/>
    </row>
    <row r="92" spans="1:6" ht="15" customHeight="1">
      <c r="A92" s="144" t="s">
        <v>159</v>
      </c>
      <c r="B92" s="137">
        <v>7.47</v>
      </c>
      <c r="C92" s="25">
        <f>'DF Calc (Kitsap Co.)'!L72</f>
        <v>0.11203289358497436</v>
      </c>
      <c r="D92" s="137">
        <f>B92+C92</f>
        <v>7.5820328935849739</v>
      </c>
      <c r="E92" s="27"/>
    </row>
    <row r="93" spans="1:6" ht="15" customHeight="1">
      <c r="A93" s="144"/>
      <c r="B93" s="137"/>
      <c r="C93" s="25"/>
      <c r="D93" s="137"/>
      <c r="E93" s="27"/>
    </row>
    <row r="94" spans="1:6" ht="15" customHeight="1">
      <c r="A94" s="27" t="s">
        <v>144</v>
      </c>
      <c r="B94" s="137"/>
      <c r="C94" s="25"/>
      <c r="D94" s="137"/>
      <c r="E94" s="27"/>
    </row>
    <row r="95" spans="1:6" ht="15" customHeight="1">
      <c r="A95" s="144" t="s">
        <v>113</v>
      </c>
      <c r="B95" s="137">
        <v>14.15</v>
      </c>
      <c r="C95" s="25">
        <f>'DF Calc (Kitsap Co.)'!L73</f>
        <v>4.5745596410635643E-2</v>
      </c>
      <c r="D95" s="137">
        <f>B95+C95</f>
        <v>14.195745596410635</v>
      </c>
      <c r="E95" s="27"/>
    </row>
    <row r="96" spans="1:6" ht="15" customHeight="1">
      <c r="A96" s="144" t="s">
        <v>156</v>
      </c>
      <c r="B96" s="137">
        <v>14.47</v>
      </c>
      <c r="C96" s="25">
        <f>'DF Calc (Kitsap Co.)'!L74</f>
        <v>5.866084022484528E-2</v>
      </c>
      <c r="D96" s="137">
        <f>B96+C96</f>
        <v>14.528660840224846</v>
      </c>
      <c r="E96" s="27"/>
    </row>
    <row r="97" spans="1:5" ht="15" customHeight="1">
      <c r="A97" s="144" t="s">
        <v>157</v>
      </c>
      <c r="B97" s="137">
        <v>15.1</v>
      </c>
      <c r="C97" s="25">
        <f>'DF Calc (Kitsap Co.)'!L75</f>
        <v>8.0449152308359237E-2</v>
      </c>
      <c r="D97" s="137">
        <f>B97+C97</f>
        <v>15.180449152308359</v>
      </c>
      <c r="E97" s="27"/>
    </row>
    <row r="98" spans="1:5" ht="15" customHeight="1">
      <c r="A98" s="144" t="s">
        <v>158</v>
      </c>
      <c r="B98" s="137">
        <v>16.059999999999999</v>
      </c>
      <c r="C98" s="25">
        <f>'DF Calc (Kitsap Co.)'!L76</f>
        <v>7.9082042530570135E-2</v>
      </c>
      <c r="D98" s="137">
        <f>B98+C98</f>
        <v>16.139082042530568</v>
      </c>
      <c r="E98" s="27"/>
    </row>
    <row r="99" spans="1:5" ht="15" customHeight="1">
      <c r="A99" s="144" t="s">
        <v>159</v>
      </c>
      <c r="B99" s="137">
        <v>17.579999999999998</v>
      </c>
      <c r="C99" s="25">
        <f>'DF Calc (Kitsap Co.)'!L77</f>
        <v>0.11203289358497436</v>
      </c>
      <c r="D99" s="137">
        <f>B99+C99</f>
        <v>17.692032893584972</v>
      </c>
      <c r="E99" s="27"/>
    </row>
    <row r="100" spans="1:5" ht="15" customHeight="1">
      <c r="A100" s="144"/>
      <c r="B100" s="137"/>
      <c r="C100" s="25"/>
      <c r="D100" s="137"/>
      <c r="E100" s="27"/>
    </row>
    <row r="101" spans="1:5" ht="15" customHeight="1">
      <c r="A101" s="144" t="s">
        <v>211</v>
      </c>
      <c r="B101" s="137">
        <v>4.3899999999999997</v>
      </c>
      <c r="C101" s="25">
        <f>'DF Calc (Kitsap Co.)'!L79</f>
        <v>4.5745596410635643E-2</v>
      </c>
      <c r="D101" s="137">
        <f>B101+C101</f>
        <v>4.4357455964106354</v>
      </c>
      <c r="E101" s="27"/>
    </row>
    <row r="102" spans="1:5" ht="15" customHeight="1">
      <c r="A102" s="144" t="s">
        <v>212</v>
      </c>
      <c r="B102" s="137">
        <v>17.46</v>
      </c>
      <c r="C102" s="25">
        <f>'DF Calc (Kitsap Co.)'!L80</f>
        <v>0.19823091777942115</v>
      </c>
      <c r="D102" s="137">
        <f>B102+C102</f>
        <v>17.658230917779424</v>
      </c>
      <c r="E102" s="27"/>
    </row>
    <row r="103" spans="1:5" ht="15" customHeight="1">
      <c r="A103" s="144" t="s">
        <v>213</v>
      </c>
      <c r="B103" s="137">
        <v>3.7</v>
      </c>
      <c r="C103" s="25">
        <f>'DF Calc (Kitsap Co.)'!L81</f>
        <v>4.5745596410635643E-2</v>
      </c>
      <c r="D103" s="137">
        <f>B103+C103</f>
        <v>3.7457455964106359</v>
      </c>
      <c r="E103" s="27"/>
    </row>
    <row r="104" spans="1:5" ht="15" customHeight="1">
      <c r="A104" s="144" t="s">
        <v>214</v>
      </c>
      <c r="B104" s="137">
        <v>4.0199999999999996</v>
      </c>
      <c r="C104" s="25">
        <f>'DF Calc (Kitsap Co.)'!L82</f>
        <v>4.5745596410635643E-2</v>
      </c>
      <c r="D104" s="137">
        <f>B104+C104</f>
        <v>4.0657455964106353</v>
      </c>
      <c r="E104" s="27"/>
    </row>
    <row r="105" spans="1:5" ht="15" customHeight="1">
      <c r="A105" s="144" t="s">
        <v>215</v>
      </c>
      <c r="B105" s="137"/>
      <c r="C105" s="25"/>
      <c r="D105" s="137"/>
      <c r="E105" s="27"/>
    </row>
    <row r="106" spans="1:5" ht="15" customHeight="1">
      <c r="A106" s="234" t="s">
        <v>156</v>
      </c>
      <c r="B106" s="137">
        <v>18.899999999999999</v>
      </c>
      <c r="C106" s="25">
        <f>'DF Calc (Kitsap Co.)'!L83</f>
        <v>0.25419697430766292</v>
      </c>
      <c r="D106" s="137">
        <f>B106+C106</f>
        <v>19.154196974307663</v>
      </c>
      <c r="E106" s="27"/>
    </row>
    <row r="107" spans="1:5" ht="15" customHeight="1">
      <c r="A107" s="234" t="s">
        <v>157</v>
      </c>
      <c r="B107" s="137">
        <v>21.57</v>
      </c>
      <c r="C107" s="25">
        <f>'DF Calc (Kitsap Co.)'!L84</f>
        <v>0.34861299333622331</v>
      </c>
      <c r="D107" s="137">
        <f>B107+C107</f>
        <v>21.918612993336225</v>
      </c>
      <c r="E107" s="27"/>
    </row>
    <row r="108" spans="1:5" ht="15" customHeight="1">
      <c r="A108" s="234" t="s">
        <v>158</v>
      </c>
      <c r="B108" s="137">
        <v>25.71</v>
      </c>
      <c r="C108" s="25">
        <f>'DF Calc (Kitsap Co.)'!L85</f>
        <v>0.34268885096580387</v>
      </c>
      <c r="D108" s="137">
        <f>B108+C108</f>
        <v>26.052688850965804</v>
      </c>
      <c r="E108" s="27"/>
    </row>
    <row r="109" spans="1:5" ht="15" customHeight="1">
      <c r="A109" s="234" t="s">
        <v>159</v>
      </c>
      <c r="B109" s="137">
        <v>32.35</v>
      </c>
      <c r="C109" s="25">
        <f>'DF Calc (Kitsap Co.)'!L86</f>
        <v>0.48547587220155558</v>
      </c>
      <c r="D109" s="137">
        <f>B109+C109</f>
        <v>32.835475872201556</v>
      </c>
      <c r="E109" s="27"/>
    </row>
    <row r="110" spans="1:5" ht="15" customHeight="1"/>
    <row r="111" spans="1:5" ht="15" customHeight="1"/>
    <row r="112" spans="1:5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</sheetData>
  <pageMargins left="0.7" right="0.7" top="0.98958333333333304" bottom="0.75" header="0.3" footer="0.3"/>
  <pageSetup fitToHeight="4" orientation="portrait" r:id="rId1"/>
  <headerFooter>
    <oddFooter xml:space="preserve">&amp;R&amp;P of &amp;N    </oddFooter>
  </headerFooter>
  <rowBreaks count="2" manualBreakCount="2">
    <brk id="39" max="16383" man="1"/>
    <brk id="7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81"/>
  <sheetViews>
    <sheetView view="pageBreakPreview" zoomScale="85" zoomScaleNormal="100" zoomScaleSheetLayoutView="85" workbookViewId="0">
      <pane xSplit="1" ySplit="4" topLeftCell="B5" activePane="bottomRight" state="frozen"/>
      <selection activeCell="M25" sqref="M25"/>
      <selection pane="topRight" activeCell="M25" sqref="M25"/>
      <selection pane="bottomLeft" activeCell="M25" sqref="M25"/>
      <selection pane="bottomRight" activeCell="M25" sqref="M25"/>
    </sheetView>
  </sheetViews>
  <sheetFormatPr defaultColWidth="18.5703125" defaultRowHeight="11.25"/>
  <cols>
    <col min="1" max="1" width="21.140625" style="2" bestFit="1" customWidth="1"/>
    <col min="2" max="2" width="12.85546875" style="2" customWidth="1"/>
    <col min="3" max="3" width="12.85546875" style="254" customWidth="1"/>
    <col min="4" max="4" width="12.85546875" style="2" customWidth="1"/>
    <col min="5" max="197" width="18.5703125" style="2"/>
    <col min="198" max="198" width="21.140625" style="2" bestFit="1" customWidth="1"/>
    <col min="199" max="199" width="8.42578125" style="2" customWidth="1"/>
    <col min="200" max="200" width="8.42578125" style="2" bestFit="1" customWidth="1"/>
    <col min="201" max="202" width="9.28515625" style="2" bestFit="1" customWidth="1"/>
    <col min="203" max="203" width="9.5703125" style="2" bestFit="1" customWidth="1"/>
    <col min="204" max="204" width="9" style="2" bestFit="1" customWidth="1"/>
    <col min="205" max="205" width="7.85546875" style="2" customWidth="1"/>
    <col min="206" max="206" width="9.140625" style="2" customWidth="1"/>
    <col min="207" max="207" width="10.5703125" style="2" customWidth="1"/>
    <col min="208" max="208" width="9.85546875" style="2" customWidth="1"/>
    <col min="209" max="209" width="9" style="2" customWidth="1"/>
    <col min="210" max="210" width="9.140625" style="2" customWidth="1"/>
    <col min="211" max="211" width="10.7109375" style="2" customWidth="1"/>
    <col min="212" max="212" width="8.5703125" style="2" customWidth="1"/>
    <col min="213" max="213" width="4.42578125" style="2" customWidth="1"/>
    <col min="214" max="214" width="7.42578125" style="2" customWidth="1"/>
    <col min="215" max="215" width="7.7109375" style="2" customWidth="1"/>
    <col min="216" max="216" width="9.85546875" style="2" customWidth="1"/>
    <col min="217" max="217" width="7.42578125" style="2" customWidth="1"/>
    <col min="218" max="218" width="9.5703125" style="2" customWidth="1"/>
    <col min="219" max="219" width="11.28515625" style="2" customWidth="1"/>
    <col min="220" max="220" width="4.42578125" style="2" customWidth="1"/>
    <col min="221" max="221" width="10" style="2" customWidth="1"/>
    <col min="222" max="222" width="7.85546875" style="2" customWidth="1"/>
    <col min="223" max="223" width="10" style="2" customWidth="1"/>
    <col min="224" max="224" width="10.140625" style="2" customWidth="1"/>
    <col min="225" max="225" width="8.28515625" style="2" customWidth="1"/>
    <col min="226" max="226" width="7.7109375" style="2" customWidth="1"/>
    <col min="227" max="227" width="8.42578125" style="2" customWidth="1"/>
    <col min="228" max="228" width="10" style="2" customWidth="1"/>
    <col min="229" max="229" width="8.28515625" style="2" customWidth="1"/>
    <col min="230" max="230" width="9.42578125" style="2" customWidth="1"/>
    <col min="231" max="231" width="10.7109375" style="2" customWidth="1"/>
    <col min="232" max="232" width="9" style="2" customWidth="1"/>
    <col min="233" max="233" width="7.7109375" style="2" customWidth="1"/>
    <col min="234" max="234" width="9" style="2" customWidth="1"/>
    <col min="235" max="235" width="6.85546875" style="2" customWidth="1"/>
    <col min="236" max="236" width="9.7109375" style="2" customWidth="1"/>
    <col min="237" max="237" width="7.28515625" style="2" customWidth="1"/>
    <col min="238" max="238" width="11.42578125" style="2" customWidth="1"/>
    <col min="239" max="239" width="2.85546875" style="2" customWidth="1"/>
    <col min="240" max="240" width="6.28515625" style="2" customWidth="1"/>
    <col min="241" max="241" width="6.42578125" style="2" customWidth="1"/>
    <col min="242" max="242" width="10.140625" style="2" bestFit="1" customWidth="1"/>
    <col min="243" max="243" width="11.28515625" style="2" bestFit="1" customWidth="1"/>
    <col min="244" max="244" width="8.85546875" style="2" bestFit="1" customWidth="1"/>
    <col min="245" max="245" width="12.85546875" style="2" bestFit="1" customWidth="1"/>
    <col min="246" max="246" width="10.85546875" style="2" bestFit="1" customWidth="1"/>
    <col min="247" max="247" width="9.28515625" style="2" customWidth="1"/>
    <col min="248" max="248" width="11.5703125" style="2" customWidth="1"/>
    <col min="249" max="249" width="9.85546875" style="2" bestFit="1" customWidth="1"/>
    <col min="250" max="250" width="15.140625" style="2" customWidth="1"/>
    <col min="251" max="258" width="0" style="2" hidden="1" customWidth="1"/>
    <col min="259" max="453" width="18.5703125" style="2"/>
    <col min="454" max="454" width="21.140625" style="2" bestFit="1" customWidth="1"/>
    <col min="455" max="455" width="8.42578125" style="2" customWidth="1"/>
    <col min="456" max="456" width="8.42578125" style="2" bestFit="1" customWidth="1"/>
    <col min="457" max="458" width="9.28515625" style="2" bestFit="1" customWidth="1"/>
    <col min="459" max="459" width="9.5703125" style="2" bestFit="1" customWidth="1"/>
    <col min="460" max="460" width="9" style="2" bestFit="1" customWidth="1"/>
    <col min="461" max="461" width="7.85546875" style="2" customWidth="1"/>
    <col min="462" max="462" width="9.140625" style="2" customWidth="1"/>
    <col min="463" max="463" width="10.5703125" style="2" customWidth="1"/>
    <col min="464" max="464" width="9.85546875" style="2" customWidth="1"/>
    <col min="465" max="465" width="9" style="2" customWidth="1"/>
    <col min="466" max="466" width="9.140625" style="2" customWidth="1"/>
    <col min="467" max="467" width="10.7109375" style="2" customWidth="1"/>
    <col min="468" max="468" width="8.5703125" style="2" customWidth="1"/>
    <col min="469" max="469" width="4.42578125" style="2" customWidth="1"/>
    <col min="470" max="470" width="7.42578125" style="2" customWidth="1"/>
    <col min="471" max="471" width="7.7109375" style="2" customWidth="1"/>
    <col min="472" max="472" width="9.85546875" style="2" customWidth="1"/>
    <col min="473" max="473" width="7.42578125" style="2" customWidth="1"/>
    <col min="474" max="474" width="9.5703125" style="2" customWidth="1"/>
    <col min="475" max="475" width="11.28515625" style="2" customWidth="1"/>
    <col min="476" max="476" width="4.42578125" style="2" customWidth="1"/>
    <col min="477" max="477" width="10" style="2" customWidth="1"/>
    <col min="478" max="478" width="7.85546875" style="2" customWidth="1"/>
    <col min="479" max="479" width="10" style="2" customWidth="1"/>
    <col min="480" max="480" width="10.140625" style="2" customWidth="1"/>
    <col min="481" max="481" width="8.28515625" style="2" customWidth="1"/>
    <col min="482" max="482" width="7.7109375" style="2" customWidth="1"/>
    <col min="483" max="483" width="8.42578125" style="2" customWidth="1"/>
    <col min="484" max="484" width="10" style="2" customWidth="1"/>
    <col min="485" max="485" width="8.28515625" style="2" customWidth="1"/>
    <col min="486" max="486" width="9.42578125" style="2" customWidth="1"/>
    <col min="487" max="487" width="10.7109375" style="2" customWidth="1"/>
    <col min="488" max="488" width="9" style="2" customWidth="1"/>
    <col min="489" max="489" width="7.7109375" style="2" customWidth="1"/>
    <col min="490" max="490" width="9" style="2" customWidth="1"/>
    <col min="491" max="491" width="6.85546875" style="2" customWidth="1"/>
    <col min="492" max="492" width="9.7109375" style="2" customWidth="1"/>
    <col min="493" max="493" width="7.28515625" style="2" customWidth="1"/>
    <col min="494" max="494" width="11.42578125" style="2" customWidth="1"/>
    <col min="495" max="495" width="2.85546875" style="2" customWidth="1"/>
    <col min="496" max="496" width="6.28515625" style="2" customWidth="1"/>
    <col min="497" max="497" width="6.42578125" style="2" customWidth="1"/>
    <col min="498" max="498" width="10.140625" style="2" bestFit="1" customWidth="1"/>
    <col min="499" max="499" width="11.28515625" style="2" bestFit="1" customWidth="1"/>
    <col min="500" max="500" width="8.85546875" style="2" bestFit="1" customWidth="1"/>
    <col min="501" max="501" width="12.85546875" style="2" bestFit="1" customWidth="1"/>
    <col min="502" max="502" width="10.85546875" style="2" bestFit="1" customWidth="1"/>
    <col min="503" max="503" width="9.28515625" style="2" customWidth="1"/>
    <col min="504" max="504" width="11.5703125" style="2" customWidth="1"/>
    <col min="505" max="505" width="9.85546875" style="2" bestFit="1" customWidth="1"/>
    <col min="506" max="506" width="15.140625" style="2" customWidth="1"/>
    <col min="507" max="514" width="0" style="2" hidden="1" customWidth="1"/>
    <col min="515" max="709" width="18.5703125" style="2"/>
    <col min="710" max="710" width="21.140625" style="2" bestFit="1" customWidth="1"/>
    <col min="711" max="711" width="8.42578125" style="2" customWidth="1"/>
    <col min="712" max="712" width="8.42578125" style="2" bestFit="1" customWidth="1"/>
    <col min="713" max="714" width="9.28515625" style="2" bestFit="1" customWidth="1"/>
    <col min="715" max="715" width="9.5703125" style="2" bestFit="1" customWidth="1"/>
    <col min="716" max="716" width="9" style="2" bestFit="1" customWidth="1"/>
    <col min="717" max="717" width="7.85546875" style="2" customWidth="1"/>
    <col min="718" max="718" width="9.140625" style="2" customWidth="1"/>
    <col min="719" max="719" width="10.5703125" style="2" customWidth="1"/>
    <col min="720" max="720" width="9.85546875" style="2" customWidth="1"/>
    <col min="721" max="721" width="9" style="2" customWidth="1"/>
    <col min="722" max="722" width="9.140625" style="2" customWidth="1"/>
    <col min="723" max="723" width="10.7109375" style="2" customWidth="1"/>
    <col min="724" max="724" width="8.5703125" style="2" customWidth="1"/>
    <col min="725" max="725" width="4.42578125" style="2" customWidth="1"/>
    <col min="726" max="726" width="7.42578125" style="2" customWidth="1"/>
    <col min="727" max="727" width="7.7109375" style="2" customWidth="1"/>
    <col min="728" max="728" width="9.85546875" style="2" customWidth="1"/>
    <col min="729" max="729" width="7.42578125" style="2" customWidth="1"/>
    <col min="730" max="730" width="9.5703125" style="2" customWidth="1"/>
    <col min="731" max="731" width="11.28515625" style="2" customWidth="1"/>
    <col min="732" max="732" width="4.42578125" style="2" customWidth="1"/>
    <col min="733" max="733" width="10" style="2" customWidth="1"/>
    <col min="734" max="734" width="7.85546875" style="2" customWidth="1"/>
    <col min="735" max="735" width="10" style="2" customWidth="1"/>
    <col min="736" max="736" width="10.140625" style="2" customWidth="1"/>
    <col min="737" max="737" width="8.28515625" style="2" customWidth="1"/>
    <col min="738" max="738" width="7.7109375" style="2" customWidth="1"/>
    <col min="739" max="739" width="8.42578125" style="2" customWidth="1"/>
    <col min="740" max="740" width="10" style="2" customWidth="1"/>
    <col min="741" max="741" width="8.28515625" style="2" customWidth="1"/>
    <col min="742" max="742" width="9.42578125" style="2" customWidth="1"/>
    <col min="743" max="743" width="10.7109375" style="2" customWidth="1"/>
    <col min="744" max="744" width="9" style="2" customWidth="1"/>
    <col min="745" max="745" width="7.7109375" style="2" customWidth="1"/>
    <col min="746" max="746" width="9" style="2" customWidth="1"/>
    <col min="747" max="747" width="6.85546875" style="2" customWidth="1"/>
    <col min="748" max="748" width="9.7109375" style="2" customWidth="1"/>
    <col min="749" max="749" width="7.28515625" style="2" customWidth="1"/>
    <col min="750" max="750" width="11.42578125" style="2" customWidth="1"/>
    <col min="751" max="751" width="2.85546875" style="2" customWidth="1"/>
    <col min="752" max="752" width="6.28515625" style="2" customWidth="1"/>
    <col min="753" max="753" width="6.42578125" style="2" customWidth="1"/>
    <col min="754" max="754" width="10.140625" style="2" bestFit="1" customWidth="1"/>
    <col min="755" max="755" width="11.28515625" style="2" bestFit="1" customWidth="1"/>
    <col min="756" max="756" width="8.85546875" style="2" bestFit="1" customWidth="1"/>
    <col min="757" max="757" width="12.85546875" style="2" bestFit="1" customWidth="1"/>
    <col min="758" max="758" width="10.85546875" style="2" bestFit="1" customWidth="1"/>
    <col min="759" max="759" width="9.28515625" style="2" customWidth="1"/>
    <col min="760" max="760" width="11.5703125" style="2" customWidth="1"/>
    <col min="761" max="761" width="9.85546875" style="2" bestFit="1" customWidth="1"/>
    <col min="762" max="762" width="15.140625" style="2" customWidth="1"/>
    <col min="763" max="770" width="0" style="2" hidden="1" customWidth="1"/>
    <col min="771" max="965" width="18.5703125" style="2"/>
    <col min="966" max="966" width="21.140625" style="2" bestFit="1" customWidth="1"/>
    <col min="967" max="967" width="8.42578125" style="2" customWidth="1"/>
    <col min="968" max="968" width="8.42578125" style="2" bestFit="1" customWidth="1"/>
    <col min="969" max="970" width="9.28515625" style="2" bestFit="1" customWidth="1"/>
    <col min="971" max="971" width="9.5703125" style="2" bestFit="1" customWidth="1"/>
    <col min="972" max="972" width="9" style="2" bestFit="1" customWidth="1"/>
    <col min="973" max="973" width="7.85546875" style="2" customWidth="1"/>
    <col min="974" max="974" width="9.140625" style="2" customWidth="1"/>
    <col min="975" max="975" width="10.5703125" style="2" customWidth="1"/>
    <col min="976" max="976" width="9.85546875" style="2" customWidth="1"/>
    <col min="977" max="977" width="9" style="2" customWidth="1"/>
    <col min="978" max="978" width="9.140625" style="2" customWidth="1"/>
    <col min="979" max="979" width="10.7109375" style="2" customWidth="1"/>
    <col min="980" max="980" width="8.5703125" style="2" customWidth="1"/>
    <col min="981" max="981" width="4.42578125" style="2" customWidth="1"/>
    <col min="982" max="982" width="7.42578125" style="2" customWidth="1"/>
    <col min="983" max="983" width="7.7109375" style="2" customWidth="1"/>
    <col min="984" max="984" width="9.85546875" style="2" customWidth="1"/>
    <col min="985" max="985" width="7.42578125" style="2" customWidth="1"/>
    <col min="986" max="986" width="9.5703125" style="2" customWidth="1"/>
    <col min="987" max="987" width="11.28515625" style="2" customWidth="1"/>
    <col min="988" max="988" width="4.42578125" style="2" customWidth="1"/>
    <col min="989" max="989" width="10" style="2" customWidth="1"/>
    <col min="990" max="990" width="7.85546875" style="2" customWidth="1"/>
    <col min="991" max="991" width="10" style="2" customWidth="1"/>
    <col min="992" max="992" width="10.140625" style="2" customWidth="1"/>
    <col min="993" max="993" width="8.28515625" style="2" customWidth="1"/>
    <col min="994" max="994" width="7.7109375" style="2" customWidth="1"/>
    <col min="995" max="995" width="8.42578125" style="2" customWidth="1"/>
    <col min="996" max="996" width="10" style="2" customWidth="1"/>
    <col min="997" max="997" width="8.28515625" style="2" customWidth="1"/>
    <col min="998" max="998" width="9.42578125" style="2" customWidth="1"/>
    <col min="999" max="999" width="10.7109375" style="2" customWidth="1"/>
    <col min="1000" max="1000" width="9" style="2" customWidth="1"/>
    <col min="1001" max="1001" width="7.7109375" style="2" customWidth="1"/>
    <col min="1002" max="1002" width="9" style="2" customWidth="1"/>
    <col min="1003" max="1003" width="6.85546875" style="2" customWidth="1"/>
    <col min="1004" max="1004" width="9.7109375" style="2" customWidth="1"/>
    <col min="1005" max="1005" width="7.28515625" style="2" customWidth="1"/>
    <col min="1006" max="1006" width="11.42578125" style="2" customWidth="1"/>
    <col min="1007" max="1007" width="2.85546875" style="2" customWidth="1"/>
    <col min="1008" max="1008" width="6.28515625" style="2" customWidth="1"/>
    <col min="1009" max="1009" width="6.42578125" style="2" customWidth="1"/>
    <col min="1010" max="1010" width="10.140625" style="2" bestFit="1" customWidth="1"/>
    <col min="1011" max="1011" width="11.28515625" style="2" bestFit="1" customWidth="1"/>
    <col min="1012" max="1012" width="8.85546875" style="2" bestFit="1" customWidth="1"/>
    <col min="1013" max="1013" width="12.85546875" style="2" bestFit="1" customWidth="1"/>
    <col min="1014" max="1014" width="10.85546875" style="2" bestFit="1" customWidth="1"/>
    <col min="1015" max="1015" width="9.28515625" style="2" customWidth="1"/>
    <col min="1016" max="1016" width="11.5703125" style="2" customWidth="1"/>
    <col min="1017" max="1017" width="9.85546875" style="2" bestFit="1" customWidth="1"/>
    <col min="1018" max="1018" width="15.140625" style="2" customWidth="1"/>
    <col min="1019" max="1026" width="0" style="2" hidden="1" customWidth="1"/>
    <col min="1027" max="1221" width="18.5703125" style="2"/>
    <col min="1222" max="1222" width="21.140625" style="2" bestFit="1" customWidth="1"/>
    <col min="1223" max="1223" width="8.42578125" style="2" customWidth="1"/>
    <col min="1224" max="1224" width="8.42578125" style="2" bestFit="1" customWidth="1"/>
    <col min="1225" max="1226" width="9.28515625" style="2" bestFit="1" customWidth="1"/>
    <col min="1227" max="1227" width="9.5703125" style="2" bestFit="1" customWidth="1"/>
    <col min="1228" max="1228" width="9" style="2" bestFit="1" customWidth="1"/>
    <col min="1229" max="1229" width="7.85546875" style="2" customWidth="1"/>
    <col min="1230" max="1230" width="9.140625" style="2" customWidth="1"/>
    <col min="1231" max="1231" width="10.5703125" style="2" customWidth="1"/>
    <col min="1232" max="1232" width="9.85546875" style="2" customWidth="1"/>
    <col min="1233" max="1233" width="9" style="2" customWidth="1"/>
    <col min="1234" max="1234" width="9.140625" style="2" customWidth="1"/>
    <col min="1235" max="1235" width="10.7109375" style="2" customWidth="1"/>
    <col min="1236" max="1236" width="8.5703125" style="2" customWidth="1"/>
    <col min="1237" max="1237" width="4.42578125" style="2" customWidth="1"/>
    <col min="1238" max="1238" width="7.42578125" style="2" customWidth="1"/>
    <col min="1239" max="1239" width="7.7109375" style="2" customWidth="1"/>
    <col min="1240" max="1240" width="9.85546875" style="2" customWidth="1"/>
    <col min="1241" max="1241" width="7.42578125" style="2" customWidth="1"/>
    <col min="1242" max="1242" width="9.5703125" style="2" customWidth="1"/>
    <col min="1243" max="1243" width="11.28515625" style="2" customWidth="1"/>
    <col min="1244" max="1244" width="4.42578125" style="2" customWidth="1"/>
    <col min="1245" max="1245" width="10" style="2" customWidth="1"/>
    <col min="1246" max="1246" width="7.85546875" style="2" customWidth="1"/>
    <col min="1247" max="1247" width="10" style="2" customWidth="1"/>
    <col min="1248" max="1248" width="10.140625" style="2" customWidth="1"/>
    <col min="1249" max="1249" width="8.28515625" style="2" customWidth="1"/>
    <col min="1250" max="1250" width="7.7109375" style="2" customWidth="1"/>
    <col min="1251" max="1251" width="8.42578125" style="2" customWidth="1"/>
    <col min="1252" max="1252" width="10" style="2" customWidth="1"/>
    <col min="1253" max="1253" width="8.28515625" style="2" customWidth="1"/>
    <col min="1254" max="1254" width="9.42578125" style="2" customWidth="1"/>
    <col min="1255" max="1255" width="10.7109375" style="2" customWidth="1"/>
    <col min="1256" max="1256" width="9" style="2" customWidth="1"/>
    <col min="1257" max="1257" width="7.7109375" style="2" customWidth="1"/>
    <col min="1258" max="1258" width="9" style="2" customWidth="1"/>
    <col min="1259" max="1259" width="6.85546875" style="2" customWidth="1"/>
    <col min="1260" max="1260" width="9.7109375" style="2" customWidth="1"/>
    <col min="1261" max="1261" width="7.28515625" style="2" customWidth="1"/>
    <col min="1262" max="1262" width="11.42578125" style="2" customWidth="1"/>
    <col min="1263" max="1263" width="2.85546875" style="2" customWidth="1"/>
    <col min="1264" max="1264" width="6.28515625" style="2" customWidth="1"/>
    <col min="1265" max="1265" width="6.42578125" style="2" customWidth="1"/>
    <col min="1266" max="1266" width="10.140625" style="2" bestFit="1" customWidth="1"/>
    <col min="1267" max="1267" width="11.28515625" style="2" bestFit="1" customWidth="1"/>
    <col min="1268" max="1268" width="8.85546875" style="2" bestFit="1" customWidth="1"/>
    <col min="1269" max="1269" width="12.85546875" style="2" bestFit="1" customWidth="1"/>
    <col min="1270" max="1270" width="10.85546875" style="2" bestFit="1" customWidth="1"/>
    <col min="1271" max="1271" width="9.28515625" style="2" customWidth="1"/>
    <col min="1272" max="1272" width="11.5703125" style="2" customWidth="1"/>
    <col min="1273" max="1273" width="9.85546875" style="2" bestFit="1" customWidth="1"/>
    <col min="1274" max="1274" width="15.140625" style="2" customWidth="1"/>
    <col min="1275" max="1282" width="0" style="2" hidden="1" customWidth="1"/>
    <col min="1283" max="1477" width="18.5703125" style="2"/>
    <col min="1478" max="1478" width="21.140625" style="2" bestFit="1" customWidth="1"/>
    <col min="1479" max="1479" width="8.42578125" style="2" customWidth="1"/>
    <col min="1480" max="1480" width="8.42578125" style="2" bestFit="1" customWidth="1"/>
    <col min="1481" max="1482" width="9.28515625" style="2" bestFit="1" customWidth="1"/>
    <col min="1483" max="1483" width="9.5703125" style="2" bestFit="1" customWidth="1"/>
    <col min="1484" max="1484" width="9" style="2" bestFit="1" customWidth="1"/>
    <col min="1485" max="1485" width="7.85546875" style="2" customWidth="1"/>
    <col min="1486" max="1486" width="9.140625" style="2" customWidth="1"/>
    <col min="1487" max="1487" width="10.5703125" style="2" customWidth="1"/>
    <col min="1488" max="1488" width="9.85546875" style="2" customWidth="1"/>
    <col min="1489" max="1489" width="9" style="2" customWidth="1"/>
    <col min="1490" max="1490" width="9.140625" style="2" customWidth="1"/>
    <col min="1491" max="1491" width="10.7109375" style="2" customWidth="1"/>
    <col min="1492" max="1492" width="8.5703125" style="2" customWidth="1"/>
    <col min="1493" max="1493" width="4.42578125" style="2" customWidth="1"/>
    <col min="1494" max="1494" width="7.42578125" style="2" customWidth="1"/>
    <col min="1495" max="1495" width="7.7109375" style="2" customWidth="1"/>
    <col min="1496" max="1496" width="9.85546875" style="2" customWidth="1"/>
    <col min="1497" max="1497" width="7.42578125" style="2" customWidth="1"/>
    <col min="1498" max="1498" width="9.5703125" style="2" customWidth="1"/>
    <col min="1499" max="1499" width="11.28515625" style="2" customWidth="1"/>
    <col min="1500" max="1500" width="4.42578125" style="2" customWidth="1"/>
    <col min="1501" max="1501" width="10" style="2" customWidth="1"/>
    <col min="1502" max="1502" width="7.85546875" style="2" customWidth="1"/>
    <col min="1503" max="1503" width="10" style="2" customWidth="1"/>
    <col min="1504" max="1504" width="10.140625" style="2" customWidth="1"/>
    <col min="1505" max="1505" width="8.28515625" style="2" customWidth="1"/>
    <col min="1506" max="1506" width="7.7109375" style="2" customWidth="1"/>
    <col min="1507" max="1507" width="8.42578125" style="2" customWidth="1"/>
    <col min="1508" max="1508" width="10" style="2" customWidth="1"/>
    <col min="1509" max="1509" width="8.28515625" style="2" customWidth="1"/>
    <col min="1510" max="1510" width="9.42578125" style="2" customWidth="1"/>
    <col min="1511" max="1511" width="10.7109375" style="2" customWidth="1"/>
    <col min="1512" max="1512" width="9" style="2" customWidth="1"/>
    <col min="1513" max="1513" width="7.7109375" style="2" customWidth="1"/>
    <col min="1514" max="1514" width="9" style="2" customWidth="1"/>
    <col min="1515" max="1515" width="6.85546875" style="2" customWidth="1"/>
    <col min="1516" max="1516" width="9.7109375" style="2" customWidth="1"/>
    <col min="1517" max="1517" width="7.28515625" style="2" customWidth="1"/>
    <col min="1518" max="1518" width="11.42578125" style="2" customWidth="1"/>
    <col min="1519" max="1519" width="2.85546875" style="2" customWidth="1"/>
    <col min="1520" max="1520" width="6.28515625" style="2" customWidth="1"/>
    <col min="1521" max="1521" width="6.42578125" style="2" customWidth="1"/>
    <col min="1522" max="1522" width="10.140625" style="2" bestFit="1" customWidth="1"/>
    <col min="1523" max="1523" width="11.28515625" style="2" bestFit="1" customWidth="1"/>
    <col min="1524" max="1524" width="8.85546875" style="2" bestFit="1" customWidth="1"/>
    <col min="1525" max="1525" width="12.85546875" style="2" bestFit="1" customWidth="1"/>
    <col min="1526" max="1526" width="10.85546875" style="2" bestFit="1" customWidth="1"/>
    <col min="1527" max="1527" width="9.28515625" style="2" customWidth="1"/>
    <col min="1528" max="1528" width="11.5703125" style="2" customWidth="1"/>
    <col min="1529" max="1529" width="9.85546875" style="2" bestFit="1" customWidth="1"/>
    <col min="1530" max="1530" width="15.140625" style="2" customWidth="1"/>
    <col min="1531" max="1538" width="0" style="2" hidden="1" customWidth="1"/>
    <col min="1539" max="1733" width="18.5703125" style="2"/>
    <col min="1734" max="1734" width="21.140625" style="2" bestFit="1" customWidth="1"/>
    <col min="1735" max="1735" width="8.42578125" style="2" customWidth="1"/>
    <col min="1736" max="1736" width="8.42578125" style="2" bestFit="1" customWidth="1"/>
    <col min="1737" max="1738" width="9.28515625" style="2" bestFit="1" customWidth="1"/>
    <col min="1739" max="1739" width="9.5703125" style="2" bestFit="1" customWidth="1"/>
    <col min="1740" max="1740" width="9" style="2" bestFit="1" customWidth="1"/>
    <col min="1741" max="1741" width="7.85546875" style="2" customWidth="1"/>
    <col min="1742" max="1742" width="9.140625" style="2" customWidth="1"/>
    <col min="1743" max="1743" width="10.5703125" style="2" customWidth="1"/>
    <col min="1744" max="1744" width="9.85546875" style="2" customWidth="1"/>
    <col min="1745" max="1745" width="9" style="2" customWidth="1"/>
    <col min="1746" max="1746" width="9.140625" style="2" customWidth="1"/>
    <col min="1747" max="1747" width="10.7109375" style="2" customWidth="1"/>
    <col min="1748" max="1748" width="8.5703125" style="2" customWidth="1"/>
    <col min="1749" max="1749" width="4.42578125" style="2" customWidth="1"/>
    <col min="1750" max="1750" width="7.42578125" style="2" customWidth="1"/>
    <col min="1751" max="1751" width="7.7109375" style="2" customWidth="1"/>
    <col min="1752" max="1752" width="9.85546875" style="2" customWidth="1"/>
    <col min="1753" max="1753" width="7.42578125" style="2" customWidth="1"/>
    <col min="1754" max="1754" width="9.5703125" style="2" customWidth="1"/>
    <col min="1755" max="1755" width="11.28515625" style="2" customWidth="1"/>
    <col min="1756" max="1756" width="4.42578125" style="2" customWidth="1"/>
    <col min="1757" max="1757" width="10" style="2" customWidth="1"/>
    <col min="1758" max="1758" width="7.85546875" style="2" customWidth="1"/>
    <col min="1759" max="1759" width="10" style="2" customWidth="1"/>
    <col min="1760" max="1760" width="10.140625" style="2" customWidth="1"/>
    <col min="1761" max="1761" width="8.28515625" style="2" customWidth="1"/>
    <col min="1762" max="1762" width="7.7109375" style="2" customWidth="1"/>
    <col min="1763" max="1763" width="8.42578125" style="2" customWidth="1"/>
    <col min="1764" max="1764" width="10" style="2" customWidth="1"/>
    <col min="1765" max="1765" width="8.28515625" style="2" customWidth="1"/>
    <col min="1766" max="1766" width="9.42578125" style="2" customWidth="1"/>
    <col min="1767" max="1767" width="10.7109375" style="2" customWidth="1"/>
    <col min="1768" max="1768" width="9" style="2" customWidth="1"/>
    <col min="1769" max="1769" width="7.7109375" style="2" customWidth="1"/>
    <col min="1770" max="1770" width="9" style="2" customWidth="1"/>
    <col min="1771" max="1771" width="6.85546875" style="2" customWidth="1"/>
    <col min="1772" max="1772" width="9.7109375" style="2" customWidth="1"/>
    <col min="1773" max="1773" width="7.28515625" style="2" customWidth="1"/>
    <col min="1774" max="1774" width="11.42578125" style="2" customWidth="1"/>
    <col min="1775" max="1775" width="2.85546875" style="2" customWidth="1"/>
    <col min="1776" max="1776" width="6.28515625" style="2" customWidth="1"/>
    <col min="1777" max="1777" width="6.42578125" style="2" customWidth="1"/>
    <col min="1778" max="1778" width="10.140625" style="2" bestFit="1" customWidth="1"/>
    <col min="1779" max="1779" width="11.28515625" style="2" bestFit="1" customWidth="1"/>
    <col min="1780" max="1780" width="8.85546875" style="2" bestFit="1" customWidth="1"/>
    <col min="1781" max="1781" width="12.85546875" style="2" bestFit="1" customWidth="1"/>
    <col min="1782" max="1782" width="10.85546875" style="2" bestFit="1" customWidth="1"/>
    <col min="1783" max="1783" width="9.28515625" style="2" customWidth="1"/>
    <col min="1784" max="1784" width="11.5703125" style="2" customWidth="1"/>
    <col min="1785" max="1785" width="9.85546875" style="2" bestFit="1" customWidth="1"/>
    <col min="1786" max="1786" width="15.140625" style="2" customWidth="1"/>
    <col min="1787" max="1794" width="0" style="2" hidden="1" customWidth="1"/>
    <col min="1795" max="1989" width="18.5703125" style="2"/>
    <col min="1990" max="1990" width="21.140625" style="2" bestFit="1" customWidth="1"/>
    <col min="1991" max="1991" width="8.42578125" style="2" customWidth="1"/>
    <col min="1992" max="1992" width="8.42578125" style="2" bestFit="1" customWidth="1"/>
    <col min="1993" max="1994" width="9.28515625" style="2" bestFit="1" customWidth="1"/>
    <col min="1995" max="1995" width="9.5703125" style="2" bestFit="1" customWidth="1"/>
    <col min="1996" max="1996" width="9" style="2" bestFit="1" customWidth="1"/>
    <col min="1997" max="1997" width="7.85546875" style="2" customWidth="1"/>
    <col min="1998" max="1998" width="9.140625" style="2" customWidth="1"/>
    <col min="1999" max="1999" width="10.5703125" style="2" customWidth="1"/>
    <col min="2000" max="2000" width="9.85546875" style="2" customWidth="1"/>
    <col min="2001" max="2001" width="9" style="2" customWidth="1"/>
    <col min="2002" max="2002" width="9.140625" style="2" customWidth="1"/>
    <col min="2003" max="2003" width="10.7109375" style="2" customWidth="1"/>
    <col min="2004" max="2004" width="8.5703125" style="2" customWidth="1"/>
    <col min="2005" max="2005" width="4.42578125" style="2" customWidth="1"/>
    <col min="2006" max="2006" width="7.42578125" style="2" customWidth="1"/>
    <col min="2007" max="2007" width="7.7109375" style="2" customWidth="1"/>
    <col min="2008" max="2008" width="9.85546875" style="2" customWidth="1"/>
    <col min="2009" max="2009" width="7.42578125" style="2" customWidth="1"/>
    <col min="2010" max="2010" width="9.5703125" style="2" customWidth="1"/>
    <col min="2011" max="2011" width="11.28515625" style="2" customWidth="1"/>
    <col min="2012" max="2012" width="4.42578125" style="2" customWidth="1"/>
    <col min="2013" max="2013" width="10" style="2" customWidth="1"/>
    <col min="2014" max="2014" width="7.85546875" style="2" customWidth="1"/>
    <col min="2015" max="2015" width="10" style="2" customWidth="1"/>
    <col min="2016" max="2016" width="10.140625" style="2" customWidth="1"/>
    <col min="2017" max="2017" width="8.28515625" style="2" customWidth="1"/>
    <col min="2018" max="2018" width="7.7109375" style="2" customWidth="1"/>
    <col min="2019" max="2019" width="8.42578125" style="2" customWidth="1"/>
    <col min="2020" max="2020" width="10" style="2" customWidth="1"/>
    <col min="2021" max="2021" width="8.28515625" style="2" customWidth="1"/>
    <col min="2022" max="2022" width="9.42578125" style="2" customWidth="1"/>
    <col min="2023" max="2023" width="10.7109375" style="2" customWidth="1"/>
    <col min="2024" max="2024" width="9" style="2" customWidth="1"/>
    <col min="2025" max="2025" width="7.7109375" style="2" customWidth="1"/>
    <col min="2026" max="2026" width="9" style="2" customWidth="1"/>
    <col min="2027" max="2027" width="6.85546875" style="2" customWidth="1"/>
    <col min="2028" max="2028" width="9.7109375" style="2" customWidth="1"/>
    <col min="2029" max="2029" width="7.28515625" style="2" customWidth="1"/>
    <col min="2030" max="2030" width="11.42578125" style="2" customWidth="1"/>
    <col min="2031" max="2031" width="2.85546875" style="2" customWidth="1"/>
    <col min="2032" max="2032" width="6.28515625" style="2" customWidth="1"/>
    <col min="2033" max="2033" width="6.42578125" style="2" customWidth="1"/>
    <col min="2034" max="2034" width="10.140625" style="2" bestFit="1" customWidth="1"/>
    <col min="2035" max="2035" width="11.28515625" style="2" bestFit="1" customWidth="1"/>
    <col min="2036" max="2036" width="8.85546875" style="2" bestFit="1" customWidth="1"/>
    <col min="2037" max="2037" width="12.85546875" style="2" bestFit="1" customWidth="1"/>
    <col min="2038" max="2038" width="10.85546875" style="2" bestFit="1" customWidth="1"/>
    <col min="2039" max="2039" width="9.28515625" style="2" customWidth="1"/>
    <col min="2040" max="2040" width="11.5703125" style="2" customWidth="1"/>
    <col min="2041" max="2041" width="9.85546875" style="2" bestFit="1" customWidth="1"/>
    <col min="2042" max="2042" width="15.140625" style="2" customWidth="1"/>
    <col min="2043" max="2050" width="0" style="2" hidden="1" customWidth="1"/>
    <col min="2051" max="2245" width="18.5703125" style="2"/>
    <col min="2246" max="2246" width="21.140625" style="2" bestFit="1" customWidth="1"/>
    <col min="2247" max="2247" width="8.42578125" style="2" customWidth="1"/>
    <col min="2248" max="2248" width="8.42578125" style="2" bestFit="1" customWidth="1"/>
    <col min="2249" max="2250" width="9.28515625" style="2" bestFit="1" customWidth="1"/>
    <col min="2251" max="2251" width="9.5703125" style="2" bestFit="1" customWidth="1"/>
    <col min="2252" max="2252" width="9" style="2" bestFit="1" customWidth="1"/>
    <col min="2253" max="2253" width="7.85546875" style="2" customWidth="1"/>
    <col min="2254" max="2254" width="9.140625" style="2" customWidth="1"/>
    <col min="2255" max="2255" width="10.5703125" style="2" customWidth="1"/>
    <col min="2256" max="2256" width="9.85546875" style="2" customWidth="1"/>
    <col min="2257" max="2257" width="9" style="2" customWidth="1"/>
    <col min="2258" max="2258" width="9.140625" style="2" customWidth="1"/>
    <col min="2259" max="2259" width="10.7109375" style="2" customWidth="1"/>
    <col min="2260" max="2260" width="8.5703125" style="2" customWidth="1"/>
    <col min="2261" max="2261" width="4.42578125" style="2" customWidth="1"/>
    <col min="2262" max="2262" width="7.42578125" style="2" customWidth="1"/>
    <col min="2263" max="2263" width="7.7109375" style="2" customWidth="1"/>
    <col min="2264" max="2264" width="9.85546875" style="2" customWidth="1"/>
    <col min="2265" max="2265" width="7.42578125" style="2" customWidth="1"/>
    <col min="2266" max="2266" width="9.5703125" style="2" customWidth="1"/>
    <col min="2267" max="2267" width="11.28515625" style="2" customWidth="1"/>
    <col min="2268" max="2268" width="4.42578125" style="2" customWidth="1"/>
    <col min="2269" max="2269" width="10" style="2" customWidth="1"/>
    <col min="2270" max="2270" width="7.85546875" style="2" customWidth="1"/>
    <col min="2271" max="2271" width="10" style="2" customWidth="1"/>
    <col min="2272" max="2272" width="10.140625" style="2" customWidth="1"/>
    <col min="2273" max="2273" width="8.28515625" style="2" customWidth="1"/>
    <col min="2274" max="2274" width="7.7109375" style="2" customWidth="1"/>
    <col min="2275" max="2275" width="8.42578125" style="2" customWidth="1"/>
    <col min="2276" max="2276" width="10" style="2" customWidth="1"/>
    <col min="2277" max="2277" width="8.28515625" style="2" customWidth="1"/>
    <col min="2278" max="2278" width="9.42578125" style="2" customWidth="1"/>
    <col min="2279" max="2279" width="10.7109375" style="2" customWidth="1"/>
    <col min="2280" max="2280" width="9" style="2" customWidth="1"/>
    <col min="2281" max="2281" width="7.7109375" style="2" customWidth="1"/>
    <col min="2282" max="2282" width="9" style="2" customWidth="1"/>
    <col min="2283" max="2283" width="6.85546875" style="2" customWidth="1"/>
    <col min="2284" max="2284" width="9.7109375" style="2" customWidth="1"/>
    <col min="2285" max="2285" width="7.28515625" style="2" customWidth="1"/>
    <col min="2286" max="2286" width="11.42578125" style="2" customWidth="1"/>
    <col min="2287" max="2287" width="2.85546875" style="2" customWidth="1"/>
    <col min="2288" max="2288" width="6.28515625" style="2" customWidth="1"/>
    <col min="2289" max="2289" width="6.42578125" style="2" customWidth="1"/>
    <col min="2290" max="2290" width="10.140625" style="2" bestFit="1" customWidth="1"/>
    <col min="2291" max="2291" width="11.28515625" style="2" bestFit="1" customWidth="1"/>
    <col min="2292" max="2292" width="8.85546875" style="2" bestFit="1" customWidth="1"/>
    <col min="2293" max="2293" width="12.85546875" style="2" bestFit="1" customWidth="1"/>
    <col min="2294" max="2294" width="10.85546875" style="2" bestFit="1" customWidth="1"/>
    <col min="2295" max="2295" width="9.28515625" style="2" customWidth="1"/>
    <col min="2296" max="2296" width="11.5703125" style="2" customWidth="1"/>
    <col min="2297" max="2297" width="9.85546875" style="2" bestFit="1" customWidth="1"/>
    <col min="2298" max="2298" width="15.140625" style="2" customWidth="1"/>
    <col min="2299" max="2306" width="0" style="2" hidden="1" customWidth="1"/>
    <col min="2307" max="2501" width="18.5703125" style="2"/>
    <col min="2502" max="2502" width="21.140625" style="2" bestFit="1" customWidth="1"/>
    <col min="2503" max="2503" width="8.42578125" style="2" customWidth="1"/>
    <col min="2504" max="2504" width="8.42578125" style="2" bestFit="1" customWidth="1"/>
    <col min="2505" max="2506" width="9.28515625" style="2" bestFit="1" customWidth="1"/>
    <col min="2507" max="2507" width="9.5703125" style="2" bestFit="1" customWidth="1"/>
    <col min="2508" max="2508" width="9" style="2" bestFit="1" customWidth="1"/>
    <col min="2509" max="2509" width="7.85546875" style="2" customWidth="1"/>
    <col min="2510" max="2510" width="9.140625" style="2" customWidth="1"/>
    <col min="2511" max="2511" width="10.5703125" style="2" customWidth="1"/>
    <col min="2512" max="2512" width="9.85546875" style="2" customWidth="1"/>
    <col min="2513" max="2513" width="9" style="2" customWidth="1"/>
    <col min="2514" max="2514" width="9.140625" style="2" customWidth="1"/>
    <col min="2515" max="2515" width="10.7109375" style="2" customWidth="1"/>
    <col min="2516" max="2516" width="8.5703125" style="2" customWidth="1"/>
    <col min="2517" max="2517" width="4.42578125" style="2" customWidth="1"/>
    <col min="2518" max="2518" width="7.42578125" style="2" customWidth="1"/>
    <col min="2519" max="2519" width="7.7109375" style="2" customWidth="1"/>
    <col min="2520" max="2520" width="9.85546875" style="2" customWidth="1"/>
    <col min="2521" max="2521" width="7.42578125" style="2" customWidth="1"/>
    <col min="2522" max="2522" width="9.5703125" style="2" customWidth="1"/>
    <col min="2523" max="2523" width="11.28515625" style="2" customWidth="1"/>
    <col min="2524" max="2524" width="4.42578125" style="2" customWidth="1"/>
    <col min="2525" max="2525" width="10" style="2" customWidth="1"/>
    <col min="2526" max="2526" width="7.85546875" style="2" customWidth="1"/>
    <col min="2527" max="2527" width="10" style="2" customWidth="1"/>
    <col min="2528" max="2528" width="10.140625" style="2" customWidth="1"/>
    <col min="2529" max="2529" width="8.28515625" style="2" customWidth="1"/>
    <col min="2530" max="2530" width="7.7109375" style="2" customWidth="1"/>
    <col min="2531" max="2531" width="8.42578125" style="2" customWidth="1"/>
    <col min="2532" max="2532" width="10" style="2" customWidth="1"/>
    <col min="2533" max="2533" width="8.28515625" style="2" customWidth="1"/>
    <col min="2534" max="2534" width="9.42578125" style="2" customWidth="1"/>
    <col min="2535" max="2535" width="10.7109375" style="2" customWidth="1"/>
    <col min="2536" max="2536" width="9" style="2" customWidth="1"/>
    <col min="2537" max="2537" width="7.7109375" style="2" customWidth="1"/>
    <col min="2538" max="2538" width="9" style="2" customWidth="1"/>
    <col min="2539" max="2539" width="6.85546875" style="2" customWidth="1"/>
    <col min="2540" max="2540" width="9.7109375" style="2" customWidth="1"/>
    <col min="2541" max="2541" width="7.28515625" style="2" customWidth="1"/>
    <col min="2542" max="2542" width="11.42578125" style="2" customWidth="1"/>
    <col min="2543" max="2543" width="2.85546875" style="2" customWidth="1"/>
    <col min="2544" max="2544" width="6.28515625" style="2" customWidth="1"/>
    <col min="2545" max="2545" width="6.42578125" style="2" customWidth="1"/>
    <col min="2546" max="2546" width="10.140625" style="2" bestFit="1" customWidth="1"/>
    <col min="2547" max="2547" width="11.28515625" style="2" bestFit="1" customWidth="1"/>
    <col min="2548" max="2548" width="8.85546875" style="2" bestFit="1" customWidth="1"/>
    <col min="2549" max="2549" width="12.85546875" style="2" bestFit="1" customWidth="1"/>
    <col min="2550" max="2550" width="10.85546875" style="2" bestFit="1" customWidth="1"/>
    <col min="2551" max="2551" width="9.28515625" style="2" customWidth="1"/>
    <col min="2552" max="2552" width="11.5703125" style="2" customWidth="1"/>
    <col min="2553" max="2553" width="9.85546875" style="2" bestFit="1" customWidth="1"/>
    <col min="2554" max="2554" width="15.140625" style="2" customWidth="1"/>
    <col min="2555" max="2562" width="0" style="2" hidden="1" customWidth="1"/>
    <col min="2563" max="2757" width="18.5703125" style="2"/>
    <col min="2758" max="2758" width="21.140625" style="2" bestFit="1" customWidth="1"/>
    <col min="2759" max="2759" width="8.42578125" style="2" customWidth="1"/>
    <col min="2760" max="2760" width="8.42578125" style="2" bestFit="1" customWidth="1"/>
    <col min="2761" max="2762" width="9.28515625" style="2" bestFit="1" customWidth="1"/>
    <col min="2763" max="2763" width="9.5703125" style="2" bestFit="1" customWidth="1"/>
    <col min="2764" max="2764" width="9" style="2" bestFit="1" customWidth="1"/>
    <col min="2765" max="2765" width="7.85546875" style="2" customWidth="1"/>
    <col min="2766" max="2766" width="9.140625" style="2" customWidth="1"/>
    <col min="2767" max="2767" width="10.5703125" style="2" customWidth="1"/>
    <col min="2768" max="2768" width="9.85546875" style="2" customWidth="1"/>
    <col min="2769" max="2769" width="9" style="2" customWidth="1"/>
    <col min="2770" max="2770" width="9.140625" style="2" customWidth="1"/>
    <col min="2771" max="2771" width="10.7109375" style="2" customWidth="1"/>
    <col min="2772" max="2772" width="8.5703125" style="2" customWidth="1"/>
    <col min="2773" max="2773" width="4.42578125" style="2" customWidth="1"/>
    <col min="2774" max="2774" width="7.42578125" style="2" customWidth="1"/>
    <col min="2775" max="2775" width="7.7109375" style="2" customWidth="1"/>
    <col min="2776" max="2776" width="9.85546875" style="2" customWidth="1"/>
    <col min="2777" max="2777" width="7.42578125" style="2" customWidth="1"/>
    <col min="2778" max="2778" width="9.5703125" style="2" customWidth="1"/>
    <col min="2779" max="2779" width="11.28515625" style="2" customWidth="1"/>
    <col min="2780" max="2780" width="4.42578125" style="2" customWidth="1"/>
    <col min="2781" max="2781" width="10" style="2" customWidth="1"/>
    <col min="2782" max="2782" width="7.85546875" style="2" customWidth="1"/>
    <col min="2783" max="2783" width="10" style="2" customWidth="1"/>
    <col min="2784" max="2784" width="10.140625" style="2" customWidth="1"/>
    <col min="2785" max="2785" width="8.28515625" style="2" customWidth="1"/>
    <col min="2786" max="2786" width="7.7109375" style="2" customWidth="1"/>
    <col min="2787" max="2787" width="8.42578125" style="2" customWidth="1"/>
    <col min="2788" max="2788" width="10" style="2" customWidth="1"/>
    <col min="2789" max="2789" width="8.28515625" style="2" customWidth="1"/>
    <col min="2790" max="2790" width="9.42578125" style="2" customWidth="1"/>
    <col min="2791" max="2791" width="10.7109375" style="2" customWidth="1"/>
    <col min="2792" max="2792" width="9" style="2" customWidth="1"/>
    <col min="2793" max="2793" width="7.7109375" style="2" customWidth="1"/>
    <col min="2794" max="2794" width="9" style="2" customWidth="1"/>
    <col min="2795" max="2795" width="6.85546875" style="2" customWidth="1"/>
    <col min="2796" max="2796" width="9.7109375" style="2" customWidth="1"/>
    <col min="2797" max="2797" width="7.28515625" style="2" customWidth="1"/>
    <col min="2798" max="2798" width="11.42578125" style="2" customWidth="1"/>
    <col min="2799" max="2799" width="2.85546875" style="2" customWidth="1"/>
    <col min="2800" max="2800" width="6.28515625" style="2" customWidth="1"/>
    <col min="2801" max="2801" width="6.42578125" style="2" customWidth="1"/>
    <col min="2802" max="2802" width="10.140625" style="2" bestFit="1" customWidth="1"/>
    <col min="2803" max="2803" width="11.28515625" style="2" bestFit="1" customWidth="1"/>
    <col min="2804" max="2804" width="8.85546875" style="2" bestFit="1" customWidth="1"/>
    <col min="2805" max="2805" width="12.85546875" style="2" bestFit="1" customWidth="1"/>
    <col min="2806" max="2806" width="10.85546875" style="2" bestFit="1" customWidth="1"/>
    <col min="2807" max="2807" width="9.28515625" style="2" customWidth="1"/>
    <col min="2808" max="2808" width="11.5703125" style="2" customWidth="1"/>
    <col min="2809" max="2809" width="9.85546875" style="2" bestFit="1" customWidth="1"/>
    <col min="2810" max="2810" width="15.140625" style="2" customWidth="1"/>
    <col min="2811" max="2818" width="0" style="2" hidden="1" customWidth="1"/>
    <col min="2819" max="3013" width="18.5703125" style="2"/>
    <col min="3014" max="3014" width="21.140625" style="2" bestFit="1" customWidth="1"/>
    <col min="3015" max="3015" width="8.42578125" style="2" customWidth="1"/>
    <col min="3016" max="3016" width="8.42578125" style="2" bestFit="1" customWidth="1"/>
    <col min="3017" max="3018" width="9.28515625" style="2" bestFit="1" customWidth="1"/>
    <col min="3019" max="3019" width="9.5703125" style="2" bestFit="1" customWidth="1"/>
    <col min="3020" max="3020" width="9" style="2" bestFit="1" customWidth="1"/>
    <col min="3021" max="3021" width="7.85546875" style="2" customWidth="1"/>
    <col min="3022" max="3022" width="9.140625" style="2" customWidth="1"/>
    <col min="3023" max="3023" width="10.5703125" style="2" customWidth="1"/>
    <col min="3024" max="3024" width="9.85546875" style="2" customWidth="1"/>
    <col min="3025" max="3025" width="9" style="2" customWidth="1"/>
    <col min="3026" max="3026" width="9.140625" style="2" customWidth="1"/>
    <col min="3027" max="3027" width="10.7109375" style="2" customWidth="1"/>
    <col min="3028" max="3028" width="8.5703125" style="2" customWidth="1"/>
    <col min="3029" max="3029" width="4.42578125" style="2" customWidth="1"/>
    <col min="3030" max="3030" width="7.42578125" style="2" customWidth="1"/>
    <col min="3031" max="3031" width="7.7109375" style="2" customWidth="1"/>
    <col min="3032" max="3032" width="9.85546875" style="2" customWidth="1"/>
    <col min="3033" max="3033" width="7.42578125" style="2" customWidth="1"/>
    <col min="3034" max="3034" width="9.5703125" style="2" customWidth="1"/>
    <col min="3035" max="3035" width="11.28515625" style="2" customWidth="1"/>
    <col min="3036" max="3036" width="4.42578125" style="2" customWidth="1"/>
    <col min="3037" max="3037" width="10" style="2" customWidth="1"/>
    <col min="3038" max="3038" width="7.85546875" style="2" customWidth="1"/>
    <col min="3039" max="3039" width="10" style="2" customWidth="1"/>
    <col min="3040" max="3040" width="10.140625" style="2" customWidth="1"/>
    <col min="3041" max="3041" width="8.28515625" style="2" customWidth="1"/>
    <col min="3042" max="3042" width="7.7109375" style="2" customWidth="1"/>
    <col min="3043" max="3043" width="8.42578125" style="2" customWidth="1"/>
    <col min="3044" max="3044" width="10" style="2" customWidth="1"/>
    <col min="3045" max="3045" width="8.28515625" style="2" customWidth="1"/>
    <col min="3046" max="3046" width="9.42578125" style="2" customWidth="1"/>
    <col min="3047" max="3047" width="10.7109375" style="2" customWidth="1"/>
    <col min="3048" max="3048" width="9" style="2" customWidth="1"/>
    <col min="3049" max="3049" width="7.7109375" style="2" customWidth="1"/>
    <col min="3050" max="3050" width="9" style="2" customWidth="1"/>
    <col min="3051" max="3051" width="6.85546875" style="2" customWidth="1"/>
    <col min="3052" max="3052" width="9.7109375" style="2" customWidth="1"/>
    <col min="3053" max="3053" width="7.28515625" style="2" customWidth="1"/>
    <col min="3054" max="3054" width="11.42578125" style="2" customWidth="1"/>
    <col min="3055" max="3055" width="2.85546875" style="2" customWidth="1"/>
    <col min="3056" max="3056" width="6.28515625" style="2" customWidth="1"/>
    <col min="3057" max="3057" width="6.42578125" style="2" customWidth="1"/>
    <col min="3058" max="3058" width="10.140625" style="2" bestFit="1" customWidth="1"/>
    <col min="3059" max="3059" width="11.28515625" style="2" bestFit="1" customWidth="1"/>
    <col min="3060" max="3060" width="8.85546875" style="2" bestFit="1" customWidth="1"/>
    <col min="3061" max="3061" width="12.85546875" style="2" bestFit="1" customWidth="1"/>
    <col min="3062" max="3062" width="10.85546875" style="2" bestFit="1" customWidth="1"/>
    <col min="3063" max="3063" width="9.28515625" style="2" customWidth="1"/>
    <col min="3064" max="3064" width="11.5703125" style="2" customWidth="1"/>
    <col min="3065" max="3065" width="9.85546875" style="2" bestFit="1" customWidth="1"/>
    <col min="3066" max="3066" width="15.140625" style="2" customWidth="1"/>
    <col min="3067" max="3074" width="0" style="2" hidden="1" customWidth="1"/>
    <col min="3075" max="3269" width="18.5703125" style="2"/>
    <col min="3270" max="3270" width="21.140625" style="2" bestFit="1" customWidth="1"/>
    <col min="3271" max="3271" width="8.42578125" style="2" customWidth="1"/>
    <col min="3272" max="3272" width="8.42578125" style="2" bestFit="1" customWidth="1"/>
    <col min="3273" max="3274" width="9.28515625" style="2" bestFit="1" customWidth="1"/>
    <col min="3275" max="3275" width="9.5703125" style="2" bestFit="1" customWidth="1"/>
    <col min="3276" max="3276" width="9" style="2" bestFit="1" customWidth="1"/>
    <col min="3277" max="3277" width="7.85546875" style="2" customWidth="1"/>
    <col min="3278" max="3278" width="9.140625" style="2" customWidth="1"/>
    <col min="3279" max="3279" width="10.5703125" style="2" customWidth="1"/>
    <col min="3280" max="3280" width="9.85546875" style="2" customWidth="1"/>
    <col min="3281" max="3281" width="9" style="2" customWidth="1"/>
    <col min="3282" max="3282" width="9.140625" style="2" customWidth="1"/>
    <col min="3283" max="3283" width="10.7109375" style="2" customWidth="1"/>
    <col min="3284" max="3284" width="8.5703125" style="2" customWidth="1"/>
    <col min="3285" max="3285" width="4.42578125" style="2" customWidth="1"/>
    <col min="3286" max="3286" width="7.42578125" style="2" customWidth="1"/>
    <col min="3287" max="3287" width="7.7109375" style="2" customWidth="1"/>
    <col min="3288" max="3288" width="9.85546875" style="2" customWidth="1"/>
    <col min="3289" max="3289" width="7.42578125" style="2" customWidth="1"/>
    <col min="3290" max="3290" width="9.5703125" style="2" customWidth="1"/>
    <col min="3291" max="3291" width="11.28515625" style="2" customWidth="1"/>
    <col min="3292" max="3292" width="4.42578125" style="2" customWidth="1"/>
    <col min="3293" max="3293" width="10" style="2" customWidth="1"/>
    <col min="3294" max="3294" width="7.85546875" style="2" customWidth="1"/>
    <col min="3295" max="3295" width="10" style="2" customWidth="1"/>
    <col min="3296" max="3296" width="10.140625" style="2" customWidth="1"/>
    <col min="3297" max="3297" width="8.28515625" style="2" customWidth="1"/>
    <col min="3298" max="3298" width="7.7109375" style="2" customWidth="1"/>
    <col min="3299" max="3299" width="8.42578125" style="2" customWidth="1"/>
    <col min="3300" max="3300" width="10" style="2" customWidth="1"/>
    <col min="3301" max="3301" width="8.28515625" style="2" customWidth="1"/>
    <col min="3302" max="3302" width="9.42578125" style="2" customWidth="1"/>
    <col min="3303" max="3303" width="10.7109375" style="2" customWidth="1"/>
    <col min="3304" max="3304" width="9" style="2" customWidth="1"/>
    <col min="3305" max="3305" width="7.7109375" style="2" customWidth="1"/>
    <col min="3306" max="3306" width="9" style="2" customWidth="1"/>
    <col min="3307" max="3307" width="6.85546875" style="2" customWidth="1"/>
    <col min="3308" max="3308" width="9.7109375" style="2" customWidth="1"/>
    <col min="3309" max="3309" width="7.28515625" style="2" customWidth="1"/>
    <col min="3310" max="3310" width="11.42578125" style="2" customWidth="1"/>
    <col min="3311" max="3311" width="2.85546875" style="2" customWidth="1"/>
    <col min="3312" max="3312" width="6.28515625" style="2" customWidth="1"/>
    <col min="3313" max="3313" width="6.42578125" style="2" customWidth="1"/>
    <col min="3314" max="3314" width="10.140625" style="2" bestFit="1" customWidth="1"/>
    <col min="3315" max="3315" width="11.28515625" style="2" bestFit="1" customWidth="1"/>
    <col min="3316" max="3316" width="8.85546875" style="2" bestFit="1" customWidth="1"/>
    <col min="3317" max="3317" width="12.85546875" style="2" bestFit="1" customWidth="1"/>
    <col min="3318" max="3318" width="10.85546875" style="2" bestFit="1" customWidth="1"/>
    <col min="3319" max="3319" width="9.28515625" style="2" customWidth="1"/>
    <col min="3320" max="3320" width="11.5703125" style="2" customWidth="1"/>
    <col min="3321" max="3321" width="9.85546875" style="2" bestFit="1" customWidth="1"/>
    <col min="3322" max="3322" width="15.140625" style="2" customWidth="1"/>
    <col min="3323" max="3330" width="0" style="2" hidden="1" customWidth="1"/>
    <col min="3331" max="3525" width="18.5703125" style="2"/>
    <col min="3526" max="3526" width="21.140625" style="2" bestFit="1" customWidth="1"/>
    <col min="3527" max="3527" width="8.42578125" style="2" customWidth="1"/>
    <col min="3528" max="3528" width="8.42578125" style="2" bestFit="1" customWidth="1"/>
    <col min="3529" max="3530" width="9.28515625" style="2" bestFit="1" customWidth="1"/>
    <col min="3531" max="3531" width="9.5703125" style="2" bestFit="1" customWidth="1"/>
    <col min="3532" max="3532" width="9" style="2" bestFit="1" customWidth="1"/>
    <col min="3533" max="3533" width="7.85546875" style="2" customWidth="1"/>
    <col min="3534" max="3534" width="9.140625" style="2" customWidth="1"/>
    <col min="3535" max="3535" width="10.5703125" style="2" customWidth="1"/>
    <col min="3536" max="3536" width="9.85546875" style="2" customWidth="1"/>
    <col min="3537" max="3537" width="9" style="2" customWidth="1"/>
    <col min="3538" max="3538" width="9.140625" style="2" customWidth="1"/>
    <col min="3539" max="3539" width="10.7109375" style="2" customWidth="1"/>
    <col min="3540" max="3540" width="8.5703125" style="2" customWidth="1"/>
    <col min="3541" max="3541" width="4.42578125" style="2" customWidth="1"/>
    <col min="3542" max="3542" width="7.42578125" style="2" customWidth="1"/>
    <col min="3543" max="3543" width="7.7109375" style="2" customWidth="1"/>
    <col min="3544" max="3544" width="9.85546875" style="2" customWidth="1"/>
    <col min="3545" max="3545" width="7.42578125" style="2" customWidth="1"/>
    <col min="3546" max="3546" width="9.5703125" style="2" customWidth="1"/>
    <col min="3547" max="3547" width="11.28515625" style="2" customWidth="1"/>
    <col min="3548" max="3548" width="4.42578125" style="2" customWidth="1"/>
    <col min="3549" max="3549" width="10" style="2" customWidth="1"/>
    <col min="3550" max="3550" width="7.85546875" style="2" customWidth="1"/>
    <col min="3551" max="3551" width="10" style="2" customWidth="1"/>
    <col min="3552" max="3552" width="10.140625" style="2" customWidth="1"/>
    <col min="3553" max="3553" width="8.28515625" style="2" customWidth="1"/>
    <col min="3554" max="3554" width="7.7109375" style="2" customWidth="1"/>
    <col min="3555" max="3555" width="8.42578125" style="2" customWidth="1"/>
    <col min="3556" max="3556" width="10" style="2" customWidth="1"/>
    <col min="3557" max="3557" width="8.28515625" style="2" customWidth="1"/>
    <col min="3558" max="3558" width="9.42578125" style="2" customWidth="1"/>
    <col min="3559" max="3559" width="10.7109375" style="2" customWidth="1"/>
    <col min="3560" max="3560" width="9" style="2" customWidth="1"/>
    <col min="3561" max="3561" width="7.7109375" style="2" customWidth="1"/>
    <col min="3562" max="3562" width="9" style="2" customWidth="1"/>
    <col min="3563" max="3563" width="6.85546875" style="2" customWidth="1"/>
    <col min="3564" max="3564" width="9.7109375" style="2" customWidth="1"/>
    <col min="3565" max="3565" width="7.28515625" style="2" customWidth="1"/>
    <col min="3566" max="3566" width="11.42578125" style="2" customWidth="1"/>
    <col min="3567" max="3567" width="2.85546875" style="2" customWidth="1"/>
    <col min="3568" max="3568" width="6.28515625" style="2" customWidth="1"/>
    <col min="3569" max="3569" width="6.42578125" style="2" customWidth="1"/>
    <col min="3570" max="3570" width="10.140625" style="2" bestFit="1" customWidth="1"/>
    <col min="3571" max="3571" width="11.28515625" style="2" bestFit="1" customWidth="1"/>
    <col min="3572" max="3572" width="8.85546875" style="2" bestFit="1" customWidth="1"/>
    <col min="3573" max="3573" width="12.85546875" style="2" bestFit="1" customWidth="1"/>
    <col min="3574" max="3574" width="10.85546875" style="2" bestFit="1" customWidth="1"/>
    <col min="3575" max="3575" width="9.28515625" style="2" customWidth="1"/>
    <col min="3576" max="3576" width="11.5703125" style="2" customWidth="1"/>
    <col min="3577" max="3577" width="9.85546875" style="2" bestFit="1" customWidth="1"/>
    <col min="3578" max="3578" width="15.140625" style="2" customWidth="1"/>
    <col min="3579" max="3586" width="0" style="2" hidden="1" customWidth="1"/>
    <col min="3587" max="3781" width="18.5703125" style="2"/>
    <col min="3782" max="3782" width="21.140625" style="2" bestFit="1" customWidth="1"/>
    <col min="3783" max="3783" width="8.42578125" style="2" customWidth="1"/>
    <col min="3784" max="3784" width="8.42578125" style="2" bestFit="1" customWidth="1"/>
    <col min="3785" max="3786" width="9.28515625" style="2" bestFit="1" customWidth="1"/>
    <col min="3787" max="3787" width="9.5703125" style="2" bestFit="1" customWidth="1"/>
    <col min="3788" max="3788" width="9" style="2" bestFit="1" customWidth="1"/>
    <col min="3789" max="3789" width="7.85546875" style="2" customWidth="1"/>
    <col min="3790" max="3790" width="9.140625" style="2" customWidth="1"/>
    <col min="3791" max="3791" width="10.5703125" style="2" customWidth="1"/>
    <col min="3792" max="3792" width="9.85546875" style="2" customWidth="1"/>
    <col min="3793" max="3793" width="9" style="2" customWidth="1"/>
    <col min="3794" max="3794" width="9.140625" style="2" customWidth="1"/>
    <col min="3795" max="3795" width="10.7109375" style="2" customWidth="1"/>
    <col min="3796" max="3796" width="8.5703125" style="2" customWidth="1"/>
    <col min="3797" max="3797" width="4.42578125" style="2" customWidth="1"/>
    <col min="3798" max="3798" width="7.42578125" style="2" customWidth="1"/>
    <col min="3799" max="3799" width="7.7109375" style="2" customWidth="1"/>
    <col min="3800" max="3800" width="9.85546875" style="2" customWidth="1"/>
    <col min="3801" max="3801" width="7.42578125" style="2" customWidth="1"/>
    <col min="3802" max="3802" width="9.5703125" style="2" customWidth="1"/>
    <col min="3803" max="3803" width="11.28515625" style="2" customWidth="1"/>
    <col min="3804" max="3804" width="4.42578125" style="2" customWidth="1"/>
    <col min="3805" max="3805" width="10" style="2" customWidth="1"/>
    <col min="3806" max="3806" width="7.85546875" style="2" customWidth="1"/>
    <col min="3807" max="3807" width="10" style="2" customWidth="1"/>
    <col min="3808" max="3808" width="10.140625" style="2" customWidth="1"/>
    <col min="3809" max="3809" width="8.28515625" style="2" customWidth="1"/>
    <col min="3810" max="3810" width="7.7109375" style="2" customWidth="1"/>
    <col min="3811" max="3811" width="8.42578125" style="2" customWidth="1"/>
    <col min="3812" max="3812" width="10" style="2" customWidth="1"/>
    <col min="3813" max="3813" width="8.28515625" style="2" customWidth="1"/>
    <col min="3814" max="3814" width="9.42578125" style="2" customWidth="1"/>
    <col min="3815" max="3815" width="10.7109375" style="2" customWidth="1"/>
    <col min="3816" max="3816" width="9" style="2" customWidth="1"/>
    <col min="3817" max="3817" width="7.7109375" style="2" customWidth="1"/>
    <col min="3818" max="3818" width="9" style="2" customWidth="1"/>
    <col min="3819" max="3819" width="6.85546875" style="2" customWidth="1"/>
    <col min="3820" max="3820" width="9.7109375" style="2" customWidth="1"/>
    <col min="3821" max="3821" width="7.28515625" style="2" customWidth="1"/>
    <col min="3822" max="3822" width="11.42578125" style="2" customWidth="1"/>
    <col min="3823" max="3823" width="2.85546875" style="2" customWidth="1"/>
    <col min="3824" max="3824" width="6.28515625" style="2" customWidth="1"/>
    <col min="3825" max="3825" width="6.42578125" style="2" customWidth="1"/>
    <col min="3826" max="3826" width="10.140625" style="2" bestFit="1" customWidth="1"/>
    <col min="3827" max="3827" width="11.28515625" style="2" bestFit="1" customWidth="1"/>
    <col min="3828" max="3828" width="8.85546875" style="2" bestFit="1" customWidth="1"/>
    <col min="3829" max="3829" width="12.85546875" style="2" bestFit="1" customWidth="1"/>
    <col min="3830" max="3830" width="10.85546875" style="2" bestFit="1" customWidth="1"/>
    <col min="3831" max="3831" width="9.28515625" style="2" customWidth="1"/>
    <col min="3832" max="3832" width="11.5703125" style="2" customWidth="1"/>
    <col min="3833" max="3833" width="9.85546875" style="2" bestFit="1" customWidth="1"/>
    <col min="3834" max="3834" width="15.140625" style="2" customWidth="1"/>
    <col min="3835" max="3842" width="0" style="2" hidden="1" customWidth="1"/>
    <col min="3843" max="4037" width="18.5703125" style="2"/>
    <col min="4038" max="4038" width="21.140625" style="2" bestFit="1" customWidth="1"/>
    <col min="4039" max="4039" width="8.42578125" style="2" customWidth="1"/>
    <col min="4040" max="4040" width="8.42578125" style="2" bestFit="1" customWidth="1"/>
    <col min="4041" max="4042" width="9.28515625" style="2" bestFit="1" customWidth="1"/>
    <col min="4043" max="4043" width="9.5703125" style="2" bestFit="1" customWidth="1"/>
    <col min="4044" max="4044" width="9" style="2" bestFit="1" customWidth="1"/>
    <col min="4045" max="4045" width="7.85546875" style="2" customWidth="1"/>
    <col min="4046" max="4046" width="9.140625" style="2" customWidth="1"/>
    <col min="4047" max="4047" width="10.5703125" style="2" customWidth="1"/>
    <col min="4048" max="4048" width="9.85546875" style="2" customWidth="1"/>
    <col min="4049" max="4049" width="9" style="2" customWidth="1"/>
    <col min="4050" max="4050" width="9.140625" style="2" customWidth="1"/>
    <col min="4051" max="4051" width="10.7109375" style="2" customWidth="1"/>
    <col min="4052" max="4052" width="8.5703125" style="2" customWidth="1"/>
    <col min="4053" max="4053" width="4.42578125" style="2" customWidth="1"/>
    <col min="4054" max="4054" width="7.42578125" style="2" customWidth="1"/>
    <col min="4055" max="4055" width="7.7109375" style="2" customWidth="1"/>
    <col min="4056" max="4056" width="9.85546875" style="2" customWidth="1"/>
    <col min="4057" max="4057" width="7.42578125" style="2" customWidth="1"/>
    <col min="4058" max="4058" width="9.5703125" style="2" customWidth="1"/>
    <col min="4059" max="4059" width="11.28515625" style="2" customWidth="1"/>
    <col min="4060" max="4060" width="4.42578125" style="2" customWidth="1"/>
    <col min="4061" max="4061" width="10" style="2" customWidth="1"/>
    <col min="4062" max="4062" width="7.85546875" style="2" customWidth="1"/>
    <col min="4063" max="4063" width="10" style="2" customWidth="1"/>
    <col min="4064" max="4064" width="10.140625" style="2" customWidth="1"/>
    <col min="4065" max="4065" width="8.28515625" style="2" customWidth="1"/>
    <col min="4066" max="4066" width="7.7109375" style="2" customWidth="1"/>
    <col min="4067" max="4067" width="8.42578125" style="2" customWidth="1"/>
    <col min="4068" max="4068" width="10" style="2" customWidth="1"/>
    <col min="4069" max="4069" width="8.28515625" style="2" customWidth="1"/>
    <col min="4070" max="4070" width="9.42578125" style="2" customWidth="1"/>
    <col min="4071" max="4071" width="10.7109375" style="2" customWidth="1"/>
    <col min="4072" max="4072" width="9" style="2" customWidth="1"/>
    <col min="4073" max="4073" width="7.7109375" style="2" customWidth="1"/>
    <col min="4074" max="4074" width="9" style="2" customWidth="1"/>
    <col min="4075" max="4075" width="6.85546875" style="2" customWidth="1"/>
    <col min="4076" max="4076" width="9.7109375" style="2" customWidth="1"/>
    <col min="4077" max="4077" width="7.28515625" style="2" customWidth="1"/>
    <col min="4078" max="4078" width="11.42578125" style="2" customWidth="1"/>
    <col min="4079" max="4079" width="2.85546875" style="2" customWidth="1"/>
    <col min="4080" max="4080" width="6.28515625" style="2" customWidth="1"/>
    <col min="4081" max="4081" width="6.42578125" style="2" customWidth="1"/>
    <col min="4082" max="4082" width="10.140625" style="2" bestFit="1" customWidth="1"/>
    <col min="4083" max="4083" width="11.28515625" style="2" bestFit="1" customWidth="1"/>
    <col min="4084" max="4084" width="8.85546875" style="2" bestFit="1" customWidth="1"/>
    <col min="4085" max="4085" width="12.85546875" style="2" bestFit="1" customWidth="1"/>
    <col min="4086" max="4086" width="10.85546875" style="2" bestFit="1" customWidth="1"/>
    <col min="4087" max="4087" width="9.28515625" style="2" customWidth="1"/>
    <col min="4088" max="4088" width="11.5703125" style="2" customWidth="1"/>
    <col min="4089" max="4089" width="9.85546875" style="2" bestFit="1" customWidth="1"/>
    <col min="4090" max="4090" width="15.140625" style="2" customWidth="1"/>
    <col min="4091" max="4098" width="0" style="2" hidden="1" customWidth="1"/>
    <col min="4099" max="4293" width="18.5703125" style="2"/>
    <col min="4294" max="4294" width="21.140625" style="2" bestFit="1" customWidth="1"/>
    <col min="4295" max="4295" width="8.42578125" style="2" customWidth="1"/>
    <col min="4296" max="4296" width="8.42578125" style="2" bestFit="1" customWidth="1"/>
    <col min="4297" max="4298" width="9.28515625" style="2" bestFit="1" customWidth="1"/>
    <col min="4299" max="4299" width="9.5703125" style="2" bestFit="1" customWidth="1"/>
    <col min="4300" max="4300" width="9" style="2" bestFit="1" customWidth="1"/>
    <col min="4301" max="4301" width="7.85546875" style="2" customWidth="1"/>
    <col min="4302" max="4302" width="9.140625" style="2" customWidth="1"/>
    <col min="4303" max="4303" width="10.5703125" style="2" customWidth="1"/>
    <col min="4304" max="4304" width="9.85546875" style="2" customWidth="1"/>
    <col min="4305" max="4305" width="9" style="2" customWidth="1"/>
    <col min="4306" max="4306" width="9.140625" style="2" customWidth="1"/>
    <col min="4307" max="4307" width="10.7109375" style="2" customWidth="1"/>
    <col min="4308" max="4308" width="8.5703125" style="2" customWidth="1"/>
    <col min="4309" max="4309" width="4.42578125" style="2" customWidth="1"/>
    <col min="4310" max="4310" width="7.42578125" style="2" customWidth="1"/>
    <col min="4311" max="4311" width="7.7109375" style="2" customWidth="1"/>
    <col min="4312" max="4312" width="9.85546875" style="2" customWidth="1"/>
    <col min="4313" max="4313" width="7.42578125" style="2" customWidth="1"/>
    <col min="4314" max="4314" width="9.5703125" style="2" customWidth="1"/>
    <col min="4315" max="4315" width="11.28515625" style="2" customWidth="1"/>
    <col min="4316" max="4316" width="4.42578125" style="2" customWidth="1"/>
    <col min="4317" max="4317" width="10" style="2" customWidth="1"/>
    <col min="4318" max="4318" width="7.85546875" style="2" customWidth="1"/>
    <col min="4319" max="4319" width="10" style="2" customWidth="1"/>
    <col min="4320" max="4320" width="10.140625" style="2" customWidth="1"/>
    <col min="4321" max="4321" width="8.28515625" style="2" customWidth="1"/>
    <col min="4322" max="4322" width="7.7109375" style="2" customWidth="1"/>
    <col min="4323" max="4323" width="8.42578125" style="2" customWidth="1"/>
    <col min="4324" max="4324" width="10" style="2" customWidth="1"/>
    <col min="4325" max="4325" width="8.28515625" style="2" customWidth="1"/>
    <col min="4326" max="4326" width="9.42578125" style="2" customWidth="1"/>
    <col min="4327" max="4327" width="10.7109375" style="2" customWidth="1"/>
    <col min="4328" max="4328" width="9" style="2" customWidth="1"/>
    <col min="4329" max="4329" width="7.7109375" style="2" customWidth="1"/>
    <col min="4330" max="4330" width="9" style="2" customWidth="1"/>
    <col min="4331" max="4331" width="6.85546875" style="2" customWidth="1"/>
    <col min="4332" max="4332" width="9.7109375" style="2" customWidth="1"/>
    <col min="4333" max="4333" width="7.28515625" style="2" customWidth="1"/>
    <col min="4334" max="4334" width="11.42578125" style="2" customWidth="1"/>
    <col min="4335" max="4335" width="2.85546875" style="2" customWidth="1"/>
    <col min="4336" max="4336" width="6.28515625" style="2" customWidth="1"/>
    <col min="4337" max="4337" width="6.42578125" style="2" customWidth="1"/>
    <col min="4338" max="4338" width="10.140625" style="2" bestFit="1" customWidth="1"/>
    <col min="4339" max="4339" width="11.28515625" style="2" bestFit="1" customWidth="1"/>
    <col min="4340" max="4340" width="8.85546875" style="2" bestFit="1" customWidth="1"/>
    <col min="4341" max="4341" width="12.85546875" style="2" bestFit="1" customWidth="1"/>
    <col min="4342" max="4342" width="10.85546875" style="2" bestFit="1" customWidth="1"/>
    <col min="4343" max="4343" width="9.28515625" style="2" customWidth="1"/>
    <col min="4344" max="4344" width="11.5703125" style="2" customWidth="1"/>
    <col min="4345" max="4345" width="9.85546875" style="2" bestFit="1" customWidth="1"/>
    <col min="4346" max="4346" width="15.140625" style="2" customWidth="1"/>
    <col min="4347" max="4354" width="0" style="2" hidden="1" customWidth="1"/>
    <col min="4355" max="4549" width="18.5703125" style="2"/>
    <col min="4550" max="4550" width="21.140625" style="2" bestFit="1" customWidth="1"/>
    <col min="4551" max="4551" width="8.42578125" style="2" customWidth="1"/>
    <col min="4552" max="4552" width="8.42578125" style="2" bestFit="1" customWidth="1"/>
    <col min="4553" max="4554" width="9.28515625" style="2" bestFit="1" customWidth="1"/>
    <col min="4555" max="4555" width="9.5703125" style="2" bestFit="1" customWidth="1"/>
    <col min="4556" max="4556" width="9" style="2" bestFit="1" customWidth="1"/>
    <col min="4557" max="4557" width="7.85546875" style="2" customWidth="1"/>
    <col min="4558" max="4558" width="9.140625" style="2" customWidth="1"/>
    <col min="4559" max="4559" width="10.5703125" style="2" customWidth="1"/>
    <col min="4560" max="4560" width="9.85546875" style="2" customWidth="1"/>
    <col min="4561" max="4561" width="9" style="2" customWidth="1"/>
    <col min="4562" max="4562" width="9.140625" style="2" customWidth="1"/>
    <col min="4563" max="4563" width="10.7109375" style="2" customWidth="1"/>
    <col min="4564" max="4564" width="8.5703125" style="2" customWidth="1"/>
    <col min="4565" max="4565" width="4.42578125" style="2" customWidth="1"/>
    <col min="4566" max="4566" width="7.42578125" style="2" customWidth="1"/>
    <col min="4567" max="4567" width="7.7109375" style="2" customWidth="1"/>
    <col min="4568" max="4568" width="9.85546875" style="2" customWidth="1"/>
    <col min="4569" max="4569" width="7.42578125" style="2" customWidth="1"/>
    <col min="4570" max="4570" width="9.5703125" style="2" customWidth="1"/>
    <col min="4571" max="4571" width="11.28515625" style="2" customWidth="1"/>
    <col min="4572" max="4572" width="4.42578125" style="2" customWidth="1"/>
    <col min="4573" max="4573" width="10" style="2" customWidth="1"/>
    <col min="4574" max="4574" width="7.85546875" style="2" customWidth="1"/>
    <col min="4575" max="4575" width="10" style="2" customWidth="1"/>
    <col min="4576" max="4576" width="10.140625" style="2" customWidth="1"/>
    <col min="4577" max="4577" width="8.28515625" style="2" customWidth="1"/>
    <col min="4578" max="4578" width="7.7109375" style="2" customWidth="1"/>
    <col min="4579" max="4579" width="8.42578125" style="2" customWidth="1"/>
    <col min="4580" max="4580" width="10" style="2" customWidth="1"/>
    <col min="4581" max="4581" width="8.28515625" style="2" customWidth="1"/>
    <col min="4582" max="4582" width="9.42578125" style="2" customWidth="1"/>
    <col min="4583" max="4583" width="10.7109375" style="2" customWidth="1"/>
    <col min="4584" max="4584" width="9" style="2" customWidth="1"/>
    <col min="4585" max="4585" width="7.7109375" style="2" customWidth="1"/>
    <col min="4586" max="4586" width="9" style="2" customWidth="1"/>
    <col min="4587" max="4587" width="6.85546875" style="2" customWidth="1"/>
    <col min="4588" max="4588" width="9.7109375" style="2" customWidth="1"/>
    <col min="4589" max="4589" width="7.28515625" style="2" customWidth="1"/>
    <col min="4590" max="4590" width="11.42578125" style="2" customWidth="1"/>
    <col min="4591" max="4591" width="2.85546875" style="2" customWidth="1"/>
    <col min="4592" max="4592" width="6.28515625" style="2" customWidth="1"/>
    <col min="4593" max="4593" width="6.42578125" style="2" customWidth="1"/>
    <col min="4594" max="4594" width="10.140625" style="2" bestFit="1" customWidth="1"/>
    <col min="4595" max="4595" width="11.28515625" style="2" bestFit="1" customWidth="1"/>
    <col min="4596" max="4596" width="8.85546875" style="2" bestFit="1" customWidth="1"/>
    <col min="4597" max="4597" width="12.85546875" style="2" bestFit="1" customWidth="1"/>
    <col min="4598" max="4598" width="10.85546875" style="2" bestFit="1" customWidth="1"/>
    <col min="4599" max="4599" width="9.28515625" style="2" customWidth="1"/>
    <col min="4600" max="4600" width="11.5703125" style="2" customWidth="1"/>
    <col min="4601" max="4601" width="9.85546875" style="2" bestFit="1" customWidth="1"/>
    <col min="4602" max="4602" width="15.140625" style="2" customWidth="1"/>
    <col min="4603" max="4610" width="0" style="2" hidden="1" customWidth="1"/>
    <col min="4611" max="4805" width="18.5703125" style="2"/>
    <col min="4806" max="4806" width="21.140625" style="2" bestFit="1" customWidth="1"/>
    <col min="4807" max="4807" width="8.42578125" style="2" customWidth="1"/>
    <col min="4808" max="4808" width="8.42578125" style="2" bestFit="1" customWidth="1"/>
    <col min="4809" max="4810" width="9.28515625" style="2" bestFit="1" customWidth="1"/>
    <col min="4811" max="4811" width="9.5703125" style="2" bestFit="1" customWidth="1"/>
    <col min="4812" max="4812" width="9" style="2" bestFit="1" customWidth="1"/>
    <col min="4813" max="4813" width="7.85546875" style="2" customWidth="1"/>
    <col min="4814" max="4814" width="9.140625" style="2" customWidth="1"/>
    <col min="4815" max="4815" width="10.5703125" style="2" customWidth="1"/>
    <col min="4816" max="4816" width="9.85546875" style="2" customWidth="1"/>
    <col min="4817" max="4817" width="9" style="2" customWidth="1"/>
    <col min="4818" max="4818" width="9.140625" style="2" customWidth="1"/>
    <col min="4819" max="4819" width="10.7109375" style="2" customWidth="1"/>
    <col min="4820" max="4820" width="8.5703125" style="2" customWidth="1"/>
    <col min="4821" max="4821" width="4.42578125" style="2" customWidth="1"/>
    <col min="4822" max="4822" width="7.42578125" style="2" customWidth="1"/>
    <col min="4823" max="4823" width="7.7109375" style="2" customWidth="1"/>
    <col min="4824" max="4824" width="9.85546875" style="2" customWidth="1"/>
    <col min="4825" max="4825" width="7.42578125" style="2" customWidth="1"/>
    <col min="4826" max="4826" width="9.5703125" style="2" customWidth="1"/>
    <col min="4827" max="4827" width="11.28515625" style="2" customWidth="1"/>
    <col min="4828" max="4828" width="4.42578125" style="2" customWidth="1"/>
    <col min="4829" max="4829" width="10" style="2" customWidth="1"/>
    <col min="4830" max="4830" width="7.85546875" style="2" customWidth="1"/>
    <col min="4831" max="4831" width="10" style="2" customWidth="1"/>
    <col min="4832" max="4832" width="10.140625" style="2" customWidth="1"/>
    <col min="4833" max="4833" width="8.28515625" style="2" customWidth="1"/>
    <col min="4834" max="4834" width="7.7109375" style="2" customWidth="1"/>
    <col min="4835" max="4835" width="8.42578125" style="2" customWidth="1"/>
    <col min="4836" max="4836" width="10" style="2" customWidth="1"/>
    <col min="4837" max="4837" width="8.28515625" style="2" customWidth="1"/>
    <col min="4838" max="4838" width="9.42578125" style="2" customWidth="1"/>
    <col min="4839" max="4839" width="10.7109375" style="2" customWidth="1"/>
    <col min="4840" max="4840" width="9" style="2" customWidth="1"/>
    <col min="4841" max="4841" width="7.7109375" style="2" customWidth="1"/>
    <col min="4842" max="4842" width="9" style="2" customWidth="1"/>
    <col min="4843" max="4843" width="6.85546875" style="2" customWidth="1"/>
    <col min="4844" max="4844" width="9.7109375" style="2" customWidth="1"/>
    <col min="4845" max="4845" width="7.28515625" style="2" customWidth="1"/>
    <col min="4846" max="4846" width="11.42578125" style="2" customWidth="1"/>
    <col min="4847" max="4847" width="2.85546875" style="2" customWidth="1"/>
    <col min="4848" max="4848" width="6.28515625" style="2" customWidth="1"/>
    <col min="4849" max="4849" width="6.42578125" style="2" customWidth="1"/>
    <col min="4850" max="4850" width="10.140625" style="2" bestFit="1" customWidth="1"/>
    <col min="4851" max="4851" width="11.28515625" style="2" bestFit="1" customWidth="1"/>
    <col min="4852" max="4852" width="8.85546875" style="2" bestFit="1" customWidth="1"/>
    <col min="4853" max="4853" width="12.85546875" style="2" bestFit="1" customWidth="1"/>
    <col min="4854" max="4854" width="10.85546875" style="2" bestFit="1" customWidth="1"/>
    <col min="4855" max="4855" width="9.28515625" style="2" customWidth="1"/>
    <col min="4856" max="4856" width="11.5703125" style="2" customWidth="1"/>
    <col min="4857" max="4857" width="9.85546875" style="2" bestFit="1" customWidth="1"/>
    <col min="4858" max="4858" width="15.140625" style="2" customWidth="1"/>
    <col min="4859" max="4866" width="0" style="2" hidden="1" customWidth="1"/>
    <col min="4867" max="5061" width="18.5703125" style="2"/>
    <col min="5062" max="5062" width="21.140625" style="2" bestFit="1" customWidth="1"/>
    <col min="5063" max="5063" width="8.42578125" style="2" customWidth="1"/>
    <col min="5064" max="5064" width="8.42578125" style="2" bestFit="1" customWidth="1"/>
    <col min="5065" max="5066" width="9.28515625" style="2" bestFit="1" customWidth="1"/>
    <col min="5067" max="5067" width="9.5703125" style="2" bestFit="1" customWidth="1"/>
    <col min="5068" max="5068" width="9" style="2" bestFit="1" customWidth="1"/>
    <col min="5069" max="5069" width="7.85546875" style="2" customWidth="1"/>
    <col min="5070" max="5070" width="9.140625" style="2" customWidth="1"/>
    <col min="5071" max="5071" width="10.5703125" style="2" customWidth="1"/>
    <col min="5072" max="5072" width="9.85546875" style="2" customWidth="1"/>
    <col min="5073" max="5073" width="9" style="2" customWidth="1"/>
    <col min="5074" max="5074" width="9.140625" style="2" customWidth="1"/>
    <col min="5075" max="5075" width="10.7109375" style="2" customWidth="1"/>
    <col min="5076" max="5076" width="8.5703125" style="2" customWidth="1"/>
    <col min="5077" max="5077" width="4.42578125" style="2" customWidth="1"/>
    <col min="5078" max="5078" width="7.42578125" style="2" customWidth="1"/>
    <col min="5079" max="5079" width="7.7109375" style="2" customWidth="1"/>
    <col min="5080" max="5080" width="9.85546875" style="2" customWidth="1"/>
    <col min="5081" max="5081" width="7.42578125" style="2" customWidth="1"/>
    <col min="5082" max="5082" width="9.5703125" style="2" customWidth="1"/>
    <col min="5083" max="5083" width="11.28515625" style="2" customWidth="1"/>
    <col min="5084" max="5084" width="4.42578125" style="2" customWidth="1"/>
    <col min="5085" max="5085" width="10" style="2" customWidth="1"/>
    <col min="5086" max="5086" width="7.85546875" style="2" customWidth="1"/>
    <col min="5087" max="5087" width="10" style="2" customWidth="1"/>
    <col min="5088" max="5088" width="10.140625" style="2" customWidth="1"/>
    <col min="5089" max="5089" width="8.28515625" style="2" customWidth="1"/>
    <col min="5090" max="5090" width="7.7109375" style="2" customWidth="1"/>
    <col min="5091" max="5091" width="8.42578125" style="2" customWidth="1"/>
    <col min="5092" max="5092" width="10" style="2" customWidth="1"/>
    <col min="5093" max="5093" width="8.28515625" style="2" customWidth="1"/>
    <col min="5094" max="5094" width="9.42578125" style="2" customWidth="1"/>
    <col min="5095" max="5095" width="10.7109375" style="2" customWidth="1"/>
    <col min="5096" max="5096" width="9" style="2" customWidth="1"/>
    <col min="5097" max="5097" width="7.7109375" style="2" customWidth="1"/>
    <col min="5098" max="5098" width="9" style="2" customWidth="1"/>
    <col min="5099" max="5099" width="6.85546875" style="2" customWidth="1"/>
    <col min="5100" max="5100" width="9.7109375" style="2" customWidth="1"/>
    <col min="5101" max="5101" width="7.28515625" style="2" customWidth="1"/>
    <col min="5102" max="5102" width="11.42578125" style="2" customWidth="1"/>
    <col min="5103" max="5103" width="2.85546875" style="2" customWidth="1"/>
    <col min="5104" max="5104" width="6.28515625" style="2" customWidth="1"/>
    <col min="5105" max="5105" width="6.42578125" style="2" customWidth="1"/>
    <col min="5106" max="5106" width="10.140625" style="2" bestFit="1" customWidth="1"/>
    <col min="5107" max="5107" width="11.28515625" style="2" bestFit="1" customWidth="1"/>
    <col min="5108" max="5108" width="8.85546875" style="2" bestFit="1" customWidth="1"/>
    <col min="5109" max="5109" width="12.85546875" style="2" bestFit="1" customWidth="1"/>
    <col min="5110" max="5110" width="10.85546875" style="2" bestFit="1" customWidth="1"/>
    <col min="5111" max="5111" width="9.28515625" style="2" customWidth="1"/>
    <col min="5112" max="5112" width="11.5703125" style="2" customWidth="1"/>
    <col min="5113" max="5113" width="9.85546875" style="2" bestFit="1" customWidth="1"/>
    <col min="5114" max="5114" width="15.140625" style="2" customWidth="1"/>
    <col min="5115" max="5122" width="0" style="2" hidden="1" customWidth="1"/>
    <col min="5123" max="5317" width="18.5703125" style="2"/>
    <col min="5318" max="5318" width="21.140625" style="2" bestFit="1" customWidth="1"/>
    <col min="5319" max="5319" width="8.42578125" style="2" customWidth="1"/>
    <col min="5320" max="5320" width="8.42578125" style="2" bestFit="1" customWidth="1"/>
    <col min="5321" max="5322" width="9.28515625" style="2" bestFit="1" customWidth="1"/>
    <col min="5323" max="5323" width="9.5703125" style="2" bestFit="1" customWidth="1"/>
    <col min="5324" max="5324" width="9" style="2" bestFit="1" customWidth="1"/>
    <col min="5325" max="5325" width="7.85546875" style="2" customWidth="1"/>
    <col min="5326" max="5326" width="9.140625" style="2" customWidth="1"/>
    <col min="5327" max="5327" width="10.5703125" style="2" customWidth="1"/>
    <col min="5328" max="5328" width="9.85546875" style="2" customWidth="1"/>
    <col min="5329" max="5329" width="9" style="2" customWidth="1"/>
    <col min="5330" max="5330" width="9.140625" style="2" customWidth="1"/>
    <col min="5331" max="5331" width="10.7109375" style="2" customWidth="1"/>
    <col min="5332" max="5332" width="8.5703125" style="2" customWidth="1"/>
    <col min="5333" max="5333" width="4.42578125" style="2" customWidth="1"/>
    <col min="5334" max="5334" width="7.42578125" style="2" customWidth="1"/>
    <col min="5335" max="5335" width="7.7109375" style="2" customWidth="1"/>
    <col min="5336" max="5336" width="9.85546875" style="2" customWidth="1"/>
    <col min="5337" max="5337" width="7.42578125" style="2" customWidth="1"/>
    <col min="5338" max="5338" width="9.5703125" style="2" customWidth="1"/>
    <col min="5339" max="5339" width="11.28515625" style="2" customWidth="1"/>
    <col min="5340" max="5340" width="4.42578125" style="2" customWidth="1"/>
    <col min="5341" max="5341" width="10" style="2" customWidth="1"/>
    <col min="5342" max="5342" width="7.85546875" style="2" customWidth="1"/>
    <col min="5343" max="5343" width="10" style="2" customWidth="1"/>
    <col min="5344" max="5344" width="10.140625" style="2" customWidth="1"/>
    <col min="5345" max="5345" width="8.28515625" style="2" customWidth="1"/>
    <col min="5346" max="5346" width="7.7109375" style="2" customWidth="1"/>
    <col min="5347" max="5347" width="8.42578125" style="2" customWidth="1"/>
    <col min="5348" max="5348" width="10" style="2" customWidth="1"/>
    <col min="5349" max="5349" width="8.28515625" style="2" customWidth="1"/>
    <col min="5350" max="5350" width="9.42578125" style="2" customWidth="1"/>
    <col min="5351" max="5351" width="10.7109375" style="2" customWidth="1"/>
    <col min="5352" max="5352" width="9" style="2" customWidth="1"/>
    <col min="5353" max="5353" width="7.7109375" style="2" customWidth="1"/>
    <col min="5354" max="5354" width="9" style="2" customWidth="1"/>
    <col min="5355" max="5355" width="6.85546875" style="2" customWidth="1"/>
    <col min="5356" max="5356" width="9.7109375" style="2" customWidth="1"/>
    <col min="5357" max="5357" width="7.28515625" style="2" customWidth="1"/>
    <col min="5358" max="5358" width="11.42578125" style="2" customWidth="1"/>
    <col min="5359" max="5359" width="2.85546875" style="2" customWidth="1"/>
    <col min="5360" max="5360" width="6.28515625" style="2" customWidth="1"/>
    <col min="5361" max="5361" width="6.42578125" style="2" customWidth="1"/>
    <col min="5362" max="5362" width="10.140625" style="2" bestFit="1" customWidth="1"/>
    <col min="5363" max="5363" width="11.28515625" style="2" bestFit="1" customWidth="1"/>
    <col min="5364" max="5364" width="8.85546875" style="2" bestFit="1" customWidth="1"/>
    <col min="5365" max="5365" width="12.85546875" style="2" bestFit="1" customWidth="1"/>
    <col min="5366" max="5366" width="10.85546875" style="2" bestFit="1" customWidth="1"/>
    <col min="5367" max="5367" width="9.28515625" style="2" customWidth="1"/>
    <col min="5368" max="5368" width="11.5703125" style="2" customWidth="1"/>
    <col min="5369" max="5369" width="9.85546875" style="2" bestFit="1" customWidth="1"/>
    <col min="5370" max="5370" width="15.140625" style="2" customWidth="1"/>
    <col min="5371" max="5378" width="0" style="2" hidden="1" customWidth="1"/>
    <col min="5379" max="5573" width="18.5703125" style="2"/>
    <col min="5574" max="5574" width="21.140625" style="2" bestFit="1" customWidth="1"/>
    <col min="5575" max="5575" width="8.42578125" style="2" customWidth="1"/>
    <col min="5576" max="5576" width="8.42578125" style="2" bestFit="1" customWidth="1"/>
    <col min="5577" max="5578" width="9.28515625" style="2" bestFit="1" customWidth="1"/>
    <col min="5579" max="5579" width="9.5703125" style="2" bestFit="1" customWidth="1"/>
    <col min="5580" max="5580" width="9" style="2" bestFit="1" customWidth="1"/>
    <col min="5581" max="5581" width="7.85546875" style="2" customWidth="1"/>
    <col min="5582" max="5582" width="9.140625" style="2" customWidth="1"/>
    <col min="5583" max="5583" width="10.5703125" style="2" customWidth="1"/>
    <col min="5584" max="5584" width="9.85546875" style="2" customWidth="1"/>
    <col min="5585" max="5585" width="9" style="2" customWidth="1"/>
    <col min="5586" max="5586" width="9.140625" style="2" customWidth="1"/>
    <col min="5587" max="5587" width="10.7109375" style="2" customWidth="1"/>
    <col min="5588" max="5588" width="8.5703125" style="2" customWidth="1"/>
    <col min="5589" max="5589" width="4.42578125" style="2" customWidth="1"/>
    <col min="5590" max="5590" width="7.42578125" style="2" customWidth="1"/>
    <col min="5591" max="5591" width="7.7109375" style="2" customWidth="1"/>
    <col min="5592" max="5592" width="9.85546875" style="2" customWidth="1"/>
    <col min="5593" max="5593" width="7.42578125" style="2" customWidth="1"/>
    <col min="5594" max="5594" width="9.5703125" style="2" customWidth="1"/>
    <col min="5595" max="5595" width="11.28515625" style="2" customWidth="1"/>
    <col min="5596" max="5596" width="4.42578125" style="2" customWidth="1"/>
    <col min="5597" max="5597" width="10" style="2" customWidth="1"/>
    <col min="5598" max="5598" width="7.85546875" style="2" customWidth="1"/>
    <col min="5599" max="5599" width="10" style="2" customWidth="1"/>
    <col min="5600" max="5600" width="10.140625" style="2" customWidth="1"/>
    <col min="5601" max="5601" width="8.28515625" style="2" customWidth="1"/>
    <col min="5602" max="5602" width="7.7109375" style="2" customWidth="1"/>
    <col min="5603" max="5603" width="8.42578125" style="2" customWidth="1"/>
    <col min="5604" max="5604" width="10" style="2" customWidth="1"/>
    <col min="5605" max="5605" width="8.28515625" style="2" customWidth="1"/>
    <col min="5606" max="5606" width="9.42578125" style="2" customWidth="1"/>
    <col min="5607" max="5607" width="10.7109375" style="2" customWidth="1"/>
    <col min="5608" max="5608" width="9" style="2" customWidth="1"/>
    <col min="5609" max="5609" width="7.7109375" style="2" customWidth="1"/>
    <col min="5610" max="5610" width="9" style="2" customWidth="1"/>
    <col min="5611" max="5611" width="6.85546875" style="2" customWidth="1"/>
    <col min="5612" max="5612" width="9.7109375" style="2" customWidth="1"/>
    <col min="5613" max="5613" width="7.28515625" style="2" customWidth="1"/>
    <col min="5614" max="5614" width="11.42578125" style="2" customWidth="1"/>
    <col min="5615" max="5615" width="2.85546875" style="2" customWidth="1"/>
    <col min="5616" max="5616" width="6.28515625" style="2" customWidth="1"/>
    <col min="5617" max="5617" width="6.42578125" style="2" customWidth="1"/>
    <col min="5618" max="5618" width="10.140625" style="2" bestFit="1" customWidth="1"/>
    <col min="5619" max="5619" width="11.28515625" style="2" bestFit="1" customWidth="1"/>
    <col min="5620" max="5620" width="8.85546875" style="2" bestFit="1" customWidth="1"/>
    <col min="5621" max="5621" width="12.85546875" style="2" bestFit="1" customWidth="1"/>
    <col min="5622" max="5622" width="10.85546875" style="2" bestFit="1" customWidth="1"/>
    <col min="5623" max="5623" width="9.28515625" style="2" customWidth="1"/>
    <col min="5624" max="5624" width="11.5703125" style="2" customWidth="1"/>
    <col min="5625" max="5625" width="9.85546875" style="2" bestFit="1" customWidth="1"/>
    <col min="5626" max="5626" width="15.140625" style="2" customWidth="1"/>
    <col min="5627" max="5634" width="0" style="2" hidden="1" customWidth="1"/>
    <col min="5635" max="5829" width="18.5703125" style="2"/>
    <col min="5830" max="5830" width="21.140625" style="2" bestFit="1" customWidth="1"/>
    <col min="5831" max="5831" width="8.42578125" style="2" customWidth="1"/>
    <col min="5832" max="5832" width="8.42578125" style="2" bestFit="1" customWidth="1"/>
    <col min="5833" max="5834" width="9.28515625" style="2" bestFit="1" customWidth="1"/>
    <col min="5835" max="5835" width="9.5703125" style="2" bestFit="1" customWidth="1"/>
    <col min="5836" max="5836" width="9" style="2" bestFit="1" customWidth="1"/>
    <col min="5837" max="5837" width="7.85546875" style="2" customWidth="1"/>
    <col min="5838" max="5838" width="9.140625" style="2" customWidth="1"/>
    <col min="5839" max="5839" width="10.5703125" style="2" customWidth="1"/>
    <col min="5840" max="5840" width="9.85546875" style="2" customWidth="1"/>
    <col min="5841" max="5841" width="9" style="2" customWidth="1"/>
    <col min="5842" max="5842" width="9.140625" style="2" customWidth="1"/>
    <col min="5843" max="5843" width="10.7109375" style="2" customWidth="1"/>
    <col min="5844" max="5844" width="8.5703125" style="2" customWidth="1"/>
    <col min="5845" max="5845" width="4.42578125" style="2" customWidth="1"/>
    <col min="5846" max="5846" width="7.42578125" style="2" customWidth="1"/>
    <col min="5847" max="5847" width="7.7109375" style="2" customWidth="1"/>
    <col min="5848" max="5848" width="9.85546875" style="2" customWidth="1"/>
    <col min="5849" max="5849" width="7.42578125" style="2" customWidth="1"/>
    <col min="5850" max="5850" width="9.5703125" style="2" customWidth="1"/>
    <col min="5851" max="5851" width="11.28515625" style="2" customWidth="1"/>
    <col min="5852" max="5852" width="4.42578125" style="2" customWidth="1"/>
    <col min="5853" max="5853" width="10" style="2" customWidth="1"/>
    <col min="5854" max="5854" width="7.85546875" style="2" customWidth="1"/>
    <col min="5855" max="5855" width="10" style="2" customWidth="1"/>
    <col min="5856" max="5856" width="10.140625" style="2" customWidth="1"/>
    <col min="5857" max="5857" width="8.28515625" style="2" customWidth="1"/>
    <col min="5858" max="5858" width="7.7109375" style="2" customWidth="1"/>
    <col min="5859" max="5859" width="8.42578125" style="2" customWidth="1"/>
    <col min="5860" max="5860" width="10" style="2" customWidth="1"/>
    <col min="5861" max="5861" width="8.28515625" style="2" customWidth="1"/>
    <col min="5862" max="5862" width="9.42578125" style="2" customWidth="1"/>
    <col min="5863" max="5863" width="10.7109375" style="2" customWidth="1"/>
    <col min="5864" max="5864" width="9" style="2" customWidth="1"/>
    <col min="5865" max="5865" width="7.7109375" style="2" customWidth="1"/>
    <col min="5866" max="5866" width="9" style="2" customWidth="1"/>
    <col min="5867" max="5867" width="6.85546875" style="2" customWidth="1"/>
    <col min="5868" max="5868" width="9.7109375" style="2" customWidth="1"/>
    <col min="5869" max="5869" width="7.28515625" style="2" customWidth="1"/>
    <col min="5870" max="5870" width="11.42578125" style="2" customWidth="1"/>
    <col min="5871" max="5871" width="2.85546875" style="2" customWidth="1"/>
    <col min="5872" max="5872" width="6.28515625" style="2" customWidth="1"/>
    <col min="5873" max="5873" width="6.42578125" style="2" customWidth="1"/>
    <col min="5874" max="5874" width="10.140625" style="2" bestFit="1" customWidth="1"/>
    <col min="5875" max="5875" width="11.28515625" style="2" bestFit="1" customWidth="1"/>
    <col min="5876" max="5876" width="8.85546875" style="2" bestFit="1" customWidth="1"/>
    <col min="5877" max="5877" width="12.85546875" style="2" bestFit="1" customWidth="1"/>
    <col min="5878" max="5878" width="10.85546875" style="2" bestFit="1" customWidth="1"/>
    <col min="5879" max="5879" width="9.28515625" style="2" customWidth="1"/>
    <col min="5880" max="5880" width="11.5703125" style="2" customWidth="1"/>
    <col min="5881" max="5881" width="9.85546875" style="2" bestFit="1" customWidth="1"/>
    <col min="5882" max="5882" width="15.140625" style="2" customWidth="1"/>
    <col min="5883" max="5890" width="0" style="2" hidden="1" customWidth="1"/>
    <col min="5891" max="6085" width="18.5703125" style="2"/>
    <col min="6086" max="6086" width="21.140625" style="2" bestFit="1" customWidth="1"/>
    <col min="6087" max="6087" width="8.42578125" style="2" customWidth="1"/>
    <col min="6088" max="6088" width="8.42578125" style="2" bestFit="1" customWidth="1"/>
    <col min="6089" max="6090" width="9.28515625" style="2" bestFit="1" customWidth="1"/>
    <col min="6091" max="6091" width="9.5703125" style="2" bestFit="1" customWidth="1"/>
    <col min="6092" max="6092" width="9" style="2" bestFit="1" customWidth="1"/>
    <col min="6093" max="6093" width="7.85546875" style="2" customWidth="1"/>
    <col min="6094" max="6094" width="9.140625" style="2" customWidth="1"/>
    <col min="6095" max="6095" width="10.5703125" style="2" customWidth="1"/>
    <col min="6096" max="6096" width="9.85546875" style="2" customWidth="1"/>
    <col min="6097" max="6097" width="9" style="2" customWidth="1"/>
    <col min="6098" max="6098" width="9.140625" style="2" customWidth="1"/>
    <col min="6099" max="6099" width="10.7109375" style="2" customWidth="1"/>
    <col min="6100" max="6100" width="8.5703125" style="2" customWidth="1"/>
    <col min="6101" max="6101" width="4.42578125" style="2" customWidth="1"/>
    <col min="6102" max="6102" width="7.42578125" style="2" customWidth="1"/>
    <col min="6103" max="6103" width="7.7109375" style="2" customWidth="1"/>
    <col min="6104" max="6104" width="9.85546875" style="2" customWidth="1"/>
    <col min="6105" max="6105" width="7.42578125" style="2" customWidth="1"/>
    <col min="6106" max="6106" width="9.5703125" style="2" customWidth="1"/>
    <col min="6107" max="6107" width="11.28515625" style="2" customWidth="1"/>
    <col min="6108" max="6108" width="4.42578125" style="2" customWidth="1"/>
    <col min="6109" max="6109" width="10" style="2" customWidth="1"/>
    <col min="6110" max="6110" width="7.85546875" style="2" customWidth="1"/>
    <col min="6111" max="6111" width="10" style="2" customWidth="1"/>
    <col min="6112" max="6112" width="10.140625" style="2" customWidth="1"/>
    <col min="6113" max="6113" width="8.28515625" style="2" customWidth="1"/>
    <col min="6114" max="6114" width="7.7109375" style="2" customWidth="1"/>
    <col min="6115" max="6115" width="8.42578125" style="2" customWidth="1"/>
    <col min="6116" max="6116" width="10" style="2" customWidth="1"/>
    <col min="6117" max="6117" width="8.28515625" style="2" customWidth="1"/>
    <col min="6118" max="6118" width="9.42578125" style="2" customWidth="1"/>
    <col min="6119" max="6119" width="10.7109375" style="2" customWidth="1"/>
    <col min="6120" max="6120" width="9" style="2" customWidth="1"/>
    <col min="6121" max="6121" width="7.7109375" style="2" customWidth="1"/>
    <col min="6122" max="6122" width="9" style="2" customWidth="1"/>
    <col min="6123" max="6123" width="6.85546875" style="2" customWidth="1"/>
    <col min="6124" max="6124" width="9.7109375" style="2" customWidth="1"/>
    <col min="6125" max="6125" width="7.28515625" style="2" customWidth="1"/>
    <col min="6126" max="6126" width="11.42578125" style="2" customWidth="1"/>
    <col min="6127" max="6127" width="2.85546875" style="2" customWidth="1"/>
    <col min="6128" max="6128" width="6.28515625" style="2" customWidth="1"/>
    <col min="6129" max="6129" width="6.42578125" style="2" customWidth="1"/>
    <col min="6130" max="6130" width="10.140625" style="2" bestFit="1" customWidth="1"/>
    <col min="6131" max="6131" width="11.28515625" style="2" bestFit="1" customWidth="1"/>
    <col min="6132" max="6132" width="8.85546875" style="2" bestFit="1" customWidth="1"/>
    <col min="6133" max="6133" width="12.85546875" style="2" bestFit="1" customWidth="1"/>
    <col min="6134" max="6134" width="10.85546875" style="2" bestFit="1" customWidth="1"/>
    <col min="6135" max="6135" width="9.28515625" style="2" customWidth="1"/>
    <col min="6136" max="6136" width="11.5703125" style="2" customWidth="1"/>
    <col min="6137" max="6137" width="9.85546875" style="2" bestFit="1" customWidth="1"/>
    <col min="6138" max="6138" width="15.140625" style="2" customWidth="1"/>
    <col min="6139" max="6146" width="0" style="2" hidden="1" customWidth="1"/>
    <col min="6147" max="6341" width="18.5703125" style="2"/>
    <col min="6342" max="6342" width="21.140625" style="2" bestFit="1" customWidth="1"/>
    <col min="6343" max="6343" width="8.42578125" style="2" customWidth="1"/>
    <col min="6344" max="6344" width="8.42578125" style="2" bestFit="1" customWidth="1"/>
    <col min="6345" max="6346" width="9.28515625" style="2" bestFit="1" customWidth="1"/>
    <col min="6347" max="6347" width="9.5703125" style="2" bestFit="1" customWidth="1"/>
    <col min="6348" max="6348" width="9" style="2" bestFit="1" customWidth="1"/>
    <col min="6349" max="6349" width="7.85546875" style="2" customWidth="1"/>
    <col min="6350" max="6350" width="9.140625" style="2" customWidth="1"/>
    <col min="6351" max="6351" width="10.5703125" style="2" customWidth="1"/>
    <col min="6352" max="6352" width="9.85546875" style="2" customWidth="1"/>
    <col min="6353" max="6353" width="9" style="2" customWidth="1"/>
    <col min="6354" max="6354" width="9.140625" style="2" customWidth="1"/>
    <col min="6355" max="6355" width="10.7109375" style="2" customWidth="1"/>
    <col min="6356" max="6356" width="8.5703125" style="2" customWidth="1"/>
    <col min="6357" max="6357" width="4.42578125" style="2" customWidth="1"/>
    <col min="6358" max="6358" width="7.42578125" style="2" customWidth="1"/>
    <col min="6359" max="6359" width="7.7109375" style="2" customWidth="1"/>
    <col min="6360" max="6360" width="9.85546875" style="2" customWidth="1"/>
    <col min="6361" max="6361" width="7.42578125" style="2" customWidth="1"/>
    <col min="6362" max="6362" width="9.5703125" style="2" customWidth="1"/>
    <col min="6363" max="6363" width="11.28515625" style="2" customWidth="1"/>
    <col min="6364" max="6364" width="4.42578125" style="2" customWidth="1"/>
    <col min="6365" max="6365" width="10" style="2" customWidth="1"/>
    <col min="6366" max="6366" width="7.85546875" style="2" customWidth="1"/>
    <col min="6367" max="6367" width="10" style="2" customWidth="1"/>
    <col min="6368" max="6368" width="10.140625" style="2" customWidth="1"/>
    <col min="6369" max="6369" width="8.28515625" style="2" customWidth="1"/>
    <col min="6370" max="6370" width="7.7109375" style="2" customWidth="1"/>
    <col min="6371" max="6371" width="8.42578125" style="2" customWidth="1"/>
    <col min="6372" max="6372" width="10" style="2" customWidth="1"/>
    <col min="6373" max="6373" width="8.28515625" style="2" customWidth="1"/>
    <col min="6374" max="6374" width="9.42578125" style="2" customWidth="1"/>
    <col min="6375" max="6375" width="10.7109375" style="2" customWidth="1"/>
    <col min="6376" max="6376" width="9" style="2" customWidth="1"/>
    <col min="6377" max="6377" width="7.7109375" style="2" customWidth="1"/>
    <col min="6378" max="6378" width="9" style="2" customWidth="1"/>
    <col min="6379" max="6379" width="6.85546875" style="2" customWidth="1"/>
    <col min="6380" max="6380" width="9.7109375" style="2" customWidth="1"/>
    <col min="6381" max="6381" width="7.28515625" style="2" customWidth="1"/>
    <col min="6382" max="6382" width="11.42578125" style="2" customWidth="1"/>
    <col min="6383" max="6383" width="2.85546875" style="2" customWidth="1"/>
    <col min="6384" max="6384" width="6.28515625" style="2" customWidth="1"/>
    <col min="6385" max="6385" width="6.42578125" style="2" customWidth="1"/>
    <col min="6386" max="6386" width="10.140625" style="2" bestFit="1" customWidth="1"/>
    <col min="6387" max="6387" width="11.28515625" style="2" bestFit="1" customWidth="1"/>
    <col min="6388" max="6388" width="8.85546875" style="2" bestFit="1" customWidth="1"/>
    <col min="6389" max="6389" width="12.85546875" style="2" bestFit="1" customWidth="1"/>
    <col min="6390" max="6390" width="10.85546875" style="2" bestFit="1" customWidth="1"/>
    <col min="6391" max="6391" width="9.28515625" style="2" customWidth="1"/>
    <col min="6392" max="6392" width="11.5703125" style="2" customWidth="1"/>
    <col min="6393" max="6393" width="9.85546875" style="2" bestFit="1" customWidth="1"/>
    <col min="6394" max="6394" width="15.140625" style="2" customWidth="1"/>
    <col min="6395" max="6402" width="0" style="2" hidden="1" customWidth="1"/>
    <col min="6403" max="6597" width="18.5703125" style="2"/>
    <col min="6598" max="6598" width="21.140625" style="2" bestFit="1" customWidth="1"/>
    <col min="6599" max="6599" width="8.42578125" style="2" customWidth="1"/>
    <col min="6600" max="6600" width="8.42578125" style="2" bestFit="1" customWidth="1"/>
    <col min="6601" max="6602" width="9.28515625" style="2" bestFit="1" customWidth="1"/>
    <col min="6603" max="6603" width="9.5703125" style="2" bestFit="1" customWidth="1"/>
    <col min="6604" max="6604" width="9" style="2" bestFit="1" customWidth="1"/>
    <col min="6605" max="6605" width="7.85546875" style="2" customWidth="1"/>
    <col min="6606" max="6606" width="9.140625" style="2" customWidth="1"/>
    <col min="6607" max="6607" width="10.5703125" style="2" customWidth="1"/>
    <col min="6608" max="6608" width="9.85546875" style="2" customWidth="1"/>
    <col min="6609" max="6609" width="9" style="2" customWidth="1"/>
    <col min="6610" max="6610" width="9.140625" style="2" customWidth="1"/>
    <col min="6611" max="6611" width="10.7109375" style="2" customWidth="1"/>
    <col min="6612" max="6612" width="8.5703125" style="2" customWidth="1"/>
    <col min="6613" max="6613" width="4.42578125" style="2" customWidth="1"/>
    <col min="6614" max="6614" width="7.42578125" style="2" customWidth="1"/>
    <col min="6615" max="6615" width="7.7109375" style="2" customWidth="1"/>
    <col min="6616" max="6616" width="9.85546875" style="2" customWidth="1"/>
    <col min="6617" max="6617" width="7.42578125" style="2" customWidth="1"/>
    <col min="6618" max="6618" width="9.5703125" style="2" customWidth="1"/>
    <col min="6619" max="6619" width="11.28515625" style="2" customWidth="1"/>
    <col min="6620" max="6620" width="4.42578125" style="2" customWidth="1"/>
    <col min="6621" max="6621" width="10" style="2" customWidth="1"/>
    <col min="6622" max="6622" width="7.85546875" style="2" customWidth="1"/>
    <col min="6623" max="6623" width="10" style="2" customWidth="1"/>
    <col min="6624" max="6624" width="10.140625" style="2" customWidth="1"/>
    <col min="6625" max="6625" width="8.28515625" style="2" customWidth="1"/>
    <col min="6626" max="6626" width="7.7109375" style="2" customWidth="1"/>
    <col min="6627" max="6627" width="8.42578125" style="2" customWidth="1"/>
    <col min="6628" max="6628" width="10" style="2" customWidth="1"/>
    <col min="6629" max="6629" width="8.28515625" style="2" customWidth="1"/>
    <col min="6630" max="6630" width="9.42578125" style="2" customWidth="1"/>
    <col min="6631" max="6631" width="10.7109375" style="2" customWidth="1"/>
    <col min="6632" max="6632" width="9" style="2" customWidth="1"/>
    <col min="6633" max="6633" width="7.7109375" style="2" customWidth="1"/>
    <col min="6634" max="6634" width="9" style="2" customWidth="1"/>
    <col min="6635" max="6635" width="6.85546875" style="2" customWidth="1"/>
    <col min="6636" max="6636" width="9.7109375" style="2" customWidth="1"/>
    <col min="6637" max="6637" width="7.28515625" style="2" customWidth="1"/>
    <col min="6638" max="6638" width="11.42578125" style="2" customWidth="1"/>
    <col min="6639" max="6639" width="2.85546875" style="2" customWidth="1"/>
    <col min="6640" max="6640" width="6.28515625" style="2" customWidth="1"/>
    <col min="6641" max="6641" width="6.42578125" style="2" customWidth="1"/>
    <col min="6642" max="6642" width="10.140625" style="2" bestFit="1" customWidth="1"/>
    <col min="6643" max="6643" width="11.28515625" style="2" bestFit="1" customWidth="1"/>
    <col min="6644" max="6644" width="8.85546875" style="2" bestFit="1" customWidth="1"/>
    <col min="6645" max="6645" width="12.85546875" style="2" bestFit="1" customWidth="1"/>
    <col min="6646" max="6646" width="10.85546875" style="2" bestFit="1" customWidth="1"/>
    <col min="6647" max="6647" width="9.28515625" style="2" customWidth="1"/>
    <col min="6648" max="6648" width="11.5703125" style="2" customWidth="1"/>
    <col min="6649" max="6649" width="9.85546875" style="2" bestFit="1" customWidth="1"/>
    <col min="6650" max="6650" width="15.140625" style="2" customWidth="1"/>
    <col min="6651" max="6658" width="0" style="2" hidden="1" customWidth="1"/>
    <col min="6659" max="6853" width="18.5703125" style="2"/>
    <col min="6854" max="6854" width="21.140625" style="2" bestFit="1" customWidth="1"/>
    <col min="6855" max="6855" width="8.42578125" style="2" customWidth="1"/>
    <col min="6856" max="6856" width="8.42578125" style="2" bestFit="1" customWidth="1"/>
    <col min="6857" max="6858" width="9.28515625" style="2" bestFit="1" customWidth="1"/>
    <col min="6859" max="6859" width="9.5703125" style="2" bestFit="1" customWidth="1"/>
    <col min="6860" max="6860" width="9" style="2" bestFit="1" customWidth="1"/>
    <col min="6861" max="6861" width="7.85546875" style="2" customWidth="1"/>
    <col min="6862" max="6862" width="9.140625" style="2" customWidth="1"/>
    <col min="6863" max="6863" width="10.5703125" style="2" customWidth="1"/>
    <col min="6864" max="6864" width="9.85546875" style="2" customWidth="1"/>
    <col min="6865" max="6865" width="9" style="2" customWidth="1"/>
    <col min="6866" max="6866" width="9.140625" style="2" customWidth="1"/>
    <col min="6867" max="6867" width="10.7109375" style="2" customWidth="1"/>
    <col min="6868" max="6868" width="8.5703125" style="2" customWidth="1"/>
    <col min="6869" max="6869" width="4.42578125" style="2" customWidth="1"/>
    <col min="6870" max="6870" width="7.42578125" style="2" customWidth="1"/>
    <col min="6871" max="6871" width="7.7109375" style="2" customWidth="1"/>
    <col min="6872" max="6872" width="9.85546875" style="2" customWidth="1"/>
    <col min="6873" max="6873" width="7.42578125" style="2" customWidth="1"/>
    <col min="6874" max="6874" width="9.5703125" style="2" customWidth="1"/>
    <col min="6875" max="6875" width="11.28515625" style="2" customWidth="1"/>
    <col min="6876" max="6876" width="4.42578125" style="2" customWidth="1"/>
    <col min="6877" max="6877" width="10" style="2" customWidth="1"/>
    <col min="6878" max="6878" width="7.85546875" style="2" customWidth="1"/>
    <col min="6879" max="6879" width="10" style="2" customWidth="1"/>
    <col min="6880" max="6880" width="10.140625" style="2" customWidth="1"/>
    <col min="6881" max="6881" width="8.28515625" style="2" customWidth="1"/>
    <col min="6882" max="6882" width="7.7109375" style="2" customWidth="1"/>
    <col min="6883" max="6883" width="8.42578125" style="2" customWidth="1"/>
    <col min="6884" max="6884" width="10" style="2" customWidth="1"/>
    <col min="6885" max="6885" width="8.28515625" style="2" customWidth="1"/>
    <col min="6886" max="6886" width="9.42578125" style="2" customWidth="1"/>
    <col min="6887" max="6887" width="10.7109375" style="2" customWidth="1"/>
    <col min="6888" max="6888" width="9" style="2" customWidth="1"/>
    <col min="6889" max="6889" width="7.7109375" style="2" customWidth="1"/>
    <col min="6890" max="6890" width="9" style="2" customWidth="1"/>
    <col min="6891" max="6891" width="6.85546875" style="2" customWidth="1"/>
    <col min="6892" max="6892" width="9.7109375" style="2" customWidth="1"/>
    <col min="6893" max="6893" width="7.28515625" style="2" customWidth="1"/>
    <col min="6894" max="6894" width="11.42578125" style="2" customWidth="1"/>
    <col min="6895" max="6895" width="2.85546875" style="2" customWidth="1"/>
    <col min="6896" max="6896" width="6.28515625" style="2" customWidth="1"/>
    <col min="6897" max="6897" width="6.42578125" style="2" customWidth="1"/>
    <col min="6898" max="6898" width="10.140625" style="2" bestFit="1" customWidth="1"/>
    <col min="6899" max="6899" width="11.28515625" style="2" bestFit="1" customWidth="1"/>
    <col min="6900" max="6900" width="8.85546875" style="2" bestFit="1" customWidth="1"/>
    <col min="6901" max="6901" width="12.85546875" style="2" bestFit="1" customWidth="1"/>
    <col min="6902" max="6902" width="10.85546875" style="2" bestFit="1" customWidth="1"/>
    <col min="6903" max="6903" width="9.28515625" style="2" customWidth="1"/>
    <col min="6904" max="6904" width="11.5703125" style="2" customWidth="1"/>
    <col min="6905" max="6905" width="9.85546875" style="2" bestFit="1" customWidth="1"/>
    <col min="6906" max="6906" width="15.140625" style="2" customWidth="1"/>
    <col min="6907" max="6914" width="0" style="2" hidden="1" customWidth="1"/>
    <col min="6915" max="7109" width="18.5703125" style="2"/>
    <col min="7110" max="7110" width="21.140625" style="2" bestFit="1" customWidth="1"/>
    <col min="7111" max="7111" width="8.42578125" style="2" customWidth="1"/>
    <col min="7112" max="7112" width="8.42578125" style="2" bestFit="1" customWidth="1"/>
    <col min="7113" max="7114" width="9.28515625" style="2" bestFit="1" customWidth="1"/>
    <col min="7115" max="7115" width="9.5703125" style="2" bestFit="1" customWidth="1"/>
    <col min="7116" max="7116" width="9" style="2" bestFit="1" customWidth="1"/>
    <col min="7117" max="7117" width="7.85546875" style="2" customWidth="1"/>
    <col min="7118" max="7118" width="9.140625" style="2" customWidth="1"/>
    <col min="7119" max="7119" width="10.5703125" style="2" customWidth="1"/>
    <col min="7120" max="7120" width="9.85546875" style="2" customWidth="1"/>
    <col min="7121" max="7121" width="9" style="2" customWidth="1"/>
    <col min="7122" max="7122" width="9.140625" style="2" customWidth="1"/>
    <col min="7123" max="7123" width="10.7109375" style="2" customWidth="1"/>
    <col min="7124" max="7124" width="8.5703125" style="2" customWidth="1"/>
    <col min="7125" max="7125" width="4.42578125" style="2" customWidth="1"/>
    <col min="7126" max="7126" width="7.42578125" style="2" customWidth="1"/>
    <col min="7127" max="7127" width="7.7109375" style="2" customWidth="1"/>
    <col min="7128" max="7128" width="9.85546875" style="2" customWidth="1"/>
    <col min="7129" max="7129" width="7.42578125" style="2" customWidth="1"/>
    <col min="7130" max="7130" width="9.5703125" style="2" customWidth="1"/>
    <col min="7131" max="7131" width="11.28515625" style="2" customWidth="1"/>
    <col min="7132" max="7132" width="4.42578125" style="2" customWidth="1"/>
    <col min="7133" max="7133" width="10" style="2" customWidth="1"/>
    <col min="7134" max="7134" width="7.85546875" style="2" customWidth="1"/>
    <col min="7135" max="7135" width="10" style="2" customWidth="1"/>
    <col min="7136" max="7136" width="10.140625" style="2" customWidth="1"/>
    <col min="7137" max="7137" width="8.28515625" style="2" customWidth="1"/>
    <col min="7138" max="7138" width="7.7109375" style="2" customWidth="1"/>
    <col min="7139" max="7139" width="8.42578125" style="2" customWidth="1"/>
    <col min="7140" max="7140" width="10" style="2" customWidth="1"/>
    <col min="7141" max="7141" width="8.28515625" style="2" customWidth="1"/>
    <col min="7142" max="7142" width="9.42578125" style="2" customWidth="1"/>
    <col min="7143" max="7143" width="10.7109375" style="2" customWidth="1"/>
    <col min="7144" max="7144" width="9" style="2" customWidth="1"/>
    <col min="7145" max="7145" width="7.7109375" style="2" customWidth="1"/>
    <col min="7146" max="7146" width="9" style="2" customWidth="1"/>
    <col min="7147" max="7147" width="6.85546875" style="2" customWidth="1"/>
    <col min="7148" max="7148" width="9.7109375" style="2" customWidth="1"/>
    <col min="7149" max="7149" width="7.28515625" style="2" customWidth="1"/>
    <col min="7150" max="7150" width="11.42578125" style="2" customWidth="1"/>
    <col min="7151" max="7151" width="2.85546875" style="2" customWidth="1"/>
    <col min="7152" max="7152" width="6.28515625" style="2" customWidth="1"/>
    <col min="7153" max="7153" width="6.42578125" style="2" customWidth="1"/>
    <col min="7154" max="7154" width="10.140625" style="2" bestFit="1" customWidth="1"/>
    <col min="7155" max="7155" width="11.28515625" style="2" bestFit="1" customWidth="1"/>
    <col min="7156" max="7156" width="8.85546875" style="2" bestFit="1" customWidth="1"/>
    <col min="7157" max="7157" width="12.85546875" style="2" bestFit="1" customWidth="1"/>
    <col min="7158" max="7158" width="10.85546875" style="2" bestFit="1" customWidth="1"/>
    <col min="7159" max="7159" width="9.28515625" style="2" customWidth="1"/>
    <col min="7160" max="7160" width="11.5703125" style="2" customWidth="1"/>
    <col min="7161" max="7161" width="9.85546875" style="2" bestFit="1" customWidth="1"/>
    <col min="7162" max="7162" width="15.140625" style="2" customWidth="1"/>
    <col min="7163" max="7170" width="0" style="2" hidden="1" customWidth="1"/>
    <col min="7171" max="7365" width="18.5703125" style="2"/>
    <col min="7366" max="7366" width="21.140625" style="2" bestFit="1" customWidth="1"/>
    <col min="7367" max="7367" width="8.42578125" style="2" customWidth="1"/>
    <col min="7368" max="7368" width="8.42578125" style="2" bestFit="1" customWidth="1"/>
    <col min="7369" max="7370" width="9.28515625" style="2" bestFit="1" customWidth="1"/>
    <col min="7371" max="7371" width="9.5703125" style="2" bestFit="1" customWidth="1"/>
    <col min="7372" max="7372" width="9" style="2" bestFit="1" customWidth="1"/>
    <col min="7373" max="7373" width="7.85546875" style="2" customWidth="1"/>
    <col min="7374" max="7374" width="9.140625" style="2" customWidth="1"/>
    <col min="7375" max="7375" width="10.5703125" style="2" customWidth="1"/>
    <col min="7376" max="7376" width="9.85546875" style="2" customWidth="1"/>
    <col min="7377" max="7377" width="9" style="2" customWidth="1"/>
    <col min="7378" max="7378" width="9.140625" style="2" customWidth="1"/>
    <col min="7379" max="7379" width="10.7109375" style="2" customWidth="1"/>
    <col min="7380" max="7380" width="8.5703125" style="2" customWidth="1"/>
    <col min="7381" max="7381" width="4.42578125" style="2" customWidth="1"/>
    <col min="7382" max="7382" width="7.42578125" style="2" customWidth="1"/>
    <col min="7383" max="7383" width="7.7109375" style="2" customWidth="1"/>
    <col min="7384" max="7384" width="9.85546875" style="2" customWidth="1"/>
    <col min="7385" max="7385" width="7.42578125" style="2" customWidth="1"/>
    <col min="7386" max="7386" width="9.5703125" style="2" customWidth="1"/>
    <col min="7387" max="7387" width="11.28515625" style="2" customWidth="1"/>
    <col min="7388" max="7388" width="4.42578125" style="2" customWidth="1"/>
    <col min="7389" max="7389" width="10" style="2" customWidth="1"/>
    <col min="7390" max="7390" width="7.85546875" style="2" customWidth="1"/>
    <col min="7391" max="7391" width="10" style="2" customWidth="1"/>
    <col min="7392" max="7392" width="10.140625" style="2" customWidth="1"/>
    <col min="7393" max="7393" width="8.28515625" style="2" customWidth="1"/>
    <col min="7394" max="7394" width="7.7109375" style="2" customWidth="1"/>
    <col min="7395" max="7395" width="8.42578125" style="2" customWidth="1"/>
    <col min="7396" max="7396" width="10" style="2" customWidth="1"/>
    <col min="7397" max="7397" width="8.28515625" style="2" customWidth="1"/>
    <col min="7398" max="7398" width="9.42578125" style="2" customWidth="1"/>
    <col min="7399" max="7399" width="10.7109375" style="2" customWidth="1"/>
    <col min="7400" max="7400" width="9" style="2" customWidth="1"/>
    <col min="7401" max="7401" width="7.7109375" style="2" customWidth="1"/>
    <col min="7402" max="7402" width="9" style="2" customWidth="1"/>
    <col min="7403" max="7403" width="6.85546875" style="2" customWidth="1"/>
    <col min="7404" max="7404" width="9.7109375" style="2" customWidth="1"/>
    <col min="7405" max="7405" width="7.28515625" style="2" customWidth="1"/>
    <col min="7406" max="7406" width="11.42578125" style="2" customWidth="1"/>
    <col min="7407" max="7407" width="2.85546875" style="2" customWidth="1"/>
    <col min="7408" max="7408" width="6.28515625" style="2" customWidth="1"/>
    <col min="7409" max="7409" width="6.42578125" style="2" customWidth="1"/>
    <col min="7410" max="7410" width="10.140625" style="2" bestFit="1" customWidth="1"/>
    <col min="7411" max="7411" width="11.28515625" style="2" bestFit="1" customWidth="1"/>
    <col min="7412" max="7412" width="8.85546875" style="2" bestFit="1" customWidth="1"/>
    <col min="7413" max="7413" width="12.85546875" style="2" bestFit="1" customWidth="1"/>
    <col min="7414" max="7414" width="10.85546875" style="2" bestFit="1" customWidth="1"/>
    <col min="7415" max="7415" width="9.28515625" style="2" customWidth="1"/>
    <col min="7416" max="7416" width="11.5703125" style="2" customWidth="1"/>
    <col min="7417" max="7417" width="9.85546875" style="2" bestFit="1" customWidth="1"/>
    <col min="7418" max="7418" width="15.140625" style="2" customWidth="1"/>
    <col min="7419" max="7426" width="0" style="2" hidden="1" customWidth="1"/>
    <col min="7427" max="7621" width="18.5703125" style="2"/>
    <col min="7622" max="7622" width="21.140625" style="2" bestFit="1" customWidth="1"/>
    <col min="7623" max="7623" width="8.42578125" style="2" customWidth="1"/>
    <col min="7624" max="7624" width="8.42578125" style="2" bestFit="1" customWidth="1"/>
    <col min="7625" max="7626" width="9.28515625" style="2" bestFit="1" customWidth="1"/>
    <col min="7627" max="7627" width="9.5703125" style="2" bestFit="1" customWidth="1"/>
    <col min="7628" max="7628" width="9" style="2" bestFit="1" customWidth="1"/>
    <col min="7629" max="7629" width="7.85546875" style="2" customWidth="1"/>
    <col min="7630" max="7630" width="9.140625" style="2" customWidth="1"/>
    <col min="7631" max="7631" width="10.5703125" style="2" customWidth="1"/>
    <col min="7632" max="7632" width="9.85546875" style="2" customWidth="1"/>
    <col min="7633" max="7633" width="9" style="2" customWidth="1"/>
    <col min="7634" max="7634" width="9.140625" style="2" customWidth="1"/>
    <col min="7635" max="7635" width="10.7109375" style="2" customWidth="1"/>
    <col min="7636" max="7636" width="8.5703125" style="2" customWidth="1"/>
    <col min="7637" max="7637" width="4.42578125" style="2" customWidth="1"/>
    <col min="7638" max="7638" width="7.42578125" style="2" customWidth="1"/>
    <col min="7639" max="7639" width="7.7109375" style="2" customWidth="1"/>
    <col min="7640" max="7640" width="9.85546875" style="2" customWidth="1"/>
    <col min="7641" max="7641" width="7.42578125" style="2" customWidth="1"/>
    <col min="7642" max="7642" width="9.5703125" style="2" customWidth="1"/>
    <col min="7643" max="7643" width="11.28515625" style="2" customWidth="1"/>
    <col min="7644" max="7644" width="4.42578125" style="2" customWidth="1"/>
    <col min="7645" max="7645" width="10" style="2" customWidth="1"/>
    <col min="7646" max="7646" width="7.85546875" style="2" customWidth="1"/>
    <col min="7647" max="7647" width="10" style="2" customWidth="1"/>
    <col min="7648" max="7648" width="10.140625" style="2" customWidth="1"/>
    <col min="7649" max="7649" width="8.28515625" style="2" customWidth="1"/>
    <col min="7650" max="7650" width="7.7109375" style="2" customWidth="1"/>
    <col min="7651" max="7651" width="8.42578125" style="2" customWidth="1"/>
    <col min="7652" max="7652" width="10" style="2" customWidth="1"/>
    <col min="7653" max="7653" width="8.28515625" style="2" customWidth="1"/>
    <col min="7654" max="7654" width="9.42578125" style="2" customWidth="1"/>
    <col min="7655" max="7655" width="10.7109375" style="2" customWidth="1"/>
    <col min="7656" max="7656" width="9" style="2" customWidth="1"/>
    <col min="7657" max="7657" width="7.7109375" style="2" customWidth="1"/>
    <col min="7658" max="7658" width="9" style="2" customWidth="1"/>
    <col min="7659" max="7659" width="6.85546875" style="2" customWidth="1"/>
    <col min="7660" max="7660" width="9.7109375" style="2" customWidth="1"/>
    <col min="7661" max="7661" width="7.28515625" style="2" customWidth="1"/>
    <col min="7662" max="7662" width="11.42578125" style="2" customWidth="1"/>
    <col min="7663" max="7663" width="2.85546875" style="2" customWidth="1"/>
    <col min="7664" max="7664" width="6.28515625" style="2" customWidth="1"/>
    <col min="7665" max="7665" width="6.42578125" style="2" customWidth="1"/>
    <col min="7666" max="7666" width="10.140625" style="2" bestFit="1" customWidth="1"/>
    <col min="7667" max="7667" width="11.28515625" style="2" bestFit="1" customWidth="1"/>
    <col min="7668" max="7668" width="8.85546875" style="2" bestFit="1" customWidth="1"/>
    <col min="7669" max="7669" width="12.85546875" style="2" bestFit="1" customWidth="1"/>
    <col min="7670" max="7670" width="10.85546875" style="2" bestFit="1" customWidth="1"/>
    <col min="7671" max="7671" width="9.28515625" style="2" customWidth="1"/>
    <col min="7672" max="7672" width="11.5703125" style="2" customWidth="1"/>
    <col min="7673" max="7673" width="9.85546875" style="2" bestFit="1" customWidth="1"/>
    <col min="7674" max="7674" width="15.140625" style="2" customWidth="1"/>
    <col min="7675" max="7682" width="0" style="2" hidden="1" customWidth="1"/>
    <col min="7683" max="7877" width="18.5703125" style="2"/>
    <col min="7878" max="7878" width="21.140625" style="2" bestFit="1" customWidth="1"/>
    <col min="7879" max="7879" width="8.42578125" style="2" customWidth="1"/>
    <col min="7880" max="7880" width="8.42578125" style="2" bestFit="1" customWidth="1"/>
    <col min="7881" max="7882" width="9.28515625" style="2" bestFit="1" customWidth="1"/>
    <col min="7883" max="7883" width="9.5703125" style="2" bestFit="1" customWidth="1"/>
    <col min="7884" max="7884" width="9" style="2" bestFit="1" customWidth="1"/>
    <col min="7885" max="7885" width="7.85546875" style="2" customWidth="1"/>
    <col min="7886" max="7886" width="9.140625" style="2" customWidth="1"/>
    <col min="7887" max="7887" width="10.5703125" style="2" customWidth="1"/>
    <col min="7888" max="7888" width="9.85546875" style="2" customWidth="1"/>
    <col min="7889" max="7889" width="9" style="2" customWidth="1"/>
    <col min="7890" max="7890" width="9.140625" style="2" customWidth="1"/>
    <col min="7891" max="7891" width="10.7109375" style="2" customWidth="1"/>
    <col min="7892" max="7892" width="8.5703125" style="2" customWidth="1"/>
    <col min="7893" max="7893" width="4.42578125" style="2" customWidth="1"/>
    <col min="7894" max="7894" width="7.42578125" style="2" customWidth="1"/>
    <col min="7895" max="7895" width="7.7109375" style="2" customWidth="1"/>
    <col min="7896" max="7896" width="9.85546875" style="2" customWidth="1"/>
    <col min="7897" max="7897" width="7.42578125" style="2" customWidth="1"/>
    <col min="7898" max="7898" width="9.5703125" style="2" customWidth="1"/>
    <col min="7899" max="7899" width="11.28515625" style="2" customWidth="1"/>
    <col min="7900" max="7900" width="4.42578125" style="2" customWidth="1"/>
    <col min="7901" max="7901" width="10" style="2" customWidth="1"/>
    <col min="7902" max="7902" width="7.85546875" style="2" customWidth="1"/>
    <col min="7903" max="7903" width="10" style="2" customWidth="1"/>
    <col min="7904" max="7904" width="10.140625" style="2" customWidth="1"/>
    <col min="7905" max="7905" width="8.28515625" style="2" customWidth="1"/>
    <col min="7906" max="7906" width="7.7109375" style="2" customWidth="1"/>
    <col min="7907" max="7907" width="8.42578125" style="2" customWidth="1"/>
    <col min="7908" max="7908" width="10" style="2" customWidth="1"/>
    <col min="7909" max="7909" width="8.28515625" style="2" customWidth="1"/>
    <col min="7910" max="7910" width="9.42578125" style="2" customWidth="1"/>
    <col min="7911" max="7911" width="10.7109375" style="2" customWidth="1"/>
    <col min="7912" max="7912" width="9" style="2" customWidth="1"/>
    <col min="7913" max="7913" width="7.7109375" style="2" customWidth="1"/>
    <col min="7914" max="7914" width="9" style="2" customWidth="1"/>
    <col min="7915" max="7915" width="6.85546875" style="2" customWidth="1"/>
    <col min="7916" max="7916" width="9.7109375" style="2" customWidth="1"/>
    <col min="7917" max="7917" width="7.28515625" style="2" customWidth="1"/>
    <col min="7918" max="7918" width="11.42578125" style="2" customWidth="1"/>
    <col min="7919" max="7919" width="2.85546875" style="2" customWidth="1"/>
    <col min="7920" max="7920" width="6.28515625" style="2" customWidth="1"/>
    <col min="7921" max="7921" width="6.42578125" style="2" customWidth="1"/>
    <col min="7922" max="7922" width="10.140625" style="2" bestFit="1" customWidth="1"/>
    <col min="7923" max="7923" width="11.28515625" style="2" bestFit="1" customWidth="1"/>
    <col min="7924" max="7924" width="8.85546875" style="2" bestFit="1" customWidth="1"/>
    <col min="7925" max="7925" width="12.85546875" style="2" bestFit="1" customWidth="1"/>
    <col min="7926" max="7926" width="10.85546875" style="2" bestFit="1" customWidth="1"/>
    <col min="7927" max="7927" width="9.28515625" style="2" customWidth="1"/>
    <col min="7928" max="7928" width="11.5703125" style="2" customWidth="1"/>
    <col min="7929" max="7929" width="9.85546875" style="2" bestFit="1" customWidth="1"/>
    <col min="7930" max="7930" width="15.140625" style="2" customWidth="1"/>
    <col min="7931" max="7938" width="0" style="2" hidden="1" customWidth="1"/>
    <col min="7939" max="8133" width="18.5703125" style="2"/>
    <col min="8134" max="8134" width="21.140625" style="2" bestFit="1" customWidth="1"/>
    <col min="8135" max="8135" width="8.42578125" style="2" customWidth="1"/>
    <col min="8136" max="8136" width="8.42578125" style="2" bestFit="1" customWidth="1"/>
    <col min="8137" max="8138" width="9.28515625" style="2" bestFit="1" customWidth="1"/>
    <col min="8139" max="8139" width="9.5703125" style="2" bestFit="1" customWidth="1"/>
    <col min="8140" max="8140" width="9" style="2" bestFit="1" customWidth="1"/>
    <col min="8141" max="8141" width="7.85546875" style="2" customWidth="1"/>
    <col min="8142" max="8142" width="9.140625" style="2" customWidth="1"/>
    <col min="8143" max="8143" width="10.5703125" style="2" customWidth="1"/>
    <col min="8144" max="8144" width="9.85546875" style="2" customWidth="1"/>
    <col min="8145" max="8145" width="9" style="2" customWidth="1"/>
    <col min="8146" max="8146" width="9.140625" style="2" customWidth="1"/>
    <col min="8147" max="8147" width="10.7109375" style="2" customWidth="1"/>
    <col min="8148" max="8148" width="8.5703125" style="2" customWidth="1"/>
    <col min="8149" max="8149" width="4.42578125" style="2" customWidth="1"/>
    <col min="8150" max="8150" width="7.42578125" style="2" customWidth="1"/>
    <col min="8151" max="8151" width="7.7109375" style="2" customWidth="1"/>
    <col min="8152" max="8152" width="9.85546875" style="2" customWidth="1"/>
    <col min="8153" max="8153" width="7.42578125" style="2" customWidth="1"/>
    <col min="8154" max="8154" width="9.5703125" style="2" customWidth="1"/>
    <col min="8155" max="8155" width="11.28515625" style="2" customWidth="1"/>
    <col min="8156" max="8156" width="4.42578125" style="2" customWidth="1"/>
    <col min="8157" max="8157" width="10" style="2" customWidth="1"/>
    <col min="8158" max="8158" width="7.85546875" style="2" customWidth="1"/>
    <col min="8159" max="8159" width="10" style="2" customWidth="1"/>
    <col min="8160" max="8160" width="10.140625" style="2" customWidth="1"/>
    <col min="8161" max="8161" width="8.28515625" style="2" customWidth="1"/>
    <col min="8162" max="8162" width="7.7109375" style="2" customWidth="1"/>
    <col min="8163" max="8163" width="8.42578125" style="2" customWidth="1"/>
    <col min="8164" max="8164" width="10" style="2" customWidth="1"/>
    <col min="8165" max="8165" width="8.28515625" style="2" customWidth="1"/>
    <col min="8166" max="8166" width="9.42578125" style="2" customWidth="1"/>
    <col min="8167" max="8167" width="10.7109375" style="2" customWidth="1"/>
    <col min="8168" max="8168" width="9" style="2" customWidth="1"/>
    <col min="8169" max="8169" width="7.7109375" style="2" customWidth="1"/>
    <col min="8170" max="8170" width="9" style="2" customWidth="1"/>
    <col min="8171" max="8171" width="6.85546875" style="2" customWidth="1"/>
    <col min="8172" max="8172" width="9.7109375" style="2" customWidth="1"/>
    <col min="8173" max="8173" width="7.28515625" style="2" customWidth="1"/>
    <col min="8174" max="8174" width="11.42578125" style="2" customWidth="1"/>
    <col min="8175" max="8175" width="2.85546875" style="2" customWidth="1"/>
    <col min="8176" max="8176" width="6.28515625" style="2" customWidth="1"/>
    <col min="8177" max="8177" width="6.42578125" style="2" customWidth="1"/>
    <col min="8178" max="8178" width="10.140625" style="2" bestFit="1" customWidth="1"/>
    <col min="8179" max="8179" width="11.28515625" style="2" bestFit="1" customWidth="1"/>
    <col min="8180" max="8180" width="8.85546875" style="2" bestFit="1" customWidth="1"/>
    <col min="8181" max="8181" width="12.85546875" style="2" bestFit="1" customWidth="1"/>
    <col min="8182" max="8182" width="10.85546875" style="2" bestFit="1" customWidth="1"/>
    <col min="8183" max="8183" width="9.28515625" style="2" customWidth="1"/>
    <col min="8184" max="8184" width="11.5703125" style="2" customWidth="1"/>
    <col min="8185" max="8185" width="9.85546875" style="2" bestFit="1" customWidth="1"/>
    <col min="8186" max="8186" width="15.140625" style="2" customWidth="1"/>
    <col min="8187" max="8194" width="0" style="2" hidden="1" customWidth="1"/>
    <col min="8195" max="8389" width="18.5703125" style="2"/>
    <col min="8390" max="8390" width="21.140625" style="2" bestFit="1" customWidth="1"/>
    <col min="8391" max="8391" width="8.42578125" style="2" customWidth="1"/>
    <col min="8392" max="8392" width="8.42578125" style="2" bestFit="1" customWidth="1"/>
    <col min="8393" max="8394" width="9.28515625" style="2" bestFit="1" customWidth="1"/>
    <col min="8395" max="8395" width="9.5703125" style="2" bestFit="1" customWidth="1"/>
    <col min="8396" max="8396" width="9" style="2" bestFit="1" customWidth="1"/>
    <col min="8397" max="8397" width="7.85546875" style="2" customWidth="1"/>
    <col min="8398" max="8398" width="9.140625" style="2" customWidth="1"/>
    <col min="8399" max="8399" width="10.5703125" style="2" customWidth="1"/>
    <col min="8400" max="8400" width="9.85546875" style="2" customWidth="1"/>
    <col min="8401" max="8401" width="9" style="2" customWidth="1"/>
    <col min="8402" max="8402" width="9.140625" style="2" customWidth="1"/>
    <col min="8403" max="8403" width="10.7109375" style="2" customWidth="1"/>
    <col min="8404" max="8404" width="8.5703125" style="2" customWidth="1"/>
    <col min="8405" max="8405" width="4.42578125" style="2" customWidth="1"/>
    <col min="8406" max="8406" width="7.42578125" style="2" customWidth="1"/>
    <col min="8407" max="8407" width="7.7109375" style="2" customWidth="1"/>
    <col min="8408" max="8408" width="9.85546875" style="2" customWidth="1"/>
    <col min="8409" max="8409" width="7.42578125" style="2" customWidth="1"/>
    <col min="8410" max="8410" width="9.5703125" style="2" customWidth="1"/>
    <col min="8411" max="8411" width="11.28515625" style="2" customWidth="1"/>
    <col min="8412" max="8412" width="4.42578125" style="2" customWidth="1"/>
    <col min="8413" max="8413" width="10" style="2" customWidth="1"/>
    <col min="8414" max="8414" width="7.85546875" style="2" customWidth="1"/>
    <col min="8415" max="8415" width="10" style="2" customWidth="1"/>
    <col min="8416" max="8416" width="10.140625" style="2" customWidth="1"/>
    <col min="8417" max="8417" width="8.28515625" style="2" customWidth="1"/>
    <col min="8418" max="8418" width="7.7109375" style="2" customWidth="1"/>
    <col min="8419" max="8419" width="8.42578125" style="2" customWidth="1"/>
    <col min="8420" max="8420" width="10" style="2" customWidth="1"/>
    <col min="8421" max="8421" width="8.28515625" style="2" customWidth="1"/>
    <col min="8422" max="8422" width="9.42578125" style="2" customWidth="1"/>
    <col min="8423" max="8423" width="10.7109375" style="2" customWidth="1"/>
    <col min="8424" max="8424" width="9" style="2" customWidth="1"/>
    <col min="8425" max="8425" width="7.7109375" style="2" customWidth="1"/>
    <col min="8426" max="8426" width="9" style="2" customWidth="1"/>
    <col min="8427" max="8427" width="6.85546875" style="2" customWidth="1"/>
    <col min="8428" max="8428" width="9.7109375" style="2" customWidth="1"/>
    <col min="8429" max="8429" width="7.28515625" style="2" customWidth="1"/>
    <col min="8430" max="8430" width="11.42578125" style="2" customWidth="1"/>
    <col min="8431" max="8431" width="2.85546875" style="2" customWidth="1"/>
    <col min="8432" max="8432" width="6.28515625" style="2" customWidth="1"/>
    <col min="8433" max="8433" width="6.42578125" style="2" customWidth="1"/>
    <col min="8434" max="8434" width="10.140625" style="2" bestFit="1" customWidth="1"/>
    <col min="8435" max="8435" width="11.28515625" style="2" bestFit="1" customWidth="1"/>
    <col min="8436" max="8436" width="8.85546875" style="2" bestFit="1" customWidth="1"/>
    <col min="8437" max="8437" width="12.85546875" style="2" bestFit="1" customWidth="1"/>
    <col min="8438" max="8438" width="10.85546875" style="2" bestFit="1" customWidth="1"/>
    <col min="8439" max="8439" width="9.28515625" style="2" customWidth="1"/>
    <col min="8440" max="8440" width="11.5703125" style="2" customWidth="1"/>
    <col min="8441" max="8441" width="9.85546875" style="2" bestFit="1" customWidth="1"/>
    <col min="8442" max="8442" width="15.140625" style="2" customWidth="1"/>
    <col min="8443" max="8450" width="0" style="2" hidden="1" customWidth="1"/>
    <col min="8451" max="8645" width="18.5703125" style="2"/>
    <col min="8646" max="8646" width="21.140625" style="2" bestFit="1" customWidth="1"/>
    <col min="8647" max="8647" width="8.42578125" style="2" customWidth="1"/>
    <col min="8648" max="8648" width="8.42578125" style="2" bestFit="1" customWidth="1"/>
    <col min="8649" max="8650" width="9.28515625" style="2" bestFit="1" customWidth="1"/>
    <col min="8651" max="8651" width="9.5703125" style="2" bestFit="1" customWidth="1"/>
    <col min="8652" max="8652" width="9" style="2" bestFit="1" customWidth="1"/>
    <col min="8653" max="8653" width="7.85546875" style="2" customWidth="1"/>
    <col min="8654" max="8654" width="9.140625" style="2" customWidth="1"/>
    <col min="8655" max="8655" width="10.5703125" style="2" customWidth="1"/>
    <col min="8656" max="8656" width="9.85546875" style="2" customWidth="1"/>
    <col min="8657" max="8657" width="9" style="2" customWidth="1"/>
    <col min="8658" max="8658" width="9.140625" style="2" customWidth="1"/>
    <col min="8659" max="8659" width="10.7109375" style="2" customWidth="1"/>
    <col min="8660" max="8660" width="8.5703125" style="2" customWidth="1"/>
    <col min="8661" max="8661" width="4.42578125" style="2" customWidth="1"/>
    <col min="8662" max="8662" width="7.42578125" style="2" customWidth="1"/>
    <col min="8663" max="8663" width="7.7109375" style="2" customWidth="1"/>
    <col min="8664" max="8664" width="9.85546875" style="2" customWidth="1"/>
    <col min="8665" max="8665" width="7.42578125" style="2" customWidth="1"/>
    <col min="8666" max="8666" width="9.5703125" style="2" customWidth="1"/>
    <col min="8667" max="8667" width="11.28515625" style="2" customWidth="1"/>
    <col min="8668" max="8668" width="4.42578125" style="2" customWidth="1"/>
    <col min="8669" max="8669" width="10" style="2" customWidth="1"/>
    <col min="8670" max="8670" width="7.85546875" style="2" customWidth="1"/>
    <col min="8671" max="8671" width="10" style="2" customWidth="1"/>
    <col min="8672" max="8672" width="10.140625" style="2" customWidth="1"/>
    <col min="8673" max="8673" width="8.28515625" style="2" customWidth="1"/>
    <col min="8674" max="8674" width="7.7109375" style="2" customWidth="1"/>
    <col min="8675" max="8675" width="8.42578125" style="2" customWidth="1"/>
    <col min="8676" max="8676" width="10" style="2" customWidth="1"/>
    <col min="8677" max="8677" width="8.28515625" style="2" customWidth="1"/>
    <col min="8678" max="8678" width="9.42578125" style="2" customWidth="1"/>
    <col min="8679" max="8679" width="10.7109375" style="2" customWidth="1"/>
    <col min="8680" max="8680" width="9" style="2" customWidth="1"/>
    <col min="8681" max="8681" width="7.7109375" style="2" customWidth="1"/>
    <col min="8682" max="8682" width="9" style="2" customWidth="1"/>
    <col min="8683" max="8683" width="6.85546875" style="2" customWidth="1"/>
    <col min="8684" max="8684" width="9.7109375" style="2" customWidth="1"/>
    <col min="8685" max="8685" width="7.28515625" style="2" customWidth="1"/>
    <col min="8686" max="8686" width="11.42578125" style="2" customWidth="1"/>
    <col min="8687" max="8687" width="2.85546875" style="2" customWidth="1"/>
    <col min="8688" max="8688" width="6.28515625" style="2" customWidth="1"/>
    <col min="8689" max="8689" width="6.42578125" style="2" customWidth="1"/>
    <col min="8690" max="8690" width="10.140625" style="2" bestFit="1" customWidth="1"/>
    <col min="8691" max="8691" width="11.28515625" style="2" bestFit="1" customWidth="1"/>
    <col min="8692" max="8692" width="8.85546875" style="2" bestFit="1" customWidth="1"/>
    <col min="8693" max="8693" width="12.85546875" style="2" bestFit="1" customWidth="1"/>
    <col min="8694" max="8694" width="10.85546875" style="2" bestFit="1" customWidth="1"/>
    <col min="8695" max="8695" width="9.28515625" style="2" customWidth="1"/>
    <col min="8696" max="8696" width="11.5703125" style="2" customWidth="1"/>
    <col min="8697" max="8697" width="9.85546875" style="2" bestFit="1" customWidth="1"/>
    <col min="8698" max="8698" width="15.140625" style="2" customWidth="1"/>
    <col min="8699" max="8706" width="0" style="2" hidden="1" customWidth="1"/>
    <col min="8707" max="8901" width="18.5703125" style="2"/>
    <col min="8902" max="8902" width="21.140625" style="2" bestFit="1" customWidth="1"/>
    <col min="8903" max="8903" width="8.42578125" style="2" customWidth="1"/>
    <col min="8904" max="8904" width="8.42578125" style="2" bestFit="1" customWidth="1"/>
    <col min="8905" max="8906" width="9.28515625" style="2" bestFit="1" customWidth="1"/>
    <col min="8907" max="8907" width="9.5703125" style="2" bestFit="1" customWidth="1"/>
    <col min="8908" max="8908" width="9" style="2" bestFit="1" customWidth="1"/>
    <col min="8909" max="8909" width="7.85546875" style="2" customWidth="1"/>
    <col min="8910" max="8910" width="9.140625" style="2" customWidth="1"/>
    <col min="8911" max="8911" width="10.5703125" style="2" customWidth="1"/>
    <col min="8912" max="8912" width="9.85546875" style="2" customWidth="1"/>
    <col min="8913" max="8913" width="9" style="2" customWidth="1"/>
    <col min="8914" max="8914" width="9.140625" style="2" customWidth="1"/>
    <col min="8915" max="8915" width="10.7109375" style="2" customWidth="1"/>
    <col min="8916" max="8916" width="8.5703125" style="2" customWidth="1"/>
    <col min="8917" max="8917" width="4.42578125" style="2" customWidth="1"/>
    <col min="8918" max="8918" width="7.42578125" style="2" customWidth="1"/>
    <col min="8919" max="8919" width="7.7109375" style="2" customWidth="1"/>
    <col min="8920" max="8920" width="9.85546875" style="2" customWidth="1"/>
    <col min="8921" max="8921" width="7.42578125" style="2" customWidth="1"/>
    <col min="8922" max="8922" width="9.5703125" style="2" customWidth="1"/>
    <col min="8923" max="8923" width="11.28515625" style="2" customWidth="1"/>
    <col min="8924" max="8924" width="4.42578125" style="2" customWidth="1"/>
    <col min="8925" max="8925" width="10" style="2" customWidth="1"/>
    <col min="8926" max="8926" width="7.85546875" style="2" customWidth="1"/>
    <col min="8927" max="8927" width="10" style="2" customWidth="1"/>
    <col min="8928" max="8928" width="10.140625" style="2" customWidth="1"/>
    <col min="8929" max="8929" width="8.28515625" style="2" customWidth="1"/>
    <col min="8930" max="8930" width="7.7109375" style="2" customWidth="1"/>
    <col min="8931" max="8931" width="8.42578125" style="2" customWidth="1"/>
    <col min="8932" max="8932" width="10" style="2" customWidth="1"/>
    <col min="8933" max="8933" width="8.28515625" style="2" customWidth="1"/>
    <col min="8934" max="8934" width="9.42578125" style="2" customWidth="1"/>
    <col min="8935" max="8935" width="10.7109375" style="2" customWidth="1"/>
    <col min="8936" max="8936" width="9" style="2" customWidth="1"/>
    <col min="8937" max="8937" width="7.7109375" style="2" customWidth="1"/>
    <col min="8938" max="8938" width="9" style="2" customWidth="1"/>
    <col min="8939" max="8939" width="6.85546875" style="2" customWidth="1"/>
    <col min="8940" max="8940" width="9.7109375" style="2" customWidth="1"/>
    <col min="8941" max="8941" width="7.28515625" style="2" customWidth="1"/>
    <col min="8942" max="8942" width="11.42578125" style="2" customWidth="1"/>
    <col min="8943" max="8943" width="2.85546875" style="2" customWidth="1"/>
    <col min="8944" max="8944" width="6.28515625" style="2" customWidth="1"/>
    <col min="8945" max="8945" width="6.42578125" style="2" customWidth="1"/>
    <col min="8946" max="8946" width="10.140625" style="2" bestFit="1" customWidth="1"/>
    <col min="8947" max="8947" width="11.28515625" style="2" bestFit="1" customWidth="1"/>
    <col min="8948" max="8948" width="8.85546875" style="2" bestFit="1" customWidth="1"/>
    <col min="8949" max="8949" width="12.85546875" style="2" bestFit="1" customWidth="1"/>
    <col min="8950" max="8950" width="10.85546875" style="2" bestFit="1" customWidth="1"/>
    <col min="8951" max="8951" width="9.28515625" style="2" customWidth="1"/>
    <col min="8952" max="8952" width="11.5703125" style="2" customWidth="1"/>
    <col min="8953" max="8953" width="9.85546875" style="2" bestFit="1" customWidth="1"/>
    <col min="8954" max="8954" width="15.140625" style="2" customWidth="1"/>
    <col min="8955" max="8962" width="0" style="2" hidden="1" customWidth="1"/>
    <col min="8963" max="9157" width="18.5703125" style="2"/>
    <col min="9158" max="9158" width="21.140625" style="2" bestFit="1" customWidth="1"/>
    <col min="9159" max="9159" width="8.42578125" style="2" customWidth="1"/>
    <col min="9160" max="9160" width="8.42578125" style="2" bestFit="1" customWidth="1"/>
    <col min="9161" max="9162" width="9.28515625" style="2" bestFit="1" customWidth="1"/>
    <col min="9163" max="9163" width="9.5703125" style="2" bestFit="1" customWidth="1"/>
    <col min="9164" max="9164" width="9" style="2" bestFit="1" customWidth="1"/>
    <col min="9165" max="9165" width="7.85546875" style="2" customWidth="1"/>
    <col min="9166" max="9166" width="9.140625" style="2" customWidth="1"/>
    <col min="9167" max="9167" width="10.5703125" style="2" customWidth="1"/>
    <col min="9168" max="9168" width="9.85546875" style="2" customWidth="1"/>
    <col min="9169" max="9169" width="9" style="2" customWidth="1"/>
    <col min="9170" max="9170" width="9.140625" style="2" customWidth="1"/>
    <col min="9171" max="9171" width="10.7109375" style="2" customWidth="1"/>
    <col min="9172" max="9172" width="8.5703125" style="2" customWidth="1"/>
    <col min="9173" max="9173" width="4.42578125" style="2" customWidth="1"/>
    <col min="9174" max="9174" width="7.42578125" style="2" customWidth="1"/>
    <col min="9175" max="9175" width="7.7109375" style="2" customWidth="1"/>
    <col min="9176" max="9176" width="9.85546875" style="2" customWidth="1"/>
    <col min="9177" max="9177" width="7.42578125" style="2" customWidth="1"/>
    <col min="9178" max="9178" width="9.5703125" style="2" customWidth="1"/>
    <col min="9179" max="9179" width="11.28515625" style="2" customWidth="1"/>
    <col min="9180" max="9180" width="4.42578125" style="2" customWidth="1"/>
    <col min="9181" max="9181" width="10" style="2" customWidth="1"/>
    <col min="9182" max="9182" width="7.85546875" style="2" customWidth="1"/>
    <col min="9183" max="9183" width="10" style="2" customWidth="1"/>
    <col min="9184" max="9184" width="10.140625" style="2" customWidth="1"/>
    <col min="9185" max="9185" width="8.28515625" style="2" customWidth="1"/>
    <col min="9186" max="9186" width="7.7109375" style="2" customWidth="1"/>
    <col min="9187" max="9187" width="8.42578125" style="2" customWidth="1"/>
    <col min="9188" max="9188" width="10" style="2" customWidth="1"/>
    <col min="9189" max="9189" width="8.28515625" style="2" customWidth="1"/>
    <col min="9190" max="9190" width="9.42578125" style="2" customWidth="1"/>
    <col min="9191" max="9191" width="10.7109375" style="2" customWidth="1"/>
    <col min="9192" max="9192" width="9" style="2" customWidth="1"/>
    <col min="9193" max="9193" width="7.7109375" style="2" customWidth="1"/>
    <col min="9194" max="9194" width="9" style="2" customWidth="1"/>
    <col min="9195" max="9195" width="6.85546875" style="2" customWidth="1"/>
    <col min="9196" max="9196" width="9.7109375" style="2" customWidth="1"/>
    <col min="9197" max="9197" width="7.28515625" style="2" customWidth="1"/>
    <col min="9198" max="9198" width="11.42578125" style="2" customWidth="1"/>
    <col min="9199" max="9199" width="2.85546875" style="2" customWidth="1"/>
    <col min="9200" max="9200" width="6.28515625" style="2" customWidth="1"/>
    <col min="9201" max="9201" width="6.42578125" style="2" customWidth="1"/>
    <col min="9202" max="9202" width="10.140625" style="2" bestFit="1" customWidth="1"/>
    <col min="9203" max="9203" width="11.28515625" style="2" bestFit="1" customWidth="1"/>
    <col min="9204" max="9204" width="8.85546875" style="2" bestFit="1" customWidth="1"/>
    <col min="9205" max="9205" width="12.85546875" style="2" bestFit="1" customWidth="1"/>
    <col min="9206" max="9206" width="10.85546875" style="2" bestFit="1" customWidth="1"/>
    <col min="9207" max="9207" width="9.28515625" style="2" customWidth="1"/>
    <col min="9208" max="9208" width="11.5703125" style="2" customWidth="1"/>
    <col min="9209" max="9209" width="9.85546875" style="2" bestFit="1" customWidth="1"/>
    <col min="9210" max="9210" width="15.140625" style="2" customWidth="1"/>
    <col min="9211" max="9218" width="0" style="2" hidden="1" customWidth="1"/>
    <col min="9219" max="9413" width="18.5703125" style="2"/>
    <col min="9414" max="9414" width="21.140625" style="2" bestFit="1" customWidth="1"/>
    <col min="9415" max="9415" width="8.42578125" style="2" customWidth="1"/>
    <col min="9416" max="9416" width="8.42578125" style="2" bestFit="1" customWidth="1"/>
    <col min="9417" max="9418" width="9.28515625" style="2" bestFit="1" customWidth="1"/>
    <col min="9419" max="9419" width="9.5703125" style="2" bestFit="1" customWidth="1"/>
    <col min="9420" max="9420" width="9" style="2" bestFit="1" customWidth="1"/>
    <col min="9421" max="9421" width="7.85546875" style="2" customWidth="1"/>
    <col min="9422" max="9422" width="9.140625" style="2" customWidth="1"/>
    <col min="9423" max="9423" width="10.5703125" style="2" customWidth="1"/>
    <col min="9424" max="9424" width="9.85546875" style="2" customWidth="1"/>
    <col min="9425" max="9425" width="9" style="2" customWidth="1"/>
    <col min="9426" max="9426" width="9.140625" style="2" customWidth="1"/>
    <col min="9427" max="9427" width="10.7109375" style="2" customWidth="1"/>
    <col min="9428" max="9428" width="8.5703125" style="2" customWidth="1"/>
    <col min="9429" max="9429" width="4.42578125" style="2" customWidth="1"/>
    <col min="9430" max="9430" width="7.42578125" style="2" customWidth="1"/>
    <col min="9431" max="9431" width="7.7109375" style="2" customWidth="1"/>
    <col min="9432" max="9432" width="9.85546875" style="2" customWidth="1"/>
    <col min="9433" max="9433" width="7.42578125" style="2" customWidth="1"/>
    <col min="9434" max="9434" width="9.5703125" style="2" customWidth="1"/>
    <col min="9435" max="9435" width="11.28515625" style="2" customWidth="1"/>
    <col min="9436" max="9436" width="4.42578125" style="2" customWidth="1"/>
    <col min="9437" max="9437" width="10" style="2" customWidth="1"/>
    <col min="9438" max="9438" width="7.85546875" style="2" customWidth="1"/>
    <col min="9439" max="9439" width="10" style="2" customWidth="1"/>
    <col min="9440" max="9440" width="10.140625" style="2" customWidth="1"/>
    <col min="9441" max="9441" width="8.28515625" style="2" customWidth="1"/>
    <col min="9442" max="9442" width="7.7109375" style="2" customWidth="1"/>
    <col min="9443" max="9443" width="8.42578125" style="2" customWidth="1"/>
    <col min="9444" max="9444" width="10" style="2" customWidth="1"/>
    <col min="9445" max="9445" width="8.28515625" style="2" customWidth="1"/>
    <col min="9446" max="9446" width="9.42578125" style="2" customWidth="1"/>
    <col min="9447" max="9447" width="10.7109375" style="2" customWidth="1"/>
    <col min="9448" max="9448" width="9" style="2" customWidth="1"/>
    <col min="9449" max="9449" width="7.7109375" style="2" customWidth="1"/>
    <col min="9450" max="9450" width="9" style="2" customWidth="1"/>
    <col min="9451" max="9451" width="6.85546875" style="2" customWidth="1"/>
    <col min="9452" max="9452" width="9.7109375" style="2" customWidth="1"/>
    <col min="9453" max="9453" width="7.28515625" style="2" customWidth="1"/>
    <col min="9454" max="9454" width="11.42578125" style="2" customWidth="1"/>
    <col min="9455" max="9455" width="2.85546875" style="2" customWidth="1"/>
    <col min="9456" max="9456" width="6.28515625" style="2" customWidth="1"/>
    <col min="9457" max="9457" width="6.42578125" style="2" customWidth="1"/>
    <col min="9458" max="9458" width="10.140625" style="2" bestFit="1" customWidth="1"/>
    <col min="9459" max="9459" width="11.28515625" style="2" bestFit="1" customWidth="1"/>
    <col min="9460" max="9460" width="8.85546875" style="2" bestFit="1" customWidth="1"/>
    <col min="9461" max="9461" width="12.85546875" style="2" bestFit="1" customWidth="1"/>
    <col min="9462" max="9462" width="10.85546875" style="2" bestFit="1" customWidth="1"/>
    <col min="9463" max="9463" width="9.28515625" style="2" customWidth="1"/>
    <col min="9464" max="9464" width="11.5703125" style="2" customWidth="1"/>
    <col min="9465" max="9465" width="9.85546875" style="2" bestFit="1" customWidth="1"/>
    <col min="9466" max="9466" width="15.140625" style="2" customWidth="1"/>
    <col min="9467" max="9474" width="0" style="2" hidden="1" customWidth="1"/>
    <col min="9475" max="9669" width="18.5703125" style="2"/>
    <col min="9670" max="9670" width="21.140625" style="2" bestFit="1" customWidth="1"/>
    <col min="9671" max="9671" width="8.42578125" style="2" customWidth="1"/>
    <col min="9672" max="9672" width="8.42578125" style="2" bestFit="1" customWidth="1"/>
    <col min="9673" max="9674" width="9.28515625" style="2" bestFit="1" customWidth="1"/>
    <col min="9675" max="9675" width="9.5703125" style="2" bestFit="1" customWidth="1"/>
    <col min="9676" max="9676" width="9" style="2" bestFit="1" customWidth="1"/>
    <col min="9677" max="9677" width="7.85546875" style="2" customWidth="1"/>
    <col min="9678" max="9678" width="9.140625" style="2" customWidth="1"/>
    <col min="9679" max="9679" width="10.5703125" style="2" customWidth="1"/>
    <col min="9680" max="9680" width="9.85546875" style="2" customWidth="1"/>
    <col min="9681" max="9681" width="9" style="2" customWidth="1"/>
    <col min="9682" max="9682" width="9.140625" style="2" customWidth="1"/>
    <col min="9683" max="9683" width="10.7109375" style="2" customWidth="1"/>
    <col min="9684" max="9684" width="8.5703125" style="2" customWidth="1"/>
    <col min="9685" max="9685" width="4.42578125" style="2" customWidth="1"/>
    <col min="9686" max="9686" width="7.42578125" style="2" customWidth="1"/>
    <col min="9687" max="9687" width="7.7109375" style="2" customWidth="1"/>
    <col min="9688" max="9688" width="9.85546875" style="2" customWidth="1"/>
    <col min="9689" max="9689" width="7.42578125" style="2" customWidth="1"/>
    <col min="9690" max="9690" width="9.5703125" style="2" customWidth="1"/>
    <col min="9691" max="9691" width="11.28515625" style="2" customWidth="1"/>
    <col min="9692" max="9692" width="4.42578125" style="2" customWidth="1"/>
    <col min="9693" max="9693" width="10" style="2" customWidth="1"/>
    <col min="9694" max="9694" width="7.85546875" style="2" customWidth="1"/>
    <col min="9695" max="9695" width="10" style="2" customWidth="1"/>
    <col min="9696" max="9696" width="10.140625" style="2" customWidth="1"/>
    <col min="9697" max="9697" width="8.28515625" style="2" customWidth="1"/>
    <col min="9698" max="9698" width="7.7109375" style="2" customWidth="1"/>
    <col min="9699" max="9699" width="8.42578125" style="2" customWidth="1"/>
    <col min="9700" max="9700" width="10" style="2" customWidth="1"/>
    <col min="9701" max="9701" width="8.28515625" style="2" customWidth="1"/>
    <col min="9702" max="9702" width="9.42578125" style="2" customWidth="1"/>
    <col min="9703" max="9703" width="10.7109375" style="2" customWidth="1"/>
    <col min="9704" max="9704" width="9" style="2" customWidth="1"/>
    <col min="9705" max="9705" width="7.7109375" style="2" customWidth="1"/>
    <col min="9706" max="9706" width="9" style="2" customWidth="1"/>
    <col min="9707" max="9707" width="6.85546875" style="2" customWidth="1"/>
    <col min="9708" max="9708" width="9.7109375" style="2" customWidth="1"/>
    <col min="9709" max="9709" width="7.28515625" style="2" customWidth="1"/>
    <col min="9710" max="9710" width="11.42578125" style="2" customWidth="1"/>
    <col min="9711" max="9711" width="2.85546875" style="2" customWidth="1"/>
    <col min="9712" max="9712" width="6.28515625" style="2" customWidth="1"/>
    <col min="9713" max="9713" width="6.42578125" style="2" customWidth="1"/>
    <col min="9714" max="9714" width="10.140625" style="2" bestFit="1" customWidth="1"/>
    <col min="9715" max="9715" width="11.28515625" style="2" bestFit="1" customWidth="1"/>
    <col min="9716" max="9716" width="8.85546875" style="2" bestFit="1" customWidth="1"/>
    <col min="9717" max="9717" width="12.85546875" style="2" bestFit="1" customWidth="1"/>
    <col min="9718" max="9718" width="10.85546875" style="2" bestFit="1" customWidth="1"/>
    <col min="9719" max="9719" width="9.28515625" style="2" customWidth="1"/>
    <col min="9720" max="9720" width="11.5703125" style="2" customWidth="1"/>
    <col min="9721" max="9721" width="9.85546875" style="2" bestFit="1" customWidth="1"/>
    <col min="9722" max="9722" width="15.140625" style="2" customWidth="1"/>
    <col min="9723" max="9730" width="0" style="2" hidden="1" customWidth="1"/>
    <col min="9731" max="9925" width="18.5703125" style="2"/>
    <col min="9926" max="9926" width="21.140625" style="2" bestFit="1" customWidth="1"/>
    <col min="9927" max="9927" width="8.42578125" style="2" customWidth="1"/>
    <col min="9928" max="9928" width="8.42578125" style="2" bestFit="1" customWidth="1"/>
    <col min="9929" max="9930" width="9.28515625" style="2" bestFit="1" customWidth="1"/>
    <col min="9931" max="9931" width="9.5703125" style="2" bestFit="1" customWidth="1"/>
    <col min="9932" max="9932" width="9" style="2" bestFit="1" customWidth="1"/>
    <col min="9933" max="9933" width="7.85546875" style="2" customWidth="1"/>
    <col min="9934" max="9934" width="9.140625" style="2" customWidth="1"/>
    <col min="9935" max="9935" width="10.5703125" style="2" customWidth="1"/>
    <col min="9936" max="9936" width="9.85546875" style="2" customWidth="1"/>
    <col min="9937" max="9937" width="9" style="2" customWidth="1"/>
    <col min="9938" max="9938" width="9.140625" style="2" customWidth="1"/>
    <col min="9939" max="9939" width="10.7109375" style="2" customWidth="1"/>
    <col min="9940" max="9940" width="8.5703125" style="2" customWidth="1"/>
    <col min="9941" max="9941" width="4.42578125" style="2" customWidth="1"/>
    <col min="9942" max="9942" width="7.42578125" style="2" customWidth="1"/>
    <col min="9943" max="9943" width="7.7109375" style="2" customWidth="1"/>
    <col min="9944" max="9944" width="9.85546875" style="2" customWidth="1"/>
    <col min="9945" max="9945" width="7.42578125" style="2" customWidth="1"/>
    <col min="9946" max="9946" width="9.5703125" style="2" customWidth="1"/>
    <col min="9947" max="9947" width="11.28515625" style="2" customWidth="1"/>
    <col min="9948" max="9948" width="4.42578125" style="2" customWidth="1"/>
    <col min="9949" max="9949" width="10" style="2" customWidth="1"/>
    <col min="9950" max="9950" width="7.85546875" style="2" customWidth="1"/>
    <col min="9951" max="9951" width="10" style="2" customWidth="1"/>
    <col min="9952" max="9952" width="10.140625" style="2" customWidth="1"/>
    <col min="9953" max="9953" width="8.28515625" style="2" customWidth="1"/>
    <col min="9954" max="9954" width="7.7109375" style="2" customWidth="1"/>
    <col min="9955" max="9955" width="8.42578125" style="2" customWidth="1"/>
    <col min="9956" max="9956" width="10" style="2" customWidth="1"/>
    <col min="9957" max="9957" width="8.28515625" style="2" customWidth="1"/>
    <col min="9958" max="9958" width="9.42578125" style="2" customWidth="1"/>
    <col min="9959" max="9959" width="10.7109375" style="2" customWidth="1"/>
    <col min="9960" max="9960" width="9" style="2" customWidth="1"/>
    <col min="9961" max="9961" width="7.7109375" style="2" customWidth="1"/>
    <col min="9962" max="9962" width="9" style="2" customWidth="1"/>
    <col min="9963" max="9963" width="6.85546875" style="2" customWidth="1"/>
    <col min="9964" max="9964" width="9.7109375" style="2" customWidth="1"/>
    <col min="9965" max="9965" width="7.28515625" style="2" customWidth="1"/>
    <col min="9966" max="9966" width="11.42578125" style="2" customWidth="1"/>
    <col min="9967" max="9967" width="2.85546875" style="2" customWidth="1"/>
    <col min="9968" max="9968" width="6.28515625" style="2" customWidth="1"/>
    <col min="9969" max="9969" width="6.42578125" style="2" customWidth="1"/>
    <col min="9970" max="9970" width="10.140625" style="2" bestFit="1" customWidth="1"/>
    <col min="9971" max="9971" width="11.28515625" style="2" bestFit="1" customWidth="1"/>
    <col min="9972" max="9972" width="8.85546875" style="2" bestFit="1" customWidth="1"/>
    <col min="9973" max="9973" width="12.85546875" style="2" bestFit="1" customWidth="1"/>
    <col min="9974" max="9974" width="10.85546875" style="2" bestFit="1" customWidth="1"/>
    <col min="9975" max="9975" width="9.28515625" style="2" customWidth="1"/>
    <col min="9976" max="9976" width="11.5703125" style="2" customWidth="1"/>
    <col min="9977" max="9977" width="9.85546875" style="2" bestFit="1" customWidth="1"/>
    <col min="9978" max="9978" width="15.140625" style="2" customWidth="1"/>
    <col min="9979" max="9986" width="0" style="2" hidden="1" customWidth="1"/>
    <col min="9987" max="10181" width="18.5703125" style="2"/>
    <col min="10182" max="10182" width="21.140625" style="2" bestFit="1" customWidth="1"/>
    <col min="10183" max="10183" width="8.42578125" style="2" customWidth="1"/>
    <col min="10184" max="10184" width="8.42578125" style="2" bestFit="1" customWidth="1"/>
    <col min="10185" max="10186" width="9.28515625" style="2" bestFit="1" customWidth="1"/>
    <col min="10187" max="10187" width="9.5703125" style="2" bestFit="1" customWidth="1"/>
    <col min="10188" max="10188" width="9" style="2" bestFit="1" customWidth="1"/>
    <col min="10189" max="10189" width="7.85546875" style="2" customWidth="1"/>
    <col min="10190" max="10190" width="9.140625" style="2" customWidth="1"/>
    <col min="10191" max="10191" width="10.5703125" style="2" customWidth="1"/>
    <col min="10192" max="10192" width="9.85546875" style="2" customWidth="1"/>
    <col min="10193" max="10193" width="9" style="2" customWidth="1"/>
    <col min="10194" max="10194" width="9.140625" style="2" customWidth="1"/>
    <col min="10195" max="10195" width="10.7109375" style="2" customWidth="1"/>
    <col min="10196" max="10196" width="8.5703125" style="2" customWidth="1"/>
    <col min="10197" max="10197" width="4.42578125" style="2" customWidth="1"/>
    <col min="10198" max="10198" width="7.42578125" style="2" customWidth="1"/>
    <col min="10199" max="10199" width="7.7109375" style="2" customWidth="1"/>
    <col min="10200" max="10200" width="9.85546875" style="2" customWidth="1"/>
    <col min="10201" max="10201" width="7.42578125" style="2" customWidth="1"/>
    <col min="10202" max="10202" width="9.5703125" style="2" customWidth="1"/>
    <col min="10203" max="10203" width="11.28515625" style="2" customWidth="1"/>
    <col min="10204" max="10204" width="4.42578125" style="2" customWidth="1"/>
    <col min="10205" max="10205" width="10" style="2" customWidth="1"/>
    <col min="10206" max="10206" width="7.85546875" style="2" customWidth="1"/>
    <col min="10207" max="10207" width="10" style="2" customWidth="1"/>
    <col min="10208" max="10208" width="10.140625" style="2" customWidth="1"/>
    <col min="10209" max="10209" width="8.28515625" style="2" customWidth="1"/>
    <col min="10210" max="10210" width="7.7109375" style="2" customWidth="1"/>
    <col min="10211" max="10211" width="8.42578125" style="2" customWidth="1"/>
    <col min="10212" max="10212" width="10" style="2" customWidth="1"/>
    <col min="10213" max="10213" width="8.28515625" style="2" customWidth="1"/>
    <col min="10214" max="10214" width="9.42578125" style="2" customWidth="1"/>
    <col min="10215" max="10215" width="10.7109375" style="2" customWidth="1"/>
    <col min="10216" max="10216" width="9" style="2" customWidth="1"/>
    <col min="10217" max="10217" width="7.7109375" style="2" customWidth="1"/>
    <col min="10218" max="10218" width="9" style="2" customWidth="1"/>
    <col min="10219" max="10219" width="6.85546875" style="2" customWidth="1"/>
    <col min="10220" max="10220" width="9.7109375" style="2" customWidth="1"/>
    <col min="10221" max="10221" width="7.28515625" style="2" customWidth="1"/>
    <col min="10222" max="10222" width="11.42578125" style="2" customWidth="1"/>
    <col min="10223" max="10223" width="2.85546875" style="2" customWidth="1"/>
    <col min="10224" max="10224" width="6.28515625" style="2" customWidth="1"/>
    <col min="10225" max="10225" width="6.42578125" style="2" customWidth="1"/>
    <col min="10226" max="10226" width="10.140625" style="2" bestFit="1" customWidth="1"/>
    <col min="10227" max="10227" width="11.28515625" style="2" bestFit="1" customWidth="1"/>
    <col min="10228" max="10228" width="8.85546875" style="2" bestFit="1" customWidth="1"/>
    <col min="10229" max="10229" width="12.85546875" style="2" bestFit="1" customWidth="1"/>
    <col min="10230" max="10230" width="10.85546875" style="2" bestFit="1" customWidth="1"/>
    <col min="10231" max="10231" width="9.28515625" style="2" customWidth="1"/>
    <col min="10232" max="10232" width="11.5703125" style="2" customWidth="1"/>
    <col min="10233" max="10233" width="9.85546875" style="2" bestFit="1" customWidth="1"/>
    <col min="10234" max="10234" width="15.140625" style="2" customWidth="1"/>
    <col min="10235" max="10242" width="0" style="2" hidden="1" customWidth="1"/>
    <col min="10243" max="10437" width="18.5703125" style="2"/>
    <col min="10438" max="10438" width="21.140625" style="2" bestFit="1" customWidth="1"/>
    <col min="10439" max="10439" width="8.42578125" style="2" customWidth="1"/>
    <col min="10440" max="10440" width="8.42578125" style="2" bestFit="1" customWidth="1"/>
    <col min="10441" max="10442" width="9.28515625" style="2" bestFit="1" customWidth="1"/>
    <col min="10443" max="10443" width="9.5703125" style="2" bestFit="1" customWidth="1"/>
    <col min="10444" max="10444" width="9" style="2" bestFit="1" customWidth="1"/>
    <col min="10445" max="10445" width="7.85546875" style="2" customWidth="1"/>
    <col min="10446" max="10446" width="9.140625" style="2" customWidth="1"/>
    <col min="10447" max="10447" width="10.5703125" style="2" customWidth="1"/>
    <col min="10448" max="10448" width="9.85546875" style="2" customWidth="1"/>
    <col min="10449" max="10449" width="9" style="2" customWidth="1"/>
    <col min="10450" max="10450" width="9.140625" style="2" customWidth="1"/>
    <col min="10451" max="10451" width="10.7109375" style="2" customWidth="1"/>
    <col min="10452" max="10452" width="8.5703125" style="2" customWidth="1"/>
    <col min="10453" max="10453" width="4.42578125" style="2" customWidth="1"/>
    <col min="10454" max="10454" width="7.42578125" style="2" customWidth="1"/>
    <col min="10455" max="10455" width="7.7109375" style="2" customWidth="1"/>
    <col min="10456" max="10456" width="9.85546875" style="2" customWidth="1"/>
    <col min="10457" max="10457" width="7.42578125" style="2" customWidth="1"/>
    <col min="10458" max="10458" width="9.5703125" style="2" customWidth="1"/>
    <col min="10459" max="10459" width="11.28515625" style="2" customWidth="1"/>
    <col min="10460" max="10460" width="4.42578125" style="2" customWidth="1"/>
    <col min="10461" max="10461" width="10" style="2" customWidth="1"/>
    <col min="10462" max="10462" width="7.85546875" style="2" customWidth="1"/>
    <col min="10463" max="10463" width="10" style="2" customWidth="1"/>
    <col min="10464" max="10464" width="10.140625" style="2" customWidth="1"/>
    <col min="10465" max="10465" width="8.28515625" style="2" customWidth="1"/>
    <col min="10466" max="10466" width="7.7109375" style="2" customWidth="1"/>
    <col min="10467" max="10467" width="8.42578125" style="2" customWidth="1"/>
    <col min="10468" max="10468" width="10" style="2" customWidth="1"/>
    <col min="10469" max="10469" width="8.28515625" style="2" customWidth="1"/>
    <col min="10470" max="10470" width="9.42578125" style="2" customWidth="1"/>
    <col min="10471" max="10471" width="10.7109375" style="2" customWidth="1"/>
    <col min="10472" max="10472" width="9" style="2" customWidth="1"/>
    <col min="10473" max="10473" width="7.7109375" style="2" customWidth="1"/>
    <col min="10474" max="10474" width="9" style="2" customWidth="1"/>
    <col min="10475" max="10475" width="6.85546875" style="2" customWidth="1"/>
    <col min="10476" max="10476" width="9.7109375" style="2" customWidth="1"/>
    <col min="10477" max="10477" width="7.28515625" style="2" customWidth="1"/>
    <col min="10478" max="10478" width="11.42578125" style="2" customWidth="1"/>
    <col min="10479" max="10479" width="2.85546875" style="2" customWidth="1"/>
    <col min="10480" max="10480" width="6.28515625" style="2" customWidth="1"/>
    <col min="10481" max="10481" width="6.42578125" style="2" customWidth="1"/>
    <col min="10482" max="10482" width="10.140625" style="2" bestFit="1" customWidth="1"/>
    <col min="10483" max="10483" width="11.28515625" style="2" bestFit="1" customWidth="1"/>
    <col min="10484" max="10484" width="8.85546875" style="2" bestFit="1" customWidth="1"/>
    <col min="10485" max="10485" width="12.85546875" style="2" bestFit="1" customWidth="1"/>
    <col min="10486" max="10486" width="10.85546875" style="2" bestFit="1" customWidth="1"/>
    <col min="10487" max="10487" width="9.28515625" style="2" customWidth="1"/>
    <col min="10488" max="10488" width="11.5703125" style="2" customWidth="1"/>
    <col min="10489" max="10489" width="9.85546875" style="2" bestFit="1" customWidth="1"/>
    <col min="10490" max="10490" width="15.140625" style="2" customWidth="1"/>
    <col min="10491" max="10498" width="0" style="2" hidden="1" customWidth="1"/>
    <col min="10499" max="10693" width="18.5703125" style="2"/>
    <col min="10694" max="10694" width="21.140625" style="2" bestFit="1" customWidth="1"/>
    <col min="10695" max="10695" width="8.42578125" style="2" customWidth="1"/>
    <col min="10696" max="10696" width="8.42578125" style="2" bestFit="1" customWidth="1"/>
    <col min="10697" max="10698" width="9.28515625" style="2" bestFit="1" customWidth="1"/>
    <col min="10699" max="10699" width="9.5703125" style="2" bestFit="1" customWidth="1"/>
    <col min="10700" max="10700" width="9" style="2" bestFit="1" customWidth="1"/>
    <col min="10701" max="10701" width="7.85546875" style="2" customWidth="1"/>
    <col min="10702" max="10702" width="9.140625" style="2" customWidth="1"/>
    <col min="10703" max="10703" width="10.5703125" style="2" customWidth="1"/>
    <col min="10704" max="10704" width="9.85546875" style="2" customWidth="1"/>
    <col min="10705" max="10705" width="9" style="2" customWidth="1"/>
    <col min="10706" max="10706" width="9.140625" style="2" customWidth="1"/>
    <col min="10707" max="10707" width="10.7109375" style="2" customWidth="1"/>
    <col min="10708" max="10708" width="8.5703125" style="2" customWidth="1"/>
    <col min="10709" max="10709" width="4.42578125" style="2" customWidth="1"/>
    <col min="10710" max="10710" width="7.42578125" style="2" customWidth="1"/>
    <col min="10711" max="10711" width="7.7109375" style="2" customWidth="1"/>
    <col min="10712" max="10712" width="9.85546875" style="2" customWidth="1"/>
    <col min="10713" max="10713" width="7.42578125" style="2" customWidth="1"/>
    <col min="10714" max="10714" width="9.5703125" style="2" customWidth="1"/>
    <col min="10715" max="10715" width="11.28515625" style="2" customWidth="1"/>
    <col min="10716" max="10716" width="4.42578125" style="2" customWidth="1"/>
    <col min="10717" max="10717" width="10" style="2" customWidth="1"/>
    <col min="10718" max="10718" width="7.85546875" style="2" customWidth="1"/>
    <col min="10719" max="10719" width="10" style="2" customWidth="1"/>
    <col min="10720" max="10720" width="10.140625" style="2" customWidth="1"/>
    <col min="10721" max="10721" width="8.28515625" style="2" customWidth="1"/>
    <col min="10722" max="10722" width="7.7109375" style="2" customWidth="1"/>
    <col min="10723" max="10723" width="8.42578125" style="2" customWidth="1"/>
    <col min="10724" max="10724" width="10" style="2" customWidth="1"/>
    <col min="10725" max="10725" width="8.28515625" style="2" customWidth="1"/>
    <col min="10726" max="10726" width="9.42578125" style="2" customWidth="1"/>
    <col min="10727" max="10727" width="10.7109375" style="2" customWidth="1"/>
    <col min="10728" max="10728" width="9" style="2" customWidth="1"/>
    <col min="10729" max="10729" width="7.7109375" style="2" customWidth="1"/>
    <col min="10730" max="10730" width="9" style="2" customWidth="1"/>
    <col min="10731" max="10731" width="6.85546875" style="2" customWidth="1"/>
    <col min="10732" max="10732" width="9.7109375" style="2" customWidth="1"/>
    <col min="10733" max="10733" width="7.28515625" style="2" customWidth="1"/>
    <col min="10734" max="10734" width="11.42578125" style="2" customWidth="1"/>
    <col min="10735" max="10735" width="2.85546875" style="2" customWidth="1"/>
    <col min="10736" max="10736" width="6.28515625" style="2" customWidth="1"/>
    <col min="10737" max="10737" width="6.42578125" style="2" customWidth="1"/>
    <col min="10738" max="10738" width="10.140625" style="2" bestFit="1" customWidth="1"/>
    <col min="10739" max="10739" width="11.28515625" style="2" bestFit="1" customWidth="1"/>
    <col min="10740" max="10740" width="8.85546875" style="2" bestFit="1" customWidth="1"/>
    <col min="10741" max="10741" width="12.85546875" style="2" bestFit="1" customWidth="1"/>
    <col min="10742" max="10742" width="10.85546875" style="2" bestFit="1" customWidth="1"/>
    <col min="10743" max="10743" width="9.28515625" style="2" customWidth="1"/>
    <col min="10744" max="10744" width="11.5703125" style="2" customWidth="1"/>
    <col min="10745" max="10745" width="9.85546875" style="2" bestFit="1" customWidth="1"/>
    <col min="10746" max="10746" width="15.140625" style="2" customWidth="1"/>
    <col min="10747" max="10754" width="0" style="2" hidden="1" customWidth="1"/>
    <col min="10755" max="10949" width="18.5703125" style="2"/>
    <col min="10950" max="10950" width="21.140625" style="2" bestFit="1" customWidth="1"/>
    <col min="10951" max="10951" width="8.42578125" style="2" customWidth="1"/>
    <col min="10952" max="10952" width="8.42578125" style="2" bestFit="1" customWidth="1"/>
    <col min="10953" max="10954" width="9.28515625" style="2" bestFit="1" customWidth="1"/>
    <col min="10955" max="10955" width="9.5703125" style="2" bestFit="1" customWidth="1"/>
    <col min="10956" max="10956" width="9" style="2" bestFit="1" customWidth="1"/>
    <col min="10957" max="10957" width="7.85546875" style="2" customWidth="1"/>
    <col min="10958" max="10958" width="9.140625" style="2" customWidth="1"/>
    <col min="10959" max="10959" width="10.5703125" style="2" customWidth="1"/>
    <col min="10960" max="10960" width="9.85546875" style="2" customWidth="1"/>
    <col min="10961" max="10961" width="9" style="2" customWidth="1"/>
    <col min="10962" max="10962" width="9.140625" style="2" customWidth="1"/>
    <col min="10963" max="10963" width="10.7109375" style="2" customWidth="1"/>
    <col min="10964" max="10964" width="8.5703125" style="2" customWidth="1"/>
    <col min="10965" max="10965" width="4.42578125" style="2" customWidth="1"/>
    <col min="10966" max="10966" width="7.42578125" style="2" customWidth="1"/>
    <col min="10967" max="10967" width="7.7109375" style="2" customWidth="1"/>
    <col min="10968" max="10968" width="9.85546875" style="2" customWidth="1"/>
    <col min="10969" max="10969" width="7.42578125" style="2" customWidth="1"/>
    <col min="10970" max="10970" width="9.5703125" style="2" customWidth="1"/>
    <col min="10971" max="10971" width="11.28515625" style="2" customWidth="1"/>
    <col min="10972" max="10972" width="4.42578125" style="2" customWidth="1"/>
    <col min="10973" max="10973" width="10" style="2" customWidth="1"/>
    <col min="10974" max="10974" width="7.85546875" style="2" customWidth="1"/>
    <col min="10975" max="10975" width="10" style="2" customWidth="1"/>
    <col min="10976" max="10976" width="10.140625" style="2" customWidth="1"/>
    <col min="10977" max="10977" width="8.28515625" style="2" customWidth="1"/>
    <col min="10978" max="10978" width="7.7109375" style="2" customWidth="1"/>
    <col min="10979" max="10979" width="8.42578125" style="2" customWidth="1"/>
    <col min="10980" max="10980" width="10" style="2" customWidth="1"/>
    <col min="10981" max="10981" width="8.28515625" style="2" customWidth="1"/>
    <col min="10982" max="10982" width="9.42578125" style="2" customWidth="1"/>
    <col min="10983" max="10983" width="10.7109375" style="2" customWidth="1"/>
    <col min="10984" max="10984" width="9" style="2" customWidth="1"/>
    <col min="10985" max="10985" width="7.7109375" style="2" customWidth="1"/>
    <col min="10986" max="10986" width="9" style="2" customWidth="1"/>
    <col min="10987" max="10987" width="6.85546875" style="2" customWidth="1"/>
    <col min="10988" max="10988" width="9.7109375" style="2" customWidth="1"/>
    <col min="10989" max="10989" width="7.28515625" style="2" customWidth="1"/>
    <col min="10990" max="10990" width="11.42578125" style="2" customWidth="1"/>
    <col min="10991" max="10991" width="2.85546875" style="2" customWidth="1"/>
    <col min="10992" max="10992" width="6.28515625" style="2" customWidth="1"/>
    <col min="10993" max="10993" width="6.42578125" style="2" customWidth="1"/>
    <col min="10994" max="10994" width="10.140625" style="2" bestFit="1" customWidth="1"/>
    <col min="10995" max="10995" width="11.28515625" style="2" bestFit="1" customWidth="1"/>
    <col min="10996" max="10996" width="8.85546875" style="2" bestFit="1" customWidth="1"/>
    <col min="10997" max="10997" width="12.85546875" style="2" bestFit="1" customWidth="1"/>
    <col min="10998" max="10998" width="10.85546875" style="2" bestFit="1" customWidth="1"/>
    <col min="10999" max="10999" width="9.28515625" style="2" customWidth="1"/>
    <col min="11000" max="11000" width="11.5703125" style="2" customWidth="1"/>
    <col min="11001" max="11001" width="9.85546875" style="2" bestFit="1" customWidth="1"/>
    <col min="11002" max="11002" width="15.140625" style="2" customWidth="1"/>
    <col min="11003" max="11010" width="0" style="2" hidden="1" customWidth="1"/>
    <col min="11011" max="11205" width="18.5703125" style="2"/>
    <col min="11206" max="11206" width="21.140625" style="2" bestFit="1" customWidth="1"/>
    <col min="11207" max="11207" width="8.42578125" style="2" customWidth="1"/>
    <col min="11208" max="11208" width="8.42578125" style="2" bestFit="1" customWidth="1"/>
    <col min="11209" max="11210" width="9.28515625" style="2" bestFit="1" customWidth="1"/>
    <col min="11211" max="11211" width="9.5703125" style="2" bestFit="1" customWidth="1"/>
    <col min="11212" max="11212" width="9" style="2" bestFit="1" customWidth="1"/>
    <col min="11213" max="11213" width="7.85546875" style="2" customWidth="1"/>
    <col min="11214" max="11214" width="9.140625" style="2" customWidth="1"/>
    <col min="11215" max="11215" width="10.5703125" style="2" customWidth="1"/>
    <col min="11216" max="11216" width="9.85546875" style="2" customWidth="1"/>
    <col min="11217" max="11217" width="9" style="2" customWidth="1"/>
    <col min="11218" max="11218" width="9.140625" style="2" customWidth="1"/>
    <col min="11219" max="11219" width="10.7109375" style="2" customWidth="1"/>
    <col min="11220" max="11220" width="8.5703125" style="2" customWidth="1"/>
    <col min="11221" max="11221" width="4.42578125" style="2" customWidth="1"/>
    <col min="11222" max="11222" width="7.42578125" style="2" customWidth="1"/>
    <col min="11223" max="11223" width="7.7109375" style="2" customWidth="1"/>
    <col min="11224" max="11224" width="9.85546875" style="2" customWidth="1"/>
    <col min="11225" max="11225" width="7.42578125" style="2" customWidth="1"/>
    <col min="11226" max="11226" width="9.5703125" style="2" customWidth="1"/>
    <col min="11227" max="11227" width="11.28515625" style="2" customWidth="1"/>
    <col min="11228" max="11228" width="4.42578125" style="2" customWidth="1"/>
    <col min="11229" max="11229" width="10" style="2" customWidth="1"/>
    <col min="11230" max="11230" width="7.85546875" style="2" customWidth="1"/>
    <col min="11231" max="11231" width="10" style="2" customWidth="1"/>
    <col min="11232" max="11232" width="10.140625" style="2" customWidth="1"/>
    <col min="11233" max="11233" width="8.28515625" style="2" customWidth="1"/>
    <col min="11234" max="11234" width="7.7109375" style="2" customWidth="1"/>
    <col min="11235" max="11235" width="8.42578125" style="2" customWidth="1"/>
    <col min="11236" max="11236" width="10" style="2" customWidth="1"/>
    <col min="11237" max="11237" width="8.28515625" style="2" customWidth="1"/>
    <col min="11238" max="11238" width="9.42578125" style="2" customWidth="1"/>
    <col min="11239" max="11239" width="10.7109375" style="2" customWidth="1"/>
    <col min="11240" max="11240" width="9" style="2" customWidth="1"/>
    <col min="11241" max="11241" width="7.7109375" style="2" customWidth="1"/>
    <col min="11242" max="11242" width="9" style="2" customWidth="1"/>
    <col min="11243" max="11243" width="6.85546875" style="2" customWidth="1"/>
    <col min="11244" max="11244" width="9.7109375" style="2" customWidth="1"/>
    <col min="11245" max="11245" width="7.28515625" style="2" customWidth="1"/>
    <col min="11246" max="11246" width="11.42578125" style="2" customWidth="1"/>
    <col min="11247" max="11247" width="2.85546875" style="2" customWidth="1"/>
    <col min="11248" max="11248" width="6.28515625" style="2" customWidth="1"/>
    <col min="11249" max="11249" width="6.42578125" style="2" customWidth="1"/>
    <col min="11250" max="11250" width="10.140625" style="2" bestFit="1" customWidth="1"/>
    <col min="11251" max="11251" width="11.28515625" style="2" bestFit="1" customWidth="1"/>
    <col min="11252" max="11252" width="8.85546875" style="2" bestFit="1" customWidth="1"/>
    <col min="11253" max="11253" width="12.85546875" style="2" bestFit="1" customWidth="1"/>
    <col min="11254" max="11254" width="10.85546875" style="2" bestFit="1" customWidth="1"/>
    <col min="11255" max="11255" width="9.28515625" style="2" customWidth="1"/>
    <col min="11256" max="11256" width="11.5703125" style="2" customWidth="1"/>
    <col min="11257" max="11257" width="9.85546875" style="2" bestFit="1" customWidth="1"/>
    <col min="11258" max="11258" width="15.140625" style="2" customWidth="1"/>
    <col min="11259" max="11266" width="0" style="2" hidden="1" customWidth="1"/>
    <col min="11267" max="11461" width="18.5703125" style="2"/>
    <col min="11462" max="11462" width="21.140625" style="2" bestFit="1" customWidth="1"/>
    <col min="11463" max="11463" width="8.42578125" style="2" customWidth="1"/>
    <col min="11464" max="11464" width="8.42578125" style="2" bestFit="1" customWidth="1"/>
    <col min="11465" max="11466" width="9.28515625" style="2" bestFit="1" customWidth="1"/>
    <col min="11467" max="11467" width="9.5703125" style="2" bestFit="1" customWidth="1"/>
    <col min="11468" max="11468" width="9" style="2" bestFit="1" customWidth="1"/>
    <col min="11469" max="11469" width="7.85546875" style="2" customWidth="1"/>
    <col min="11470" max="11470" width="9.140625" style="2" customWidth="1"/>
    <col min="11471" max="11471" width="10.5703125" style="2" customWidth="1"/>
    <col min="11472" max="11472" width="9.85546875" style="2" customWidth="1"/>
    <col min="11473" max="11473" width="9" style="2" customWidth="1"/>
    <col min="11474" max="11474" width="9.140625" style="2" customWidth="1"/>
    <col min="11475" max="11475" width="10.7109375" style="2" customWidth="1"/>
    <col min="11476" max="11476" width="8.5703125" style="2" customWidth="1"/>
    <col min="11477" max="11477" width="4.42578125" style="2" customWidth="1"/>
    <col min="11478" max="11478" width="7.42578125" style="2" customWidth="1"/>
    <col min="11479" max="11479" width="7.7109375" style="2" customWidth="1"/>
    <col min="11480" max="11480" width="9.85546875" style="2" customWidth="1"/>
    <col min="11481" max="11481" width="7.42578125" style="2" customWidth="1"/>
    <col min="11482" max="11482" width="9.5703125" style="2" customWidth="1"/>
    <col min="11483" max="11483" width="11.28515625" style="2" customWidth="1"/>
    <col min="11484" max="11484" width="4.42578125" style="2" customWidth="1"/>
    <col min="11485" max="11485" width="10" style="2" customWidth="1"/>
    <col min="11486" max="11486" width="7.85546875" style="2" customWidth="1"/>
    <col min="11487" max="11487" width="10" style="2" customWidth="1"/>
    <col min="11488" max="11488" width="10.140625" style="2" customWidth="1"/>
    <col min="11489" max="11489" width="8.28515625" style="2" customWidth="1"/>
    <col min="11490" max="11490" width="7.7109375" style="2" customWidth="1"/>
    <col min="11491" max="11491" width="8.42578125" style="2" customWidth="1"/>
    <col min="11492" max="11492" width="10" style="2" customWidth="1"/>
    <col min="11493" max="11493" width="8.28515625" style="2" customWidth="1"/>
    <col min="11494" max="11494" width="9.42578125" style="2" customWidth="1"/>
    <col min="11495" max="11495" width="10.7109375" style="2" customWidth="1"/>
    <col min="11496" max="11496" width="9" style="2" customWidth="1"/>
    <col min="11497" max="11497" width="7.7109375" style="2" customWidth="1"/>
    <col min="11498" max="11498" width="9" style="2" customWidth="1"/>
    <col min="11499" max="11499" width="6.85546875" style="2" customWidth="1"/>
    <col min="11500" max="11500" width="9.7109375" style="2" customWidth="1"/>
    <col min="11501" max="11501" width="7.28515625" style="2" customWidth="1"/>
    <col min="11502" max="11502" width="11.42578125" style="2" customWidth="1"/>
    <col min="11503" max="11503" width="2.85546875" style="2" customWidth="1"/>
    <col min="11504" max="11504" width="6.28515625" style="2" customWidth="1"/>
    <col min="11505" max="11505" width="6.42578125" style="2" customWidth="1"/>
    <col min="11506" max="11506" width="10.140625" style="2" bestFit="1" customWidth="1"/>
    <col min="11507" max="11507" width="11.28515625" style="2" bestFit="1" customWidth="1"/>
    <col min="11508" max="11508" width="8.85546875" style="2" bestFit="1" customWidth="1"/>
    <col min="11509" max="11509" width="12.85546875" style="2" bestFit="1" customWidth="1"/>
    <col min="11510" max="11510" width="10.85546875" style="2" bestFit="1" customWidth="1"/>
    <col min="11511" max="11511" width="9.28515625" style="2" customWidth="1"/>
    <col min="11512" max="11512" width="11.5703125" style="2" customWidth="1"/>
    <col min="11513" max="11513" width="9.85546875" style="2" bestFit="1" customWidth="1"/>
    <col min="11514" max="11514" width="15.140625" style="2" customWidth="1"/>
    <col min="11515" max="11522" width="0" style="2" hidden="1" customWidth="1"/>
    <col min="11523" max="11717" width="18.5703125" style="2"/>
    <col min="11718" max="11718" width="21.140625" style="2" bestFit="1" customWidth="1"/>
    <col min="11719" max="11719" width="8.42578125" style="2" customWidth="1"/>
    <col min="11720" max="11720" width="8.42578125" style="2" bestFit="1" customWidth="1"/>
    <col min="11721" max="11722" width="9.28515625" style="2" bestFit="1" customWidth="1"/>
    <col min="11723" max="11723" width="9.5703125" style="2" bestFit="1" customWidth="1"/>
    <col min="11724" max="11724" width="9" style="2" bestFit="1" customWidth="1"/>
    <col min="11725" max="11725" width="7.85546875" style="2" customWidth="1"/>
    <col min="11726" max="11726" width="9.140625" style="2" customWidth="1"/>
    <col min="11727" max="11727" width="10.5703125" style="2" customWidth="1"/>
    <col min="11728" max="11728" width="9.85546875" style="2" customWidth="1"/>
    <col min="11729" max="11729" width="9" style="2" customWidth="1"/>
    <col min="11730" max="11730" width="9.140625" style="2" customWidth="1"/>
    <col min="11731" max="11731" width="10.7109375" style="2" customWidth="1"/>
    <col min="11732" max="11732" width="8.5703125" style="2" customWidth="1"/>
    <col min="11733" max="11733" width="4.42578125" style="2" customWidth="1"/>
    <col min="11734" max="11734" width="7.42578125" style="2" customWidth="1"/>
    <col min="11735" max="11735" width="7.7109375" style="2" customWidth="1"/>
    <col min="11736" max="11736" width="9.85546875" style="2" customWidth="1"/>
    <col min="11737" max="11737" width="7.42578125" style="2" customWidth="1"/>
    <col min="11738" max="11738" width="9.5703125" style="2" customWidth="1"/>
    <col min="11739" max="11739" width="11.28515625" style="2" customWidth="1"/>
    <col min="11740" max="11740" width="4.42578125" style="2" customWidth="1"/>
    <col min="11741" max="11741" width="10" style="2" customWidth="1"/>
    <col min="11742" max="11742" width="7.85546875" style="2" customWidth="1"/>
    <col min="11743" max="11743" width="10" style="2" customWidth="1"/>
    <col min="11744" max="11744" width="10.140625" style="2" customWidth="1"/>
    <col min="11745" max="11745" width="8.28515625" style="2" customWidth="1"/>
    <col min="11746" max="11746" width="7.7109375" style="2" customWidth="1"/>
    <col min="11747" max="11747" width="8.42578125" style="2" customWidth="1"/>
    <col min="11748" max="11748" width="10" style="2" customWidth="1"/>
    <col min="11749" max="11749" width="8.28515625" style="2" customWidth="1"/>
    <col min="11750" max="11750" width="9.42578125" style="2" customWidth="1"/>
    <col min="11751" max="11751" width="10.7109375" style="2" customWidth="1"/>
    <col min="11752" max="11752" width="9" style="2" customWidth="1"/>
    <col min="11753" max="11753" width="7.7109375" style="2" customWidth="1"/>
    <col min="11754" max="11754" width="9" style="2" customWidth="1"/>
    <col min="11755" max="11755" width="6.85546875" style="2" customWidth="1"/>
    <col min="11756" max="11756" width="9.7109375" style="2" customWidth="1"/>
    <col min="11757" max="11757" width="7.28515625" style="2" customWidth="1"/>
    <col min="11758" max="11758" width="11.42578125" style="2" customWidth="1"/>
    <col min="11759" max="11759" width="2.85546875" style="2" customWidth="1"/>
    <col min="11760" max="11760" width="6.28515625" style="2" customWidth="1"/>
    <col min="11761" max="11761" width="6.42578125" style="2" customWidth="1"/>
    <col min="11762" max="11762" width="10.140625" style="2" bestFit="1" customWidth="1"/>
    <col min="11763" max="11763" width="11.28515625" style="2" bestFit="1" customWidth="1"/>
    <col min="11764" max="11764" width="8.85546875" style="2" bestFit="1" customWidth="1"/>
    <col min="11765" max="11765" width="12.85546875" style="2" bestFit="1" customWidth="1"/>
    <col min="11766" max="11766" width="10.85546875" style="2" bestFit="1" customWidth="1"/>
    <col min="11767" max="11767" width="9.28515625" style="2" customWidth="1"/>
    <col min="11768" max="11768" width="11.5703125" style="2" customWidth="1"/>
    <col min="11769" max="11769" width="9.85546875" style="2" bestFit="1" customWidth="1"/>
    <col min="11770" max="11770" width="15.140625" style="2" customWidth="1"/>
    <col min="11771" max="11778" width="0" style="2" hidden="1" customWidth="1"/>
    <col min="11779" max="11973" width="18.5703125" style="2"/>
    <col min="11974" max="11974" width="21.140625" style="2" bestFit="1" customWidth="1"/>
    <col min="11975" max="11975" width="8.42578125" style="2" customWidth="1"/>
    <col min="11976" max="11976" width="8.42578125" style="2" bestFit="1" customWidth="1"/>
    <col min="11977" max="11978" width="9.28515625" style="2" bestFit="1" customWidth="1"/>
    <col min="11979" max="11979" width="9.5703125" style="2" bestFit="1" customWidth="1"/>
    <col min="11980" max="11980" width="9" style="2" bestFit="1" customWidth="1"/>
    <col min="11981" max="11981" width="7.85546875" style="2" customWidth="1"/>
    <col min="11982" max="11982" width="9.140625" style="2" customWidth="1"/>
    <col min="11983" max="11983" width="10.5703125" style="2" customWidth="1"/>
    <col min="11984" max="11984" width="9.85546875" style="2" customWidth="1"/>
    <col min="11985" max="11985" width="9" style="2" customWidth="1"/>
    <col min="11986" max="11986" width="9.140625" style="2" customWidth="1"/>
    <col min="11987" max="11987" width="10.7109375" style="2" customWidth="1"/>
    <col min="11988" max="11988" width="8.5703125" style="2" customWidth="1"/>
    <col min="11989" max="11989" width="4.42578125" style="2" customWidth="1"/>
    <col min="11990" max="11990" width="7.42578125" style="2" customWidth="1"/>
    <col min="11991" max="11991" width="7.7109375" style="2" customWidth="1"/>
    <col min="11992" max="11992" width="9.85546875" style="2" customWidth="1"/>
    <col min="11993" max="11993" width="7.42578125" style="2" customWidth="1"/>
    <col min="11994" max="11994" width="9.5703125" style="2" customWidth="1"/>
    <col min="11995" max="11995" width="11.28515625" style="2" customWidth="1"/>
    <col min="11996" max="11996" width="4.42578125" style="2" customWidth="1"/>
    <col min="11997" max="11997" width="10" style="2" customWidth="1"/>
    <col min="11998" max="11998" width="7.85546875" style="2" customWidth="1"/>
    <col min="11999" max="11999" width="10" style="2" customWidth="1"/>
    <col min="12000" max="12000" width="10.140625" style="2" customWidth="1"/>
    <col min="12001" max="12001" width="8.28515625" style="2" customWidth="1"/>
    <col min="12002" max="12002" width="7.7109375" style="2" customWidth="1"/>
    <col min="12003" max="12003" width="8.42578125" style="2" customWidth="1"/>
    <col min="12004" max="12004" width="10" style="2" customWidth="1"/>
    <col min="12005" max="12005" width="8.28515625" style="2" customWidth="1"/>
    <col min="12006" max="12006" width="9.42578125" style="2" customWidth="1"/>
    <col min="12007" max="12007" width="10.7109375" style="2" customWidth="1"/>
    <col min="12008" max="12008" width="9" style="2" customWidth="1"/>
    <col min="12009" max="12009" width="7.7109375" style="2" customWidth="1"/>
    <col min="12010" max="12010" width="9" style="2" customWidth="1"/>
    <col min="12011" max="12011" width="6.85546875" style="2" customWidth="1"/>
    <col min="12012" max="12012" width="9.7109375" style="2" customWidth="1"/>
    <col min="12013" max="12013" width="7.28515625" style="2" customWidth="1"/>
    <col min="12014" max="12014" width="11.42578125" style="2" customWidth="1"/>
    <col min="12015" max="12015" width="2.85546875" style="2" customWidth="1"/>
    <col min="12016" max="12016" width="6.28515625" style="2" customWidth="1"/>
    <col min="12017" max="12017" width="6.42578125" style="2" customWidth="1"/>
    <col min="12018" max="12018" width="10.140625" style="2" bestFit="1" customWidth="1"/>
    <col min="12019" max="12019" width="11.28515625" style="2" bestFit="1" customWidth="1"/>
    <col min="12020" max="12020" width="8.85546875" style="2" bestFit="1" customWidth="1"/>
    <col min="12021" max="12021" width="12.85546875" style="2" bestFit="1" customWidth="1"/>
    <col min="12022" max="12022" width="10.85546875" style="2" bestFit="1" customWidth="1"/>
    <col min="12023" max="12023" width="9.28515625" style="2" customWidth="1"/>
    <col min="12024" max="12024" width="11.5703125" style="2" customWidth="1"/>
    <col min="12025" max="12025" width="9.85546875" style="2" bestFit="1" customWidth="1"/>
    <col min="12026" max="12026" width="15.140625" style="2" customWidth="1"/>
    <col min="12027" max="12034" width="0" style="2" hidden="1" customWidth="1"/>
    <col min="12035" max="12229" width="18.5703125" style="2"/>
    <col min="12230" max="12230" width="21.140625" style="2" bestFit="1" customWidth="1"/>
    <col min="12231" max="12231" width="8.42578125" style="2" customWidth="1"/>
    <col min="12232" max="12232" width="8.42578125" style="2" bestFit="1" customWidth="1"/>
    <col min="12233" max="12234" width="9.28515625" style="2" bestFit="1" customWidth="1"/>
    <col min="12235" max="12235" width="9.5703125" style="2" bestFit="1" customWidth="1"/>
    <col min="12236" max="12236" width="9" style="2" bestFit="1" customWidth="1"/>
    <col min="12237" max="12237" width="7.85546875" style="2" customWidth="1"/>
    <col min="12238" max="12238" width="9.140625" style="2" customWidth="1"/>
    <col min="12239" max="12239" width="10.5703125" style="2" customWidth="1"/>
    <col min="12240" max="12240" width="9.85546875" style="2" customWidth="1"/>
    <col min="12241" max="12241" width="9" style="2" customWidth="1"/>
    <col min="12242" max="12242" width="9.140625" style="2" customWidth="1"/>
    <col min="12243" max="12243" width="10.7109375" style="2" customWidth="1"/>
    <col min="12244" max="12244" width="8.5703125" style="2" customWidth="1"/>
    <col min="12245" max="12245" width="4.42578125" style="2" customWidth="1"/>
    <col min="12246" max="12246" width="7.42578125" style="2" customWidth="1"/>
    <col min="12247" max="12247" width="7.7109375" style="2" customWidth="1"/>
    <col min="12248" max="12248" width="9.85546875" style="2" customWidth="1"/>
    <col min="12249" max="12249" width="7.42578125" style="2" customWidth="1"/>
    <col min="12250" max="12250" width="9.5703125" style="2" customWidth="1"/>
    <col min="12251" max="12251" width="11.28515625" style="2" customWidth="1"/>
    <col min="12252" max="12252" width="4.42578125" style="2" customWidth="1"/>
    <col min="12253" max="12253" width="10" style="2" customWidth="1"/>
    <col min="12254" max="12254" width="7.85546875" style="2" customWidth="1"/>
    <col min="12255" max="12255" width="10" style="2" customWidth="1"/>
    <col min="12256" max="12256" width="10.140625" style="2" customWidth="1"/>
    <col min="12257" max="12257" width="8.28515625" style="2" customWidth="1"/>
    <col min="12258" max="12258" width="7.7109375" style="2" customWidth="1"/>
    <col min="12259" max="12259" width="8.42578125" style="2" customWidth="1"/>
    <col min="12260" max="12260" width="10" style="2" customWidth="1"/>
    <col min="12261" max="12261" width="8.28515625" style="2" customWidth="1"/>
    <col min="12262" max="12262" width="9.42578125" style="2" customWidth="1"/>
    <col min="12263" max="12263" width="10.7109375" style="2" customWidth="1"/>
    <col min="12264" max="12264" width="9" style="2" customWidth="1"/>
    <col min="12265" max="12265" width="7.7109375" style="2" customWidth="1"/>
    <col min="12266" max="12266" width="9" style="2" customWidth="1"/>
    <col min="12267" max="12267" width="6.85546875" style="2" customWidth="1"/>
    <col min="12268" max="12268" width="9.7109375" style="2" customWidth="1"/>
    <col min="12269" max="12269" width="7.28515625" style="2" customWidth="1"/>
    <col min="12270" max="12270" width="11.42578125" style="2" customWidth="1"/>
    <col min="12271" max="12271" width="2.85546875" style="2" customWidth="1"/>
    <col min="12272" max="12272" width="6.28515625" style="2" customWidth="1"/>
    <col min="12273" max="12273" width="6.42578125" style="2" customWidth="1"/>
    <col min="12274" max="12274" width="10.140625" style="2" bestFit="1" customWidth="1"/>
    <col min="12275" max="12275" width="11.28515625" style="2" bestFit="1" customWidth="1"/>
    <col min="12276" max="12276" width="8.85546875" style="2" bestFit="1" customWidth="1"/>
    <col min="12277" max="12277" width="12.85546875" style="2" bestFit="1" customWidth="1"/>
    <col min="12278" max="12278" width="10.85546875" style="2" bestFit="1" customWidth="1"/>
    <col min="12279" max="12279" width="9.28515625" style="2" customWidth="1"/>
    <col min="12280" max="12280" width="11.5703125" style="2" customWidth="1"/>
    <col min="12281" max="12281" width="9.85546875" style="2" bestFit="1" customWidth="1"/>
    <col min="12282" max="12282" width="15.140625" style="2" customWidth="1"/>
    <col min="12283" max="12290" width="0" style="2" hidden="1" customWidth="1"/>
    <col min="12291" max="12485" width="18.5703125" style="2"/>
    <col min="12486" max="12486" width="21.140625" style="2" bestFit="1" customWidth="1"/>
    <col min="12487" max="12487" width="8.42578125" style="2" customWidth="1"/>
    <col min="12488" max="12488" width="8.42578125" style="2" bestFit="1" customWidth="1"/>
    <col min="12489" max="12490" width="9.28515625" style="2" bestFit="1" customWidth="1"/>
    <col min="12491" max="12491" width="9.5703125" style="2" bestFit="1" customWidth="1"/>
    <col min="12492" max="12492" width="9" style="2" bestFit="1" customWidth="1"/>
    <col min="12493" max="12493" width="7.85546875" style="2" customWidth="1"/>
    <col min="12494" max="12494" width="9.140625" style="2" customWidth="1"/>
    <col min="12495" max="12495" width="10.5703125" style="2" customWidth="1"/>
    <col min="12496" max="12496" width="9.85546875" style="2" customWidth="1"/>
    <col min="12497" max="12497" width="9" style="2" customWidth="1"/>
    <col min="12498" max="12498" width="9.140625" style="2" customWidth="1"/>
    <col min="12499" max="12499" width="10.7109375" style="2" customWidth="1"/>
    <col min="12500" max="12500" width="8.5703125" style="2" customWidth="1"/>
    <col min="12501" max="12501" width="4.42578125" style="2" customWidth="1"/>
    <col min="12502" max="12502" width="7.42578125" style="2" customWidth="1"/>
    <col min="12503" max="12503" width="7.7109375" style="2" customWidth="1"/>
    <col min="12504" max="12504" width="9.85546875" style="2" customWidth="1"/>
    <col min="12505" max="12505" width="7.42578125" style="2" customWidth="1"/>
    <col min="12506" max="12506" width="9.5703125" style="2" customWidth="1"/>
    <col min="12507" max="12507" width="11.28515625" style="2" customWidth="1"/>
    <col min="12508" max="12508" width="4.42578125" style="2" customWidth="1"/>
    <col min="12509" max="12509" width="10" style="2" customWidth="1"/>
    <col min="12510" max="12510" width="7.85546875" style="2" customWidth="1"/>
    <col min="12511" max="12511" width="10" style="2" customWidth="1"/>
    <col min="12512" max="12512" width="10.140625" style="2" customWidth="1"/>
    <col min="12513" max="12513" width="8.28515625" style="2" customWidth="1"/>
    <col min="12514" max="12514" width="7.7109375" style="2" customWidth="1"/>
    <col min="12515" max="12515" width="8.42578125" style="2" customWidth="1"/>
    <col min="12516" max="12516" width="10" style="2" customWidth="1"/>
    <col min="12517" max="12517" width="8.28515625" style="2" customWidth="1"/>
    <col min="12518" max="12518" width="9.42578125" style="2" customWidth="1"/>
    <col min="12519" max="12519" width="10.7109375" style="2" customWidth="1"/>
    <col min="12520" max="12520" width="9" style="2" customWidth="1"/>
    <col min="12521" max="12521" width="7.7109375" style="2" customWidth="1"/>
    <col min="12522" max="12522" width="9" style="2" customWidth="1"/>
    <col min="12523" max="12523" width="6.85546875" style="2" customWidth="1"/>
    <col min="12524" max="12524" width="9.7109375" style="2" customWidth="1"/>
    <col min="12525" max="12525" width="7.28515625" style="2" customWidth="1"/>
    <col min="12526" max="12526" width="11.42578125" style="2" customWidth="1"/>
    <col min="12527" max="12527" width="2.85546875" style="2" customWidth="1"/>
    <col min="12528" max="12528" width="6.28515625" style="2" customWidth="1"/>
    <col min="12529" max="12529" width="6.42578125" style="2" customWidth="1"/>
    <col min="12530" max="12530" width="10.140625" style="2" bestFit="1" customWidth="1"/>
    <col min="12531" max="12531" width="11.28515625" style="2" bestFit="1" customWidth="1"/>
    <col min="12532" max="12532" width="8.85546875" style="2" bestFit="1" customWidth="1"/>
    <col min="12533" max="12533" width="12.85546875" style="2" bestFit="1" customWidth="1"/>
    <col min="12534" max="12534" width="10.85546875" style="2" bestFit="1" customWidth="1"/>
    <col min="12535" max="12535" width="9.28515625" style="2" customWidth="1"/>
    <col min="12536" max="12536" width="11.5703125" style="2" customWidth="1"/>
    <col min="12537" max="12537" width="9.85546875" style="2" bestFit="1" customWidth="1"/>
    <col min="12538" max="12538" width="15.140625" style="2" customWidth="1"/>
    <col min="12539" max="12546" width="0" style="2" hidden="1" customWidth="1"/>
    <col min="12547" max="12741" width="18.5703125" style="2"/>
    <col min="12742" max="12742" width="21.140625" style="2" bestFit="1" customWidth="1"/>
    <col min="12743" max="12743" width="8.42578125" style="2" customWidth="1"/>
    <col min="12744" max="12744" width="8.42578125" style="2" bestFit="1" customWidth="1"/>
    <col min="12745" max="12746" width="9.28515625" style="2" bestFit="1" customWidth="1"/>
    <col min="12747" max="12747" width="9.5703125" style="2" bestFit="1" customWidth="1"/>
    <col min="12748" max="12748" width="9" style="2" bestFit="1" customWidth="1"/>
    <col min="12749" max="12749" width="7.85546875" style="2" customWidth="1"/>
    <col min="12750" max="12750" width="9.140625" style="2" customWidth="1"/>
    <col min="12751" max="12751" width="10.5703125" style="2" customWidth="1"/>
    <col min="12752" max="12752" width="9.85546875" style="2" customWidth="1"/>
    <col min="12753" max="12753" width="9" style="2" customWidth="1"/>
    <col min="12754" max="12754" width="9.140625" style="2" customWidth="1"/>
    <col min="12755" max="12755" width="10.7109375" style="2" customWidth="1"/>
    <col min="12756" max="12756" width="8.5703125" style="2" customWidth="1"/>
    <col min="12757" max="12757" width="4.42578125" style="2" customWidth="1"/>
    <col min="12758" max="12758" width="7.42578125" style="2" customWidth="1"/>
    <col min="12759" max="12759" width="7.7109375" style="2" customWidth="1"/>
    <col min="12760" max="12760" width="9.85546875" style="2" customWidth="1"/>
    <col min="12761" max="12761" width="7.42578125" style="2" customWidth="1"/>
    <col min="12762" max="12762" width="9.5703125" style="2" customWidth="1"/>
    <col min="12763" max="12763" width="11.28515625" style="2" customWidth="1"/>
    <col min="12764" max="12764" width="4.42578125" style="2" customWidth="1"/>
    <col min="12765" max="12765" width="10" style="2" customWidth="1"/>
    <col min="12766" max="12766" width="7.85546875" style="2" customWidth="1"/>
    <col min="12767" max="12767" width="10" style="2" customWidth="1"/>
    <col min="12768" max="12768" width="10.140625" style="2" customWidth="1"/>
    <col min="12769" max="12769" width="8.28515625" style="2" customWidth="1"/>
    <col min="12770" max="12770" width="7.7109375" style="2" customWidth="1"/>
    <col min="12771" max="12771" width="8.42578125" style="2" customWidth="1"/>
    <col min="12772" max="12772" width="10" style="2" customWidth="1"/>
    <col min="12773" max="12773" width="8.28515625" style="2" customWidth="1"/>
    <col min="12774" max="12774" width="9.42578125" style="2" customWidth="1"/>
    <col min="12775" max="12775" width="10.7109375" style="2" customWidth="1"/>
    <col min="12776" max="12776" width="9" style="2" customWidth="1"/>
    <col min="12777" max="12777" width="7.7109375" style="2" customWidth="1"/>
    <col min="12778" max="12778" width="9" style="2" customWidth="1"/>
    <col min="12779" max="12779" width="6.85546875" style="2" customWidth="1"/>
    <col min="12780" max="12780" width="9.7109375" style="2" customWidth="1"/>
    <col min="12781" max="12781" width="7.28515625" style="2" customWidth="1"/>
    <col min="12782" max="12782" width="11.42578125" style="2" customWidth="1"/>
    <col min="12783" max="12783" width="2.85546875" style="2" customWidth="1"/>
    <col min="12784" max="12784" width="6.28515625" style="2" customWidth="1"/>
    <col min="12785" max="12785" width="6.42578125" style="2" customWidth="1"/>
    <col min="12786" max="12786" width="10.140625" style="2" bestFit="1" customWidth="1"/>
    <col min="12787" max="12787" width="11.28515625" style="2" bestFit="1" customWidth="1"/>
    <col min="12788" max="12788" width="8.85546875" style="2" bestFit="1" customWidth="1"/>
    <col min="12789" max="12789" width="12.85546875" style="2" bestFit="1" customWidth="1"/>
    <col min="12790" max="12790" width="10.85546875" style="2" bestFit="1" customWidth="1"/>
    <col min="12791" max="12791" width="9.28515625" style="2" customWidth="1"/>
    <col min="12792" max="12792" width="11.5703125" style="2" customWidth="1"/>
    <col min="12793" max="12793" width="9.85546875" style="2" bestFit="1" customWidth="1"/>
    <col min="12794" max="12794" width="15.140625" style="2" customWidth="1"/>
    <col min="12795" max="12802" width="0" style="2" hidden="1" customWidth="1"/>
    <col min="12803" max="12997" width="18.5703125" style="2"/>
    <col min="12998" max="12998" width="21.140625" style="2" bestFit="1" customWidth="1"/>
    <col min="12999" max="12999" width="8.42578125" style="2" customWidth="1"/>
    <col min="13000" max="13000" width="8.42578125" style="2" bestFit="1" customWidth="1"/>
    <col min="13001" max="13002" width="9.28515625" style="2" bestFit="1" customWidth="1"/>
    <col min="13003" max="13003" width="9.5703125" style="2" bestFit="1" customWidth="1"/>
    <col min="13004" max="13004" width="9" style="2" bestFit="1" customWidth="1"/>
    <col min="13005" max="13005" width="7.85546875" style="2" customWidth="1"/>
    <col min="13006" max="13006" width="9.140625" style="2" customWidth="1"/>
    <col min="13007" max="13007" width="10.5703125" style="2" customWidth="1"/>
    <col min="13008" max="13008" width="9.85546875" style="2" customWidth="1"/>
    <col min="13009" max="13009" width="9" style="2" customWidth="1"/>
    <col min="13010" max="13010" width="9.140625" style="2" customWidth="1"/>
    <col min="13011" max="13011" width="10.7109375" style="2" customWidth="1"/>
    <col min="13012" max="13012" width="8.5703125" style="2" customWidth="1"/>
    <col min="13013" max="13013" width="4.42578125" style="2" customWidth="1"/>
    <col min="13014" max="13014" width="7.42578125" style="2" customWidth="1"/>
    <col min="13015" max="13015" width="7.7109375" style="2" customWidth="1"/>
    <col min="13016" max="13016" width="9.85546875" style="2" customWidth="1"/>
    <col min="13017" max="13017" width="7.42578125" style="2" customWidth="1"/>
    <col min="13018" max="13018" width="9.5703125" style="2" customWidth="1"/>
    <col min="13019" max="13019" width="11.28515625" style="2" customWidth="1"/>
    <col min="13020" max="13020" width="4.42578125" style="2" customWidth="1"/>
    <col min="13021" max="13021" width="10" style="2" customWidth="1"/>
    <col min="13022" max="13022" width="7.85546875" style="2" customWidth="1"/>
    <col min="13023" max="13023" width="10" style="2" customWidth="1"/>
    <col min="13024" max="13024" width="10.140625" style="2" customWidth="1"/>
    <col min="13025" max="13025" width="8.28515625" style="2" customWidth="1"/>
    <col min="13026" max="13026" width="7.7109375" style="2" customWidth="1"/>
    <col min="13027" max="13027" width="8.42578125" style="2" customWidth="1"/>
    <col min="13028" max="13028" width="10" style="2" customWidth="1"/>
    <col min="13029" max="13029" width="8.28515625" style="2" customWidth="1"/>
    <col min="13030" max="13030" width="9.42578125" style="2" customWidth="1"/>
    <col min="13031" max="13031" width="10.7109375" style="2" customWidth="1"/>
    <col min="13032" max="13032" width="9" style="2" customWidth="1"/>
    <col min="13033" max="13033" width="7.7109375" style="2" customWidth="1"/>
    <col min="13034" max="13034" width="9" style="2" customWidth="1"/>
    <col min="13035" max="13035" width="6.85546875" style="2" customWidth="1"/>
    <col min="13036" max="13036" width="9.7109375" style="2" customWidth="1"/>
    <col min="13037" max="13037" width="7.28515625" style="2" customWidth="1"/>
    <col min="13038" max="13038" width="11.42578125" style="2" customWidth="1"/>
    <col min="13039" max="13039" width="2.85546875" style="2" customWidth="1"/>
    <col min="13040" max="13040" width="6.28515625" style="2" customWidth="1"/>
    <col min="13041" max="13041" width="6.42578125" style="2" customWidth="1"/>
    <col min="13042" max="13042" width="10.140625" style="2" bestFit="1" customWidth="1"/>
    <col min="13043" max="13043" width="11.28515625" style="2" bestFit="1" customWidth="1"/>
    <col min="13044" max="13044" width="8.85546875" style="2" bestFit="1" customWidth="1"/>
    <col min="13045" max="13045" width="12.85546875" style="2" bestFit="1" customWidth="1"/>
    <col min="13046" max="13046" width="10.85546875" style="2" bestFit="1" customWidth="1"/>
    <col min="13047" max="13047" width="9.28515625" style="2" customWidth="1"/>
    <col min="13048" max="13048" width="11.5703125" style="2" customWidth="1"/>
    <col min="13049" max="13049" width="9.85546875" style="2" bestFit="1" customWidth="1"/>
    <col min="13050" max="13050" width="15.140625" style="2" customWidth="1"/>
    <col min="13051" max="13058" width="0" style="2" hidden="1" customWidth="1"/>
    <col min="13059" max="13253" width="18.5703125" style="2"/>
    <col min="13254" max="13254" width="21.140625" style="2" bestFit="1" customWidth="1"/>
    <col min="13255" max="13255" width="8.42578125" style="2" customWidth="1"/>
    <col min="13256" max="13256" width="8.42578125" style="2" bestFit="1" customWidth="1"/>
    <col min="13257" max="13258" width="9.28515625" style="2" bestFit="1" customWidth="1"/>
    <col min="13259" max="13259" width="9.5703125" style="2" bestFit="1" customWidth="1"/>
    <col min="13260" max="13260" width="9" style="2" bestFit="1" customWidth="1"/>
    <col min="13261" max="13261" width="7.85546875" style="2" customWidth="1"/>
    <col min="13262" max="13262" width="9.140625" style="2" customWidth="1"/>
    <col min="13263" max="13263" width="10.5703125" style="2" customWidth="1"/>
    <col min="13264" max="13264" width="9.85546875" style="2" customWidth="1"/>
    <col min="13265" max="13265" width="9" style="2" customWidth="1"/>
    <col min="13266" max="13266" width="9.140625" style="2" customWidth="1"/>
    <col min="13267" max="13267" width="10.7109375" style="2" customWidth="1"/>
    <col min="13268" max="13268" width="8.5703125" style="2" customWidth="1"/>
    <col min="13269" max="13269" width="4.42578125" style="2" customWidth="1"/>
    <col min="13270" max="13270" width="7.42578125" style="2" customWidth="1"/>
    <col min="13271" max="13271" width="7.7109375" style="2" customWidth="1"/>
    <col min="13272" max="13272" width="9.85546875" style="2" customWidth="1"/>
    <col min="13273" max="13273" width="7.42578125" style="2" customWidth="1"/>
    <col min="13274" max="13274" width="9.5703125" style="2" customWidth="1"/>
    <col min="13275" max="13275" width="11.28515625" style="2" customWidth="1"/>
    <col min="13276" max="13276" width="4.42578125" style="2" customWidth="1"/>
    <col min="13277" max="13277" width="10" style="2" customWidth="1"/>
    <col min="13278" max="13278" width="7.85546875" style="2" customWidth="1"/>
    <col min="13279" max="13279" width="10" style="2" customWidth="1"/>
    <col min="13280" max="13280" width="10.140625" style="2" customWidth="1"/>
    <col min="13281" max="13281" width="8.28515625" style="2" customWidth="1"/>
    <col min="13282" max="13282" width="7.7109375" style="2" customWidth="1"/>
    <col min="13283" max="13283" width="8.42578125" style="2" customWidth="1"/>
    <col min="13284" max="13284" width="10" style="2" customWidth="1"/>
    <col min="13285" max="13285" width="8.28515625" style="2" customWidth="1"/>
    <col min="13286" max="13286" width="9.42578125" style="2" customWidth="1"/>
    <col min="13287" max="13287" width="10.7109375" style="2" customWidth="1"/>
    <col min="13288" max="13288" width="9" style="2" customWidth="1"/>
    <col min="13289" max="13289" width="7.7109375" style="2" customWidth="1"/>
    <col min="13290" max="13290" width="9" style="2" customWidth="1"/>
    <col min="13291" max="13291" width="6.85546875" style="2" customWidth="1"/>
    <col min="13292" max="13292" width="9.7109375" style="2" customWidth="1"/>
    <col min="13293" max="13293" width="7.28515625" style="2" customWidth="1"/>
    <col min="13294" max="13294" width="11.42578125" style="2" customWidth="1"/>
    <col min="13295" max="13295" width="2.85546875" style="2" customWidth="1"/>
    <col min="13296" max="13296" width="6.28515625" style="2" customWidth="1"/>
    <col min="13297" max="13297" width="6.42578125" style="2" customWidth="1"/>
    <col min="13298" max="13298" width="10.140625" style="2" bestFit="1" customWidth="1"/>
    <col min="13299" max="13299" width="11.28515625" style="2" bestFit="1" customWidth="1"/>
    <col min="13300" max="13300" width="8.85546875" style="2" bestFit="1" customWidth="1"/>
    <col min="13301" max="13301" width="12.85546875" style="2" bestFit="1" customWidth="1"/>
    <col min="13302" max="13302" width="10.85546875" style="2" bestFit="1" customWidth="1"/>
    <col min="13303" max="13303" width="9.28515625" style="2" customWidth="1"/>
    <col min="13304" max="13304" width="11.5703125" style="2" customWidth="1"/>
    <col min="13305" max="13305" width="9.85546875" style="2" bestFit="1" customWidth="1"/>
    <col min="13306" max="13306" width="15.140625" style="2" customWidth="1"/>
    <col min="13307" max="13314" width="0" style="2" hidden="1" customWidth="1"/>
    <col min="13315" max="13509" width="18.5703125" style="2"/>
    <col min="13510" max="13510" width="21.140625" style="2" bestFit="1" customWidth="1"/>
    <col min="13511" max="13511" width="8.42578125" style="2" customWidth="1"/>
    <col min="13512" max="13512" width="8.42578125" style="2" bestFit="1" customWidth="1"/>
    <col min="13513" max="13514" width="9.28515625" style="2" bestFit="1" customWidth="1"/>
    <col min="13515" max="13515" width="9.5703125" style="2" bestFit="1" customWidth="1"/>
    <col min="13516" max="13516" width="9" style="2" bestFit="1" customWidth="1"/>
    <col min="13517" max="13517" width="7.85546875" style="2" customWidth="1"/>
    <col min="13518" max="13518" width="9.140625" style="2" customWidth="1"/>
    <col min="13519" max="13519" width="10.5703125" style="2" customWidth="1"/>
    <col min="13520" max="13520" width="9.85546875" style="2" customWidth="1"/>
    <col min="13521" max="13521" width="9" style="2" customWidth="1"/>
    <col min="13522" max="13522" width="9.140625" style="2" customWidth="1"/>
    <col min="13523" max="13523" width="10.7109375" style="2" customWidth="1"/>
    <col min="13524" max="13524" width="8.5703125" style="2" customWidth="1"/>
    <col min="13525" max="13525" width="4.42578125" style="2" customWidth="1"/>
    <col min="13526" max="13526" width="7.42578125" style="2" customWidth="1"/>
    <col min="13527" max="13527" width="7.7109375" style="2" customWidth="1"/>
    <col min="13528" max="13528" width="9.85546875" style="2" customWidth="1"/>
    <col min="13529" max="13529" width="7.42578125" style="2" customWidth="1"/>
    <col min="13530" max="13530" width="9.5703125" style="2" customWidth="1"/>
    <col min="13531" max="13531" width="11.28515625" style="2" customWidth="1"/>
    <col min="13532" max="13532" width="4.42578125" style="2" customWidth="1"/>
    <col min="13533" max="13533" width="10" style="2" customWidth="1"/>
    <col min="13534" max="13534" width="7.85546875" style="2" customWidth="1"/>
    <col min="13535" max="13535" width="10" style="2" customWidth="1"/>
    <col min="13536" max="13536" width="10.140625" style="2" customWidth="1"/>
    <col min="13537" max="13537" width="8.28515625" style="2" customWidth="1"/>
    <col min="13538" max="13538" width="7.7109375" style="2" customWidth="1"/>
    <col min="13539" max="13539" width="8.42578125" style="2" customWidth="1"/>
    <col min="13540" max="13540" width="10" style="2" customWidth="1"/>
    <col min="13541" max="13541" width="8.28515625" style="2" customWidth="1"/>
    <col min="13542" max="13542" width="9.42578125" style="2" customWidth="1"/>
    <col min="13543" max="13543" width="10.7109375" style="2" customWidth="1"/>
    <col min="13544" max="13544" width="9" style="2" customWidth="1"/>
    <col min="13545" max="13545" width="7.7109375" style="2" customWidth="1"/>
    <col min="13546" max="13546" width="9" style="2" customWidth="1"/>
    <col min="13547" max="13547" width="6.85546875" style="2" customWidth="1"/>
    <col min="13548" max="13548" width="9.7109375" style="2" customWidth="1"/>
    <col min="13549" max="13549" width="7.28515625" style="2" customWidth="1"/>
    <col min="13550" max="13550" width="11.42578125" style="2" customWidth="1"/>
    <col min="13551" max="13551" width="2.85546875" style="2" customWidth="1"/>
    <col min="13552" max="13552" width="6.28515625" style="2" customWidth="1"/>
    <col min="13553" max="13553" width="6.42578125" style="2" customWidth="1"/>
    <col min="13554" max="13554" width="10.140625" style="2" bestFit="1" customWidth="1"/>
    <col min="13555" max="13555" width="11.28515625" style="2" bestFit="1" customWidth="1"/>
    <col min="13556" max="13556" width="8.85546875" style="2" bestFit="1" customWidth="1"/>
    <col min="13557" max="13557" width="12.85546875" style="2" bestFit="1" customWidth="1"/>
    <col min="13558" max="13558" width="10.85546875" style="2" bestFit="1" customWidth="1"/>
    <col min="13559" max="13559" width="9.28515625" style="2" customWidth="1"/>
    <col min="13560" max="13560" width="11.5703125" style="2" customWidth="1"/>
    <col min="13561" max="13561" width="9.85546875" style="2" bestFit="1" customWidth="1"/>
    <col min="13562" max="13562" width="15.140625" style="2" customWidth="1"/>
    <col min="13563" max="13570" width="0" style="2" hidden="1" customWidth="1"/>
    <col min="13571" max="13765" width="18.5703125" style="2"/>
    <col min="13766" max="13766" width="21.140625" style="2" bestFit="1" customWidth="1"/>
    <col min="13767" max="13767" width="8.42578125" style="2" customWidth="1"/>
    <col min="13768" max="13768" width="8.42578125" style="2" bestFit="1" customWidth="1"/>
    <col min="13769" max="13770" width="9.28515625" style="2" bestFit="1" customWidth="1"/>
    <col min="13771" max="13771" width="9.5703125" style="2" bestFit="1" customWidth="1"/>
    <col min="13772" max="13772" width="9" style="2" bestFit="1" customWidth="1"/>
    <col min="13773" max="13773" width="7.85546875" style="2" customWidth="1"/>
    <col min="13774" max="13774" width="9.140625" style="2" customWidth="1"/>
    <col min="13775" max="13775" width="10.5703125" style="2" customWidth="1"/>
    <col min="13776" max="13776" width="9.85546875" style="2" customWidth="1"/>
    <col min="13777" max="13777" width="9" style="2" customWidth="1"/>
    <col min="13778" max="13778" width="9.140625" style="2" customWidth="1"/>
    <col min="13779" max="13779" width="10.7109375" style="2" customWidth="1"/>
    <col min="13780" max="13780" width="8.5703125" style="2" customWidth="1"/>
    <col min="13781" max="13781" width="4.42578125" style="2" customWidth="1"/>
    <col min="13782" max="13782" width="7.42578125" style="2" customWidth="1"/>
    <col min="13783" max="13783" width="7.7109375" style="2" customWidth="1"/>
    <col min="13784" max="13784" width="9.85546875" style="2" customWidth="1"/>
    <col min="13785" max="13785" width="7.42578125" style="2" customWidth="1"/>
    <col min="13786" max="13786" width="9.5703125" style="2" customWidth="1"/>
    <col min="13787" max="13787" width="11.28515625" style="2" customWidth="1"/>
    <col min="13788" max="13788" width="4.42578125" style="2" customWidth="1"/>
    <col min="13789" max="13789" width="10" style="2" customWidth="1"/>
    <col min="13790" max="13790" width="7.85546875" style="2" customWidth="1"/>
    <col min="13791" max="13791" width="10" style="2" customWidth="1"/>
    <col min="13792" max="13792" width="10.140625" style="2" customWidth="1"/>
    <col min="13793" max="13793" width="8.28515625" style="2" customWidth="1"/>
    <col min="13794" max="13794" width="7.7109375" style="2" customWidth="1"/>
    <col min="13795" max="13795" width="8.42578125" style="2" customWidth="1"/>
    <col min="13796" max="13796" width="10" style="2" customWidth="1"/>
    <col min="13797" max="13797" width="8.28515625" style="2" customWidth="1"/>
    <col min="13798" max="13798" width="9.42578125" style="2" customWidth="1"/>
    <col min="13799" max="13799" width="10.7109375" style="2" customWidth="1"/>
    <col min="13800" max="13800" width="9" style="2" customWidth="1"/>
    <col min="13801" max="13801" width="7.7109375" style="2" customWidth="1"/>
    <col min="13802" max="13802" width="9" style="2" customWidth="1"/>
    <col min="13803" max="13803" width="6.85546875" style="2" customWidth="1"/>
    <col min="13804" max="13804" width="9.7109375" style="2" customWidth="1"/>
    <col min="13805" max="13805" width="7.28515625" style="2" customWidth="1"/>
    <col min="13806" max="13806" width="11.42578125" style="2" customWidth="1"/>
    <col min="13807" max="13807" width="2.85546875" style="2" customWidth="1"/>
    <col min="13808" max="13808" width="6.28515625" style="2" customWidth="1"/>
    <col min="13809" max="13809" width="6.42578125" style="2" customWidth="1"/>
    <col min="13810" max="13810" width="10.140625" style="2" bestFit="1" customWidth="1"/>
    <col min="13811" max="13811" width="11.28515625" style="2" bestFit="1" customWidth="1"/>
    <col min="13812" max="13812" width="8.85546875" style="2" bestFit="1" customWidth="1"/>
    <col min="13813" max="13813" width="12.85546875" style="2" bestFit="1" customWidth="1"/>
    <col min="13814" max="13814" width="10.85546875" style="2" bestFit="1" customWidth="1"/>
    <col min="13815" max="13815" width="9.28515625" style="2" customWidth="1"/>
    <col min="13816" max="13816" width="11.5703125" style="2" customWidth="1"/>
    <col min="13817" max="13817" width="9.85546875" style="2" bestFit="1" customWidth="1"/>
    <col min="13818" max="13818" width="15.140625" style="2" customWidth="1"/>
    <col min="13819" max="13826" width="0" style="2" hidden="1" customWidth="1"/>
    <col min="13827" max="14021" width="18.5703125" style="2"/>
    <col min="14022" max="14022" width="21.140625" style="2" bestFit="1" customWidth="1"/>
    <col min="14023" max="14023" width="8.42578125" style="2" customWidth="1"/>
    <col min="14024" max="14024" width="8.42578125" style="2" bestFit="1" customWidth="1"/>
    <col min="14025" max="14026" width="9.28515625" style="2" bestFit="1" customWidth="1"/>
    <col min="14027" max="14027" width="9.5703125" style="2" bestFit="1" customWidth="1"/>
    <col min="14028" max="14028" width="9" style="2" bestFit="1" customWidth="1"/>
    <col min="14029" max="14029" width="7.85546875" style="2" customWidth="1"/>
    <col min="14030" max="14030" width="9.140625" style="2" customWidth="1"/>
    <col min="14031" max="14031" width="10.5703125" style="2" customWidth="1"/>
    <col min="14032" max="14032" width="9.85546875" style="2" customWidth="1"/>
    <col min="14033" max="14033" width="9" style="2" customWidth="1"/>
    <col min="14034" max="14034" width="9.140625" style="2" customWidth="1"/>
    <col min="14035" max="14035" width="10.7109375" style="2" customWidth="1"/>
    <col min="14036" max="14036" width="8.5703125" style="2" customWidth="1"/>
    <col min="14037" max="14037" width="4.42578125" style="2" customWidth="1"/>
    <col min="14038" max="14038" width="7.42578125" style="2" customWidth="1"/>
    <col min="14039" max="14039" width="7.7109375" style="2" customWidth="1"/>
    <col min="14040" max="14040" width="9.85546875" style="2" customWidth="1"/>
    <col min="14041" max="14041" width="7.42578125" style="2" customWidth="1"/>
    <col min="14042" max="14042" width="9.5703125" style="2" customWidth="1"/>
    <col min="14043" max="14043" width="11.28515625" style="2" customWidth="1"/>
    <col min="14044" max="14044" width="4.42578125" style="2" customWidth="1"/>
    <col min="14045" max="14045" width="10" style="2" customWidth="1"/>
    <col min="14046" max="14046" width="7.85546875" style="2" customWidth="1"/>
    <col min="14047" max="14047" width="10" style="2" customWidth="1"/>
    <col min="14048" max="14048" width="10.140625" style="2" customWidth="1"/>
    <col min="14049" max="14049" width="8.28515625" style="2" customWidth="1"/>
    <col min="14050" max="14050" width="7.7109375" style="2" customWidth="1"/>
    <col min="14051" max="14051" width="8.42578125" style="2" customWidth="1"/>
    <col min="14052" max="14052" width="10" style="2" customWidth="1"/>
    <col min="14053" max="14053" width="8.28515625" style="2" customWidth="1"/>
    <col min="14054" max="14054" width="9.42578125" style="2" customWidth="1"/>
    <col min="14055" max="14055" width="10.7109375" style="2" customWidth="1"/>
    <col min="14056" max="14056" width="9" style="2" customWidth="1"/>
    <col min="14057" max="14057" width="7.7109375" style="2" customWidth="1"/>
    <col min="14058" max="14058" width="9" style="2" customWidth="1"/>
    <col min="14059" max="14059" width="6.85546875" style="2" customWidth="1"/>
    <col min="14060" max="14060" width="9.7109375" style="2" customWidth="1"/>
    <col min="14061" max="14061" width="7.28515625" style="2" customWidth="1"/>
    <col min="14062" max="14062" width="11.42578125" style="2" customWidth="1"/>
    <col min="14063" max="14063" width="2.85546875" style="2" customWidth="1"/>
    <col min="14064" max="14064" width="6.28515625" style="2" customWidth="1"/>
    <col min="14065" max="14065" width="6.42578125" style="2" customWidth="1"/>
    <col min="14066" max="14066" width="10.140625" style="2" bestFit="1" customWidth="1"/>
    <col min="14067" max="14067" width="11.28515625" style="2" bestFit="1" customWidth="1"/>
    <col min="14068" max="14068" width="8.85546875" style="2" bestFit="1" customWidth="1"/>
    <col min="14069" max="14069" width="12.85546875" style="2" bestFit="1" customWidth="1"/>
    <col min="14070" max="14070" width="10.85546875" style="2" bestFit="1" customWidth="1"/>
    <col min="14071" max="14071" width="9.28515625" style="2" customWidth="1"/>
    <col min="14072" max="14072" width="11.5703125" style="2" customWidth="1"/>
    <col min="14073" max="14073" width="9.85546875" style="2" bestFit="1" customWidth="1"/>
    <col min="14074" max="14074" width="15.140625" style="2" customWidth="1"/>
    <col min="14075" max="14082" width="0" style="2" hidden="1" customWidth="1"/>
    <col min="14083" max="14277" width="18.5703125" style="2"/>
    <col min="14278" max="14278" width="21.140625" style="2" bestFit="1" customWidth="1"/>
    <col min="14279" max="14279" width="8.42578125" style="2" customWidth="1"/>
    <col min="14280" max="14280" width="8.42578125" style="2" bestFit="1" customWidth="1"/>
    <col min="14281" max="14282" width="9.28515625" style="2" bestFit="1" customWidth="1"/>
    <col min="14283" max="14283" width="9.5703125" style="2" bestFit="1" customWidth="1"/>
    <col min="14284" max="14284" width="9" style="2" bestFit="1" customWidth="1"/>
    <col min="14285" max="14285" width="7.85546875" style="2" customWidth="1"/>
    <col min="14286" max="14286" width="9.140625" style="2" customWidth="1"/>
    <col min="14287" max="14287" width="10.5703125" style="2" customWidth="1"/>
    <col min="14288" max="14288" width="9.85546875" style="2" customWidth="1"/>
    <col min="14289" max="14289" width="9" style="2" customWidth="1"/>
    <col min="14290" max="14290" width="9.140625" style="2" customWidth="1"/>
    <col min="14291" max="14291" width="10.7109375" style="2" customWidth="1"/>
    <col min="14292" max="14292" width="8.5703125" style="2" customWidth="1"/>
    <col min="14293" max="14293" width="4.42578125" style="2" customWidth="1"/>
    <col min="14294" max="14294" width="7.42578125" style="2" customWidth="1"/>
    <col min="14295" max="14295" width="7.7109375" style="2" customWidth="1"/>
    <col min="14296" max="14296" width="9.85546875" style="2" customWidth="1"/>
    <col min="14297" max="14297" width="7.42578125" style="2" customWidth="1"/>
    <col min="14298" max="14298" width="9.5703125" style="2" customWidth="1"/>
    <col min="14299" max="14299" width="11.28515625" style="2" customWidth="1"/>
    <col min="14300" max="14300" width="4.42578125" style="2" customWidth="1"/>
    <col min="14301" max="14301" width="10" style="2" customWidth="1"/>
    <col min="14302" max="14302" width="7.85546875" style="2" customWidth="1"/>
    <col min="14303" max="14303" width="10" style="2" customWidth="1"/>
    <col min="14304" max="14304" width="10.140625" style="2" customWidth="1"/>
    <col min="14305" max="14305" width="8.28515625" style="2" customWidth="1"/>
    <col min="14306" max="14306" width="7.7109375" style="2" customWidth="1"/>
    <col min="14307" max="14307" width="8.42578125" style="2" customWidth="1"/>
    <col min="14308" max="14308" width="10" style="2" customWidth="1"/>
    <col min="14309" max="14309" width="8.28515625" style="2" customWidth="1"/>
    <col min="14310" max="14310" width="9.42578125" style="2" customWidth="1"/>
    <col min="14311" max="14311" width="10.7109375" style="2" customWidth="1"/>
    <col min="14312" max="14312" width="9" style="2" customWidth="1"/>
    <col min="14313" max="14313" width="7.7109375" style="2" customWidth="1"/>
    <col min="14314" max="14314" width="9" style="2" customWidth="1"/>
    <col min="14315" max="14315" width="6.85546875" style="2" customWidth="1"/>
    <col min="14316" max="14316" width="9.7109375" style="2" customWidth="1"/>
    <col min="14317" max="14317" width="7.28515625" style="2" customWidth="1"/>
    <col min="14318" max="14318" width="11.42578125" style="2" customWidth="1"/>
    <col min="14319" max="14319" width="2.85546875" style="2" customWidth="1"/>
    <col min="14320" max="14320" width="6.28515625" style="2" customWidth="1"/>
    <col min="14321" max="14321" width="6.42578125" style="2" customWidth="1"/>
    <col min="14322" max="14322" width="10.140625" style="2" bestFit="1" customWidth="1"/>
    <col min="14323" max="14323" width="11.28515625" style="2" bestFit="1" customWidth="1"/>
    <col min="14324" max="14324" width="8.85546875" style="2" bestFit="1" customWidth="1"/>
    <col min="14325" max="14325" width="12.85546875" style="2" bestFit="1" customWidth="1"/>
    <col min="14326" max="14326" width="10.85546875" style="2" bestFit="1" customWidth="1"/>
    <col min="14327" max="14327" width="9.28515625" style="2" customWidth="1"/>
    <col min="14328" max="14328" width="11.5703125" style="2" customWidth="1"/>
    <col min="14329" max="14329" width="9.85546875" style="2" bestFit="1" customWidth="1"/>
    <col min="14330" max="14330" width="15.140625" style="2" customWidth="1"/>
    <col min="14331" max="14338" width="0" style="2" hidden="1" customWidth="1"/>
    <col min="14339" max="14533" width="18.5703125" style="2"/>
    <col min="14534" max="14534" width="21.140625" style="2" bestFit="1" customWidth="1"/>
    <col min="14535" max="14535" width="8.42578125" style="2" customWidth="1"/>
    <col min="14536" max="14536" width="8.42578125" style="2" bestFit="1" customWidth="1"/>
    <col min="14537" max="14538" width="9.28515625" style="2" bestFit="1" customWidth="1"/>
    <col min="14539" max="14539" width="9.5703125" style="2" bestFit="1" customWidth="1"/>
    <col min="14540" max="14540" width="9" style="2" bestFit="1" customWidth="1"/>
    <col min="14541" max="14541" width="7.85546875" style="2" customWidth="1"/>
    <col min="14542" max="14542" width="9.140625" style="2" customWidth="1"/>
    <col min="14543" max="14543" width="10.5703125" style="2" customWidth="1"/>
    <col min="14544" max="14544" width="9.85546875" style="2" customWidth="1"/>
    <col min="14545" max="14545" width="9" style="2" customWidth="1"/>
    <col min="14546" max="14546" width="9.140625" style="2" customWidth="1"/>
    <col min="14547" max="14547" width="10.7109375" style="2" customWidth="1"/>
    <col min="14548" max="14548" width="8.5703125" style="2" customWidth="1"/>
    <col min="14549" max="14549" width="4.42578125" style="2" customWidth="1"/>
    <col min="14550" max="14550" width="7.42578125" style="2" customWidth="1"/>
    <col min="14551" max="14551" width="7.7109375" style="2" customWidth="1"/>
    <col min="14552" max="14552" width="9.85546875" style="2" customWidth="1"/>
    <col min="14553" max="14553" width="7.42578125" style="2" customWidth="1"/>
    <col min="14554" max="14554" width="9.5703125" style="2" customWidth="1"/>
    <col min="14555" max="14555" width="11.28515625" style="2" customWidth="1"/>
    <col min="14556" max="14556" width="4.42578125" style="2" customWidth="1"/>
    <col min="14557" max="14557" width="10" style="2" customWidth="1"/>
    <col min="14558" max="14558" width="7.85546875" style="2" customWidth="1"/>
    <col min="14559" max="14559" width="10" style="2" customWidth="1"/>
    <col min="14560" max="14560" width="10.140625" style="2" customWidth="1"/>
    <col min="14561" max="14561" width="8.28515625" style="2" customWidth="1"/>
    <col min="14562" max="14562" width="7.7109375" style="2" customWidth="1"/>
    <col min="14563" max="14563" width="8.42578125" style="2" customWidth="1"/>
    <col min="14564" max="14564" width="10" style="2" customWidth="1"/>
    <col min="14565" max="14565" width="8.28515625" style="2" customWidth="1"/>
    <col min="14566" max="14566" width="9.42578125" style="2" customWidth="1"/>
    <col min="14567" max="14567" width="10.7109375" style="2" customWidth="1"/>
    <col min="14568" max="14568" width="9" style="2" customWidth="1"/>
    <col min="14569" max="14569" width="7.7109375" style="2" customWidth="1"/>
    <col min="14570" max="14570" width="9" style="2" customWidth="1"/>
    <col min="14571" max="14571" width="6.85546875" style="2" customWidth="1"/>
    <col min="14572" max="14572" width="9.7109375" style="2" customWidth="1"/>
    <col min="14573" max="14573" width="7.28515625" style="2" customWidth="1"/>
    <col min="14574" max="14574" width="11.42578125" style="2" customWidth="1"/>
    <col min="14575" max="14575" width="2.85546875" style="2" customWidth="1"/>
    <col min="14576" max="14576" width="6.28515625" style="2" customWidth="1"/>
    <col min="14577" max="14577" width="6.42578125" style="2" customWidth="1"/>
    <col min="14578" max="14578" width="10.140625" style="2" bestFit="1" customWidth="1"/>
    <col min="14579" max="14579" width="11.28515625" style="2" bestFit="1" customWidth="1"/>
    <col min="14580" max="14580" width="8.85546875" style="2" bestFit="1" customWidth="1"/>
    <col min="14581" max="14581" width="12.85546875" style="2" bestFit="1" customWidth="1"/>
    <col min="14582" max="14582" width="10.85546875" style="2" bestFit="1" customWidth="1"/>
    <col min="14583" max="14583" width="9.28515625" style="2" customWidth="1"/>
    <col min="14584" max="14584" width="11.5703125" style="2" customWidth="1"/>
    <col min="14585" max="14585" width="9.85546875" style="2" bestFit="1" customWidth="1"/>
    <col min="14586" max="14586" width="15.140625" style="2" customWidth="1"/>
    <col min="14587" max="14594" width="0" style="2" hidden="1" customWidth="1"/>
    <col min="14595" max="14789" width="18.5703125" style="2"/>
    <col min="14790" max="14790" width="21.140625" style="2" bestFit="1" customWidth="1"/>
    <col min="14791" max="14791" width="8.42578125" style="2" customWidth="1"/>
    <col min="14792" max="14792" width="8.42578125" style="2" bestFit="1" customWidth="1"/>
    <col min="14793" max="14794" width="9.28515625" style="2" bestFit="1" customWidth="1"/>
    <col min="14795" max="14795" width="9.5703125" style="2" bestFit="1" customWidth="1"/>
    <col min="14796" max="14796" width="9" style="2" bestFit="1" customWidth="1"/>
    <col min="14797" max="14797" width="7.85546875" style="2" customWidth="1"/>
    <col min="14798" max="14798" width="9.140625" style="2" customWidth="1"/>
    <col min="14799" max="14799" width="10.5703125" style="2" customWidth="1"/>
    <col min="14800" max="14800" width="9.85546875" style="2" customWidth="1"/>
    <col min="14801" max="14801" width="9" style="2" customWidth="1"/>
    <col min="14802" max="14802" width="9.140625" style="2" customWidth="1"/>
    <col min="14803" max="14803" width="10.7109375" style="2" customWidth="1"/>
    <col min="14804" max="14804" width="8.5703125" style="2" customWidth="1"/>
    <col min="14805" max="14805" width="4.42578125" style="2" customWidth="1"/>
    <col min="14806" max="14806" width="7.42578125" style="2" customWidth="1"/>
    <col min="14807" max="14807" width="7.7109375" style="2" customWidth="1"/>
    <col min="14808" max="14808" width="9.85546875" style="2" customWidth="1"/>
    <col min="14809" max="14809" width="7.42578125" style="2" customWidth="1"/>
    <col min="14810" max="14810" width="9.5703125" style="2" customWidth="1"/>
    <col min="14811" max="14811" width="11.28515625" style="2" customWidth="1"/>
    <col min="14812" max="14812" width="4.42578125" style="2" customWidth="1"/>
    <col min="14813" max="14813" width="10" style="2" customWidth="1"/>
    <col min="14814" max="14814" width="7.85546875" style="2" customWidth="1"/>
    <col min="14815" max="14815" width="10" style="2" customWidth="1"/>
    <col min="14816" max="14816" width="10.140625" style="2" customWidth="1"/>
    <col min="14817" max="14817" width="8.28515625" style="2" customWidth="1"/>
    <col min="14818" max="14818" width="7.7109375" style="2" customWidth="1"/>
    <col min="14819" max="14819" width="8.42578125" style="2" customWidth="1"/>
    <col min="14820" max="14820" width="10" style="2" customWidth="1"/>
    <col min="14821" max="14821" width="8.28515625" style="2" customWidth="1"/>
    <col min="14822" max="14822" width="9.42578125" style="2" customWidth="1"/>
    <col min="14823" max="14823" width="10.7109375" style="2" customWidth="1"/>
    <col min="14824" max="14824" width="9" style="2" customWidth="1"/>
    <col min="14825" max="14825" width="7.7109375" style="2" customWidth="1"/>
    <col min="14826" max="14826" width="9" style="2" customWidth="1"/>
    <col min="14827" max="14827" width="6.85546875" style="2" customWidth="1"/>
    <col min="14828" max="14828" width="9.7109375" style="2" customWidth="1"/>
    <col min="14829" max="14829" width="7.28515625" style="2" customWidth="1"/>
    <col min="14830" max="14830" width="11.42578125" style="2" customWidth="1"/>
    <col min="14831" max="14831" width="2.85546875" style="2" customWidth="1"/>
    <col min="14832" max="14832" width="6.28515625" style="2" customWidth="1"/>
    <col min="14833" max="14833" width="6.42578125" style="2" customWidth="1"/>
    <col min="14834" max="14834" width="10.140625" style="2" bestFit="1" customWidth="1"/>
    <col min="14835" max="14835" width="11.28515625" style="2" bestFit="1" customWidth="1"/>
    <col min="14836" max="14836" width="8.85546875" style="2" bestFit="1" customWidth="1"/>
    <col min="14837" max="14837" width="12.85546875" style="2" bestFit="1" customWidth="1"/>
    <col min="14838" max="14838" width="10.85546875" style="2" bestFit="1" customWidth="1"/>
    <col min="14839" max="14839" width="9.28515625" style="2" customWidth="1"/>
    <col min="14840" max="14840" width="11.5703125" style="2" customWidth="1"/>
    <col min="14841" max="14841" width="9.85546875" style="2" bestFit="1" customWidth="1"/>
    <col min="14842" max="14842" width="15.140625" style="2" customWidth="1"/>
    <col min="14843" max="14850" width="0" style="2" hidden="1" customWidth="1"/>
    <col min="14851" max="15045" width="18.5703125" style="2"/>
    <col min="15046" max="15046" width="21.140625" style="2" bestFit="1" customWidth="1"/>
    <col min="15047" max="15047" width="8.42578125" style="2" customWidth="1"/>
    <col min="15048" max="15048" width="8.42578125" style="2" bestFit="1" customWidth="1"/>
    <col min="15049" max="15050" width="9.28515625" style="2" bestFit="1" customWidth="1"/>
    <col min="15051" max="15051" width="9.5703125" style="2" bestFit="1" customWidth="1"/>
    <col min="15052" max="15052" width="9" style="2" bestFit="1" customWidth="1"/>
    <col min="15053" max="15053" width="7.85546875" style="2" customWidth="1"/>
    <col min="15054" max="15054" width="9.140625" style="2" customWidth="1"/>
    <col min="15055" max="15055" width="10.5703125" style="2" customWidth="1"/>
    <col min="15056" max="15056" width="9.85546875" style="2" customWidth="1"/>
    <col min="15057" max="15057" width="9" style="2" customWidth="1"/>
    <col min="15058" max="15058" width="9.140625" style="2" customWidth="1"/>
    <col min="15059" max="15059" width="10.7109375" style="2" customWidth="1"/>
    <col min="15060" max="15060" width="8.5703125" style="2" customWidth="1"/>
    <col min="15061" max="15061" width="4.42578125" style="2" customWidth="1"/>
    <col min="15062" max="15062" width="7.42578125" style="2" customWidth="1"/>
    <col min="15063" max="15063" width="7.7109375" style="2" customWidth="1"/>
    <col min="15064" max="15064" width="9.85546875" style="2" customWidth="1"/>
    <col min="15065" max="15065" width="7.42578125" style="2" customWidth="1"/>
    <col min="15066" max="15066" width="9.5703125" style="2" customWidth="1"/>
    <col min="15067" max="15067" width="11.28515625" style="2" customWidth="1"/>
    <col min="15068" max="15068" width="4.42578125" style="2" customWidth="1"/>
    <col min="15069" max="15069" width="10" style="2" customWidth="1"/>
    <col min="15070" max="15070" width="7.85546875" style="2" customWidth="1"/>
    <col min="15071" max="15071" width="10" style="2" customWidth="1"/>
    <col min="15072" max="15072" width="10.140625" style="2" customWidth="1"/>
    <col min="15073" max="15073" width="8.28515625" style="2" customWidth="1"/>
    <col min="15074" max="15074" width="7.7109375" style="2" customWidth="1"/>
    <col min="15075" max="15075" width="8.42578125" style="2" customWidth="1"/>
    <col min="15076" max="15076" width="10" style="2" customWidth="1"/>
    <col min="15077" max="15077" width="8.28515625" style="2" customWidth="1"/>
    <col min="15078" max="15078" width="9.42578125" style="2" customWidth="1"/>
    <col min="15079" max="15079" width="10.7109375" style="2" customWidth="1"/>
    <col min="15080" max="15080" width="9" style="2" customWidth="1"/>
    <col min="15081" max="15081" width="7.7109375" style="2" customWidth="1"/>
    <col min="15082" max="15082" width="9" style="2" customWidth="1"/>
    <col min="15083" max="15083" width="6.85546875" style="2" customWidth="1"/>
    <col min="15084" max="15084" width="9.7109375" style="2" customWidth="1"/>
    <col min="15085" max="15085" width="7.28515625" style="2" customWidth="1"/>
    <col min="15086" max="15086" width="11.42578125" style="2" customWidth="1"/>
    <col min="15087" max="15087" width="2.85546875" style="2" customWidth="1"/>
    <col min="15088" max="15088" width="6.28515625" style="2" customWidth="1"/>
    <col min="15089" max="15089" width="6.42578125" style="2" customWidth="1"/>
    <col min="15090" max="15090" width="10.140625" style="2" bestFit="1" customWidth="1"/>
    <col min="15091" max="15091" width="11.28515625" style="2" bestFit="1" customWidth="1"/>
    <col min="15092" max="15092" width="8.85546875" style="2" bestFit="1" customWidth="1"/>
    <col min="15093" max="15093" width="12.85546875" style="2" bestFit="1" customWidth="1"/>
    <col min="15094" max="15094" width="10.85546875" style="2" bestFit="1" customWidth="1"/>
    <col min="15095" max="15095" width="9.28515625" style="2" customWidth="1"/>
    <col min="15096" max="15096" width="11.5703125" style="2" customWidth="1"/>
    <col min="15097" max="15097" width="9.85546875" style="2" bestFit="1" customWidth="1"/>
    <col min="15098" max="15098" width="15.140625" style="2" customWidth="1"/>
    <col min="15099" max="15106" width="0" style="2" hidden="1" customWidth="1"/>
    <col min="15107" max="15301" width="18.5703125" style="2"/>
    <col min="15302" max="15302" width="21.140625" style="2" bestFit="1" customWidth="1"/>
    <col min="15303" max="15303" width="8.42578125" style="2" customWidth="1"/>
    <col min="15304" max="15304" width="8.42578125" style="2" bestFit="1" customWidth="1"/>
    <col min="15305" max="15306" width="9.28515625" style="2" bestFit="1" customWidth="1"/>
    <col min="15307" max="15307" width="9.5703125" style="2" bestFit="1" customWidth="1"/>
    <col min="15308" max="15308" width="9" style="2" bestFit="1" customWidth="1"/>
    <col min="15309" max="15309" width="7.85546875" style="2" customWidth="1"/>
    <col min="15310" max="15310" width="9.140625" style="2" customWidth="1"/>
    <col min="15311" max="15311" width="10.5703125" style="2" customWidth="1"/>
    <col min="15312" max="15312" width="9.85546875" style="2" customWidth="1"/>
    <col min="15313" max="15313" width="9" style="2" customWidth="1"/>
    <col min="15314" max="15314" width="9.140625" style="2" customWidth="1"/>
    <col min="15315" max="15315" width="10.7109375" style="2" customWidth="1"/>
    <col min="15316" max="15316" width="8.5703125" style="2" customWidth="1"/>
    <col min="15317" max="15317" width="4.42578125" style="2" customWidth="1"/>
    <col min="15318" max="15318" width="7.42578125" style="2" customWidth="1"/>
    <col min="15319" max="15319" width="7.7109375" style="2" customWidth="1"/>
    <col min="15320" max="15320" width="9.85546875" style="2" customWidth="1"/>
    <col min="15321" max="15321" width="7.42578125" style="2" customWidth="1"/>
    <col min="15322" max="15322" width="9.5703125" style="2" customWidth="1"/>
    <col min="15323" max="15323" width="11.28515625" style="2" customWidth="1"/>
    <col min="15324" max="15324" width="4.42578125" style="2" customWidth="1"/>
    <col min="15325" max="15325" width="10" style="2" customWidth="1"/>
    <col min="15326" max="15326" width="7.85546875" style="2" customWidth="1"/>
    <col min="15327" max="15327" width="10" style="2" customWidth="1"/>
    <col min="15328" max="15328" width="10.140625" style="2" customWidth="1"/>
    <col min="15329" max="15329" width="8.28515625" style="2" customWidth="1"/>
    <col min="15330" max="15330" width="7.7109375" style="2" customWidth="1"/>
    <col min="15331" max="15331" width="8.42578125" style="2" customWidth="1"/>
    <col min="15332" max="15332" width="10" style="2" customWidth="1"/>
    <col min="15333" max="15333" width="8.28515625" style="2" customWidth="1"/>
    <col min="15334" max="15334" width="9.42578125" style="2" customWidth="1"/>
    <col min="15335" max="15335" width="10.7109375" style="2" customWidth="1"/>
    <col min="15336" max="15336" width="9" style="2" customWidth="1"/>
    <col min="15337" max="15337" width="7.7109375" style="2" customWidth="1"/>
    <col min="15338" max="15338" width="9" style="2" customWidth="1"/>
    <col min="15339" max="15339" width="6.85546875" style="2" customWidth="1"/>
    <col min="15340" max="15340" width="9.7109375" style="2" customWidth="1"/>
    <col min="15341" max="15341" width="7.28515625" style="2" customWidth="1"/>
    <col min="15342" max="15342" width="11.42578125" style="2" customWidth="1"/>
    <col min="15343" max="15343" width="2.85546875" style="2" customWidth="1"/>
    <col min="15344" max="15344" width="6.28515625" style="2" customWidth="1"/>
    <col min="15345" max="15345" width="6.42578125" style="2" customWidth="1"/>
    <col min="15346" max="15346" width="10.140625" style="2" bestFit="1" customWidth="1"/>
    <col min="15347" max="15347" width="11.28515625" style="2" bestFit="1" customWidth="1"/>
    <col min="15348" max="15348" width="8.85546875" style="2" bestFit="1" customWidth="1"/>
    <col min="15349" max="15349" width="12.85546875" style="2" bestFit="1" customWidth="1"/>
    <col min="15350" max="15350" width="10.85546875" style="2" bestFit="1" customWidth="1"/>
    <col min="15351" max="15351" width="9.28515625" style="2" customWidth="1"/>
    <col min="15352" max="15352" width="11.5703125" style="2" customWidth="1"/>
    <col min="15353" max="15353" width="9.85546875" style="2" bestFit="1" customWidth="1"/>
    <col min="15354" max="15354" width="15.140625" style="2" customWidth="1"/>
    <col min="15355" max="15362" width="0" style="2" hidden="1" customWidth="1"/>
    <col min="15363" max="15557" width="18.5703125" style="2"/>
    <col min="15558" max="15558" width="21.140625" style="2" bestFit="1" customWidth="1"/>
    <col min="15559" max="15559" width="8.42578125" style="2" customWidth="1"/>
    <col min="15560" max="15560" width="8.42578125" style="2" bestFit="1" customWidth="1"/>
    <col min="15561" max="15562" width="9.28515625" style="2" bestFit="1" customWidth="1"/>
    <col min="15563" max="15563" width="9.5703125" style="2" bestFit="1" customWidth="1"/>
    <col min="15564" max="15564" width="9" style="2" bestFit="1" customWidth="1"/>
    <col min="15565" max="15565" width="7.85546875" style="2" customWidth="1"/>
    <col min="15566" max="15566" width="9.140625" style="2" customWidth="1"/>
    <col min="15567" max="15567" width="10.5703125" style="2" customWidth="1"/>
    <col min="15568" max="15568" width="9.85546875" style="2" customWidth="1"/>
    <col min="15569" max="15569" width="9" style="2" customWidth="1"/>
    <col min="15570" max="15570" width="9.140625" style="2" customWidth="1"/>
    <col min="15571" max="15571" width="10.7109375" style="2" customWidth="1"/>
    <col min="15572" max="15572" width="8.5703125" style="2" customWidth="1"/>
    <col min="15573" max="15573" width="4.42578125" style="2" customWidth="1"/>
    <col min="15574" max="15574" width="7.42578125" style="2" customWidth="1"/>
    <col min="15575" max="15575" width="7.7109375" style="2" customWidth="1"/>
    <col min="15576" max="15576" width="9.85546875" style="2" customWidth="1"/>
    <col min="15577" max="15577" width="7.42578125" style="2" customWidth="1"/>
    <col min="15578" max="15578" width="9.5703125" style="2" customWidth="1"/>
    <col min="15579" max="15579" width="11.28515625" style="2" customWidth="1"/>
    <col min="15580" max="15580" width="4.42578125" style="2" customWidth="1"/>
    <col min="15581" max="15581" width="10" style="2" customWidth="1"/>
    <col min="15582" max="15582" width="7.85546875" style="2" customWidth="1"/>
    <col min="15583" max="15583" width="10" style="2" customWidth="1"/>
    <col min="15584" max="15584" width="10.140625" style="2" customWidth="1"/>
    <col min="15585" max="15585" width="8.28515625" style="2" customWidth="1"/>
    <col min="15586" max="15586" width="7.7109375" style="2" customWidth="1"/>
    <col min="15587" max="15587" width="8.42578125" style="2" customWidth="1"/>
    <col min="15588" max="15588" width="10" style="2" customWidth="1"/>
    <col min="15589" max="15589" width="8.28515625" style="2" customWidth="1"/>
    <col min="15590" max="15590" width="9.42578125" style="2" customWidth="1"/>
    <col min="15591" max="15591" width="10.7109375" style="2" customWidth="1"/>
    <col min="15592" max="15592" width="9" style="2" customWidth="1"/>
    <col min="15593" max="15593" width="7.7109375" style="2" customWidth="1"/>
    <col min="15594" max="15594" width="9" style="2" customWidth="1"/>
    <col min="15595" max="15595" width="6.85546875" style="2" customWidth="1"/>
    <col min="15596" max="15596" width="9.7109375" style="2" customWidth="1"/>
    <col min="15597" max="15597" width="7.28515625" style="2" customWidth="1"/>
    <col min="15598" max="15598" width="11.42578125" style="2" customWidth="1"/>
    <col min="15599" max="15599" width="2.85546875" style="2" customWidth="1"/>
    <col min="15600" max="15600" width="6.28515625" style="2" customWidth="1"/>
    <col min="15601" max="15601" width="6.42578125" style="2" customWidth="1"/>
    <col min="15602" max="15602" width="10.140625" style="2" bestFit="1" customWidth="1"/>
    <col min="15603" max="15603" width="11.28515625" style="2" bestFit="1" customWidth="1"/>
    <col min="15604" max="15604" width="8.85546875" style="2" bestFit="1" customWidth="1"/>
    <col min="15605" max="15605" width="12.85546875" style="2" bestFit="1" customWidth="1"/>
    <col min="15606" max="15606" width="10.85546875" style="2" bestFit="1" customWidth="1"/>
    <col min="15607" max="15607" width="9.28515625" style="2" customWidth="1"/>
    <col min="15608" max="15608" width="11.5703125" style="2" customWidth="1"/>
    <col min="15609" max="15609" width="9.85546875" style="2" bestFit="1" customWidth="1"/>
    <col min="15610" max="15610" width="15.140625" style="2" customWidth="1"/>
    <col min="15611" max="15618" width="0" style="2" hidden="1" customWidth="1"/>
    <col min="15619" max="15813" width="18.5703125" style="2"/>
    <col min="15814" max="15814" width="21.140625" style="2" bestFit="1" customWidth="1"/>
    <col min="15815" max="15815" width="8.42578125" style="2" customWidth="1"/>
    <col min="15816" max="15816" width="8.42578125" style="2" bestFit="1" customWidth="1"/>
    <col min="15817" max="15818" width="9.28515625" style="2" bestFit="1" customWidth="1"/>
    <col min="15819" max="15819" width="9.5703125" style="2" bestFit="1" customWidth="1"/>
    <col min="15820" max="15820" width="9" style="2" bestFit="1" customWidth="1"/>
    <col min="15821" max="15821" width="7.85546875" style="2" customWidth="1"/>
    <col min="15822" max="15822" width="9.140625" style="2" customWidth="1"/>
    <col min="15823" max="15823" width="10.5703125" style="2" customWidth="1"/>
    <col min="15824" max="15824" width="9.85546875" style="2" customWidth="1"/>
    <col min="15825" max="15825" width="9" style="2" customWidth="1"/>
    <col min="15826" max="15826" width="9.140625" style="2" customWidth="1"/>
    <col min="15827" max="15827" width="10.7109375" style="2" customWidth="1"/>
    <col min="15828" max="15828" width="8.5703125" style="2" customWidth="1"/>
    <col min="15829" max="15829" width="4.42578125" style="2" customWidth="1"/>
    <col min="15830" max="15830" width="7.42578125" style="2" customWidth="1"/>
    <col min="15831" max="15831" width="7.7109375" style="2" customWidth="1"/>
    <col min="15832" max="15832" width="9.85546875" style="2" customWidth="1"/>
    <col min="15833" max="15833" width="7.42578125" style="2" customWidth="1"/>
    <col min="15834" max="15834" width="9.5703125" style="2" customWidth="1"/>
    <col min="15835" max="15835" width="11.28515625" style="2" customWidth="1"/>
    <col min="15836" max="15836" width="4.42578125" style="2" customWidth="1"/>
    <col min="15837" max="15837" width="10" style="2" customWidth="1"/>
    <col min="15838" max="15838" width="7.85546875" style="2" customWidth="1"/>
    <col min="15839" max="15839" width="10" style="2" customWidth="1"/>
    <col min="15840" max="15840" width="10.140625" style="2" customWidth="1"/>
    <col min="15841" max="15841" width="8.28515625" style="2" customWidth="1"/>
    <col min="15842" max="15842" width="7.7109375" style="2" customWidth="1"/>
    <col min="15843" max="15843" width="8.42578125" style="2" customWidth="1"/>
    <col min="15844" max="15844" width="10" style="2" customWidth="1"/>
    <col min="15845" max="15845" width="8.28515625" style="2" customWidth="1"/>
    <col min="15846" max="15846" width="9.42578125" style="2" customWidth="1"/>
    <col min="15847" max="15847" width="10.7109375" style="2" customWidth="1"/>
    <col min="15848" max="15848" width="9" style="2" customWidth="1"/>
    <col min="15849" max="15849" width="7.7109375" style="2" customWidth="1"/>
    <col min="15850" max="15850" width="9" style="2" customWidth="1"/>
    <col min="15851" max="15851" width="6.85546875" style="2" customWidth="1"/>
    <col min="15852" max="15852" width="9.7109375" style="2" customWidth="1"/>
    <col min="15853" max="15853" width="7.28515625" style="2" customWidth="1"/>
    <col min="15854" max="15854" width="11.42578125" style="2" customWidth="1"/>
    <col min="15855" max="15855" width="2.85546875" style="2" customWidth="1"/>
    <col min="15856" max="15856" width="6.28515625" style="2" customWidth="1"/>
    <col min="15857" max="15857" width="6.42578125" style="2" customWidth="1"/>
    <col min="15858" max="15858" width="10.140625" style="2" bestFit="1" customWidth="1"/>
    <col min="15859" max="15859" width="11.28515625" style="2" bestFit="1" customWidth="1"/>
    <col min="15860" max="15860" width="8.85546875" style="2" bestFit="1" customWidth="1"/>
    <col min="15861" max="15861" width="12.85546875" style="2" bestFit="1" customWidth="1"/>
    <col min="15862" max="15862" width="10.85546875" style="2" bestFit="1" customWidth="1"/>
    <col min="15863" max="15863" width="9.28515625" style="2" customWidth="1"/>
    <col min="15864" max="15864" width="11.5703125" style="2" customWidth="1"/>
    <col min="15865" max="15865" width="9.85546875" style="2" bestFit="1" customWidth="1"/>
    <col min="15866" max="15866" width="15.140625" style="2" customWidth="1"/>
    <col min="15867" max="15874" width="0" style="2" hidden="1" customWidth="1"/>
    <col min="15875" max="16069" width="18.5703125" style="2"/>
    <col min="16070" max="16070" width="21.140625" style="2" bestFit="1" customWidth="1"/>
    <col min="16071" max="16071" width="8.42578125" style="2" customWidth="1"/>
    <col min="16072" max="16072" width="8.42578125" style="2" bestFit="1" customWidth="1"/>
    <col min="16073" max="16074" width="9.28515625" style="2" bestFit="1" customWidth="1"/>
    <col min="16075" max="16075" width="9.5703125" style="2" bestFit="1" customWidth="1"/>
    <col min="16076" max="16076" width="9" style="2" bestFit="1" customWidth="1"/>
    <col min="16077" max="16077" width="7.85546875" style="2" customWidth="1"/>
    <col min="16078" max="16078" width="9.140625" style="2" customWidth="1"/>
    <col min="16079" max="16079" width="10.5703125" style="2" customWidth="1"/>
    <col min="16080" max="16080" width="9.85546875" style="2" customWidth="1"/>
    <col min="16081" max="16081" width="9" style="2" customWidth="1"/>
    <col min="16082" max="16082" width="9.140625" style="2" customWidth="1"/>
    <col min="16083" max="16083" width="10.7109375" style="2" customWidth="1"/>
    <col min="16084" max="16084" width="8.5703125" style="2" customWidth="1"/>
    <col min="16085" max="16085" width="4.42578125" style="2" customWidth="1"/>
    <col min="16086" max="16086" width="7.42578125" style="2" customWidth="1"/>
    <col min="16087" max="16087" width="7.7109375" style="2" customWidth="1"/>
    <col min="16088" max="16088" width="9.85546875" style="2" customWidth="1"/>
    <col min="16089" max="16089" width="7.42578125" style="2" customWidth="1"/>
    <col min="16090" max="16090" width="9.5703125" style="2" customWidth="1"/>
    <col min="16091" max="16091" width="11.28515625" style="2" customWidth="1"/>
    <col min="16092" max="16092" width="4.42578125" style="2" customWidth="1"/>
    <col min="16093" max="16093" width="10" style="2" customWidth="1"/>
    <col min="16094" max="16094" width="7.85546875" style="2" customWidth="1"/>
    <col min="16095" max="16095" width="10" style="2" customWidth="1"/>
    <col min="16096" max="16096" width="10.140625" style="2" customWidth="1"/>
    <col min="16097" max="16097" width="8.28515625" style="2" customWidth="1"/>
    <col min="16098" max="16098" width="7.7109375" style="2" customWidth="1"/>
    <col min="16099" max="16099" width="8.42578125" style="2" customWidth="1"/>
    <col min="16100" max="16100" width="10" style="2" customWidth="1"/>
    <col min="16101" max="16101" width="8.28515625" style="2" customWidth="1"/>
    <col min="16102" max="16102" width="9.42578125" style="2" customWidth="1"/>
    <col min="16103" max="16103" width="10.7109375" style="2" customWidth="1"/>
    <col min="16104" max="16104" width="9" style="2" customWidth="1"/>
    <col min="16105" max="16105" width="7.7109375" style="2" customWidth="1"/>
    <col min="16106" max="16106" width="9" style="2" customWidth="1"/>
    <col min="16107" max="16107" width="6.85546875" style="2" customWidth="1"/>
    <col min="16108" max="16108" width="9.7109375" style="2" customWidth="1"/>
    <col min="16109" max="16109" width="7.28515625" style="2" customWidth="1"/>
    <col min="16110" max="16110" width="11.42578125" style="2" customWidth="1"/>
    <col min="16111" max="16111" width="2.85546875" style="2" customWidth="1"/>
    <col min="16112" max="16112" width="6.28515625" style="2" customWidth="1"/>
    <col min="16113" max="16113" width="6.42578125" style="2" customWidth="1"/>
    <col min="16114" max="16114" width="10.140625" style="2" bestFit="1" customWidth="1"/>
    <col min="16115" max="16115" width="11.28515625" style="2" bestFit="1" customWidth="1"/>
    <col min="16116" max="16116" width="8.85546875" style="2" bestFit="1" customWidth="1"/>
    <col min="16117" max="16117" width="12.85546875" style="2" bestFit="1" customWidth="1"/>
    <col min="16118" max="16118" width="10.85546875" style="2" bestFit="1" customWidth="1"/>
    <col min="16119" max="16119" width="9.28515625" style="2" customWidth="1"/>
    <col min="16120" max="16120" width="11.5703125" style="2" customWidth="1"/>
    <col min="16121" max="16121" width="9.85546875" style="2" bestFit="1" customWidth="1"/>
    <col min="16122" max="16122" width="15.140625" style="2" customWidth="1"/>
    <col min="16123" max="16130" width="0" style="2" hidden="1" customWidth="1"/>
    <col min="16131" max="16384" width="18.5703125" style="2"/>
  </cols>
  <sheetData>
    <row r="1" spans="1:4" ht="15">
      <c r="A1" s="197" t="str">
        <f>+References!A1</f>
        <v>Mason County Garbage Company, Inc. G-88</v>
      </c>
    </row>
    <row r="2" spans="1:4">
      <c r="A2" s="1" t="s">
        <v>277</v>
      </c>
    </row>
    <row r="4" spans="1:4" s="6" customFormat="1" ht="45">
      <c r="B4" s="205" t="s">
        <v>162</v>
      </c>
      <c r="C4" s="256" t="s">
        <v>160</v>
      </c>
      <c r="D4" s="30" t="s">
        <v>109</v>
      </c>
    </row>
    <row r="5" spans="1:4" ht="12" thickBot="1">
      <c r="A5" s="42" t="s">
        <v>271</v>
      </c>
    </row>
    <row r="6" spans="1:4">
      <c r="A6" s="257" t="s">
        <v>3</v>
      </c>
      <c r="B6" s="258">
        <v>1</v>
      </c>
      <c r="C6" s="259">
        <f>+VLOOKUP(A6,'Co Cust Cnt - Ref Only'!$A$7:$C$83,3,FALSE)</f>
        <v>4.333333333333333</v>
      </c>
      <c r="D6" s="260">
        <f>+B6*C6*12</f>
        <v>52</v>
      </c>
    </row>
    <row r="7" spans="1:4">
      <c r="A7" s="261" t="s">
        <v>4</v>
      </c>
      <c r="B7" s="252">
        <v>564</v>
      </c>
      <c r="C7" s="262">
        <f>+VLOOKUP(A7,'Co Cust Cnt - Ref Only'!$A$7:$C$83,3,FALSE)</f>
        <v>4.333333333333333</v>
      </c>
      <c r="D7" s="263">
        <f t="shared" ref="D7:D34" si="0">+B7*C7*12</f>
        <v>29328</v>
      </c>
    </row>
    <row r="8" spans="1:4">
      <c r="A8" s="261" t="s">
        <v>5</v>
      </c>
      <c r="B8" s="252">
        <v>160</v>
      </c>
      <c r="C8" s="262">
        <f>+VLOOKUP(A8,'Co Cust Cnt - Ref Only'!$A$7:$C$83,3,FALSE)</f>
        <v>4.333333333333333</v>
      </c>
      <c r="D8" s="263">
        <f t="shared" si="0"/>
        <v>8320</v>
      </c>
    </row>
    <row r="9" spans="1:4">
      <c r="A9" s="261" t="s">
        <v>6</v>
      </c>
      <c r="B9" s="252">
        <v>17</v>
      </c>
      <c r="C9" s="262">
        <f>+VLOOKUP(A9,'Co Cust Cnt - Ref Only'!$A$7:$C$83,3,FALSE)</f>
        <v>4.333333333333333</v>
      </c>
      <c r="D9" s="263">
        <f t="shared" si="0"/>
        <v>883.99999999999989</v>
      </c>
    </row>
    <row r="10" spans="1:4">
      <c r="A10" s="261" t="s">
        <v>10</v>
      </c>
      <c r="B10" s="252">
        <v>134</v>
      </c>
      <c r="C10" s="262">
        <f>+VLOOKUP(A10,'Co Cust Cnt - Ref Only'!$A$7:$C$83,3,FALSE)</f>
        <v>4.333333333333333</v>
      </c>
      <c r="D10" s="263">
        <f t="shared" si="0"/>
        <v>6968</v>
      </c>
    </row>
    <row r="11" spans="1:4">
      <c r="A11" s="261" t="s">
        <v>11</v>
      </c>
      <c r="B11" s="252">
        <v>118</v>
      </c>
      <c r="C11" s="262">
        <f>+VLOOKUP(A11,'Co Cust Cnt - Ref Only'!$A$7:$C$83,3,FALSE)</f>
        <v>4.333333333333333</v>
      </c>
      <c r="D11" s="263">
        <f t="shared" si="0"/>
        <v>6136</v>
      </c>
    </row>
    <row r="12" spans="1:4">
      <c r="A12" s="261" t="s">
        <v>12</v>
      </c>
      <c r="B12" s="252">
        <v>8</v>
      </c>
      <c r="C12" s="262">
        <f>+VLOOKUP(A12,'Co Cust Cnt - Ref Only'!$A$7:$C$83,3,FALSE)</f>
        <v>4.333333333333333</v>
      </c>
      <c r="D12" s="263">
        <f t="shared" si="0"/>
        <v>416</v>
      </c>
    </row>
    <row r="13" spans="1:4">
      <c r="A13" s="261" t="s">
        <v>13</v>
      </c>
      <c r="B13" s="252">
        <v>73</v>
      </c>
      <c r="C13" s="262">
        <f>+VLOOKUP(A13,'Co Cust Cnt - Ref Only'!$A$7:$C$83,3,FALSE)</f>
        <v>4.333333333333333</v>
      </c>
      <c r="D13" s="263">
        <f t="shared" si="0"/>
        <v>3796</v>
      </c>
    </row>
    <row r="14" spans="1:4">
      <c r="A14" s="261" t="s">
        <v>14</v>
      </c>
      <c r="B14" s="252">
        <v>54</v>
      </c>
      <c r="C14" s="262">
        <f>+VLOOKUP(A14,'Co Cust Cnt - Ref Only'!$A$7:$C$83,3,FALSE)</f>
        <v>4.333333333333333</v>
      </c>
      <c r="D14" s="263">
        <f t="shared" si="0"/>
        <v>2807.9999999999995</v>
      </c>
    </row>
    <row r="15" spans="1:4">
      <c r="A15" s="261" t="s">
        <v>15</v>
      </c>
      <c r="B15" s="252">
        <v>29</v>
      </c>
      <c r="C15" s="262">
        <f>+VLOOKUP(A15,'Co Cust Cnt - Ref Only'!$A$7:$C$83,3,FALSE)</f>
        <v>4.333333333333333</v>
      </c>
      <c r="D15" s="263">
        <f t="shared" si="0"/>
        <v>1508</v>
      </c>
    </row>
    <row r="16" spans="1:4">
      <c r="A16" s="261"/>
      <c r="B16" s="252"/>
      <c r="C16" s="262"/>
      <c r="D16" s="263"/>
    </row>
    <row r="17" spans="1:4">
      <c r="A17" s="261" t="s">
        <v>16</v>
      </c>
      <c r="B17" s="252">
        <v>225</v>
      </c>
      <c r="C17" s="262">
        <f>+VLOOKUP(A17,'Co Cust Cnt - Ref Only'!$A$7:$C$83,3,FALSE)</f>
        <v>2.1666666666666665</v>
      </c>
      <c r="D17" s="263">
        <f t="shared" si="0"/>
        <v>5849.9999999999991</v>
      </c>
    </row>
    <row r="18" spans="1:4">
      <c r="A18" s="261" t="s">
        <v>17</v>
      </c>
      <c r="B18" s="252">
        <v>24</v>
      </c>
      <c r="C18" s="262">
        <f>+VLOOKUP(A18,'Co Cust Cnt - Ref Only'!$A$7:$C$83,3,FALSE)</f>
        <v>2.1666666666666665</v>
      </c>
      <c r="D18" s="263">
        <f t="shared" si="0"/>
        <v>624</v>
      </c>
    </row>
    <row r="19" spans="1:4">
      <c r="A19" s="261" t="s">
        <v>18</v>
      </c>
      <c r="B19" s="252">
        <v>61</v>
      </c>
      <c r="C19" s="262">
        <f>+VLOOKUP(A19,'Co Cust Cnt - Ref Only'!$A$7:$C$83,3,FALSE)</f>
        <v>2.1666666666666665</v>
      </c>
      <c r="D19" s="263">
        <f t="shared" si="0"/>
        <v>1586</v>
      </c>
    </row>
    <row r="20" spans="1:4">
      <c r="A20" s="261" t="s">
        <v>19</v>
      </c>
      <c r="B20" s="252">
        <v>21</v>
      </c>
      <c r="C20" s="262">
        <f>+VLOOKUP(A20,'Co Cust Cnt - Ref Only'!$A$7:$C$83,3,FALSE)</f>
        <v>2.1666666666666665</v>
      </c>
      <c r="D20" s="263">
        <f t="shared" si="0"/>
        <v>546</v>
      </c>
    </row>
    <row r="21" spans="1:4">
      <c r="A21" s="261" t="s">
        <v>20</v>
      </c>
      <c r="B21" s="252">
        <v>14</v>
      </c>
      <c r="C21" s="262">
        <f>+VLOOKUP(A21,'Co Cust Cnt - Ref Only'!$A$7:$C$83,3,FALSE)</f>
        <v>2.1666666666666665</v>
      </c>
      <c r="D21" s="263">
        <f t="shared" si="0"/>
        <v>364</v>
      </c>
    </row>
    <row r="22" spans="1:4">
      <c r="A22" s="261" t="s">
        <v>21</v>
      </c>
      <c r="B22" s="252">
        <v>10</v>
      </c>
      <c r="C22" s="262">
        <f>+VLOOKUP(A22,'Co Cust Cnt - Ref Only'!$A$7:$C$83,3,FALSE)</f>
        <v>2.1666666666666665</v>
      </c>
      <c r="D22" s="263">
        <f t="shared" si="0"/>
        <v>260</v>
      </c>
    </row>
    <row r="23" spans="1:4">
      <c r="A23" s="261"/>
      <c r="B23" s="252"/>
      <c r="C23" s="262"/>
      <c r="D23" s="263"/>
    </row>
    <row r="24" spans="1:4">
      <c r="A24" s="261" t="s">
        <v>22</v>
      </c>
      <c r="B24" s="252">
        <v>38</v>
      </c>
      <c r="C24" s="262">
        <f>+VLOOKUP(A24,'Co Cust Cnt - Ref Only'!$A$7:$C$83,3,FALSE)</f>
        <v>1</v>
      </c>
      <c r="D24" s="263">
        <f t="shared" si="0"/>
        <v>456</v>
      </c>
    </row>
    <row r="25" spans="1:4">
      <c r="A25" s="261" t="s">
        <v>23</v>
      </c>
      <c r="B25" s="252">
        <v>9</v>
      </c>
      <c r="C25" s="262">
        <f>+VLOOKUP(A25,'Co Cust Cnt - Ref Only'!$A$7:$C$83,3,FALSE)</f>
        <v>1</v>
      </c>
      <c r="D25" s="263">
        <f t="shared" si="0"/>
        <v>108</v>
      </c>
    </row>
    <row r="26" spans="1:4">
      <c r="A26" s="261" t="s">
        <v>25</v>
      </c>
      <c r="B26" s="252">
        <v>2</v>
      </c>
      <c r="C26" s="262">
        <f>+VLOOKUP(A26,'Co Cust Cnt - Ref Only'!$A$7:$C$83,3,FALSE)</f>
        <v>1</v>
      </c>
      <c r="D26" s="263">
        <f t="shared" si="0"/>
        <v>24</v>
      </c>
    </row>
    <row r="27" spans="1:4">
      <c r="A27" s="261" t="s">
        <v>26</v>
      </c>
      <c r="B27" s="252">
        <v>1</v>
      </c>
      <c r="C27" s="262">
        <f>+VLOOKUP(A27,'Co Cust Cnt - Ref Only'!$A$7:$C$83,3,FALSE)</f>
        <v>1</v>
      </c>
      <c r="D27" s="263">
        <f t="shared" si="0"/>
        <v>12</v>
      </c>
    </row>
    <row r="28" spans="1:4">
      <c r="A28" s="261"/>
      <c r="B28" s="252"/>
      <c r="C28" s="262"/>
      <c r="D28" s="263"/>
    </row>
    <row r="29" spans="1:4">
      <c r="A29" s="261" t="s">
        <v>27</v>
      </c>
      <c r="B29" s="252">
        <v>70</v>
      </c>
      <c r="C29" s="262">
        <f>+VLOOKUP(A29,'Co Cust Cnt - Ref Only'!$A$7:$C$83,3,FALSE)</f>
        <v>1</v>
      </c>
      <c r="D29" s="263">
        <f t="shared" si="0"/>
        <v>840</v>
      </c>
    </row>
    <row r="30" spans="1:4">
      <c r="A30" s="261" t="s">
        <v>28</v>
      </c>
      <c r="B30" s="252">
        <v>2</v>
      </c>
      <c r="C30" s="262">
        <f>+VLOOKUP(A30,'Co Cust Cnt - Ref Only'!$A$7:$C$83,3,FALSE)</f>
        <v>1</v>
      </c>
      <c r="D30" s="263">
        <f t="shared" si="0"/>
        <v>24</v>
      </c>
    </row>
    <row r="31" spans="1:4">
      <c r="A31" s="261" t="s">
        <v>29</v>
      </c>
      <c r="B31" s="252">
        <v>3</v>
      </c>
      <c r="C31" s="262">
        <f>+VLOOKUP(A31,'Co Cust Cnt - Ref Only'!$A$7:$C$83,3,FALSE)</f>
        <v>1</v>
      </c>
      <c r="D31" s="263">
        <f t="shared" si="0"/>
        <v>36</v>
      </c>
    </row>
    <row r="32" spans="1:4">
      <c r="A32" s="261"/>
      <c r="B32" s="252"/>
      <c r="C32" s="262"/>
      <c r="D32" s="263"/>
    </row>
    <row r="33" spans="1:13">
      <c r="A33" s="261" t="s">
        <v>33</v>
      </c>
      <c r="B33" s="252">
        <v>299</v>
      </c>
      <c r="C33" s="262">
        <f>+VLOOKUP(A33,'Co Cust Cnt - Ref Only'!$A$7:$C$83,3,FALSE)</f>
        <v>1</v>
      </c>
      <c r="D33" s="263">
        <f t="shared" si="0"/>
        <v>3588</v>
      </c>
    </row>
    <row r="34" spans="1:13">
      <c r="A34" s="261" t="s">
        <v>34</v>
      </c>
      <c r="B34" s="252">
        <v>22</v>
      </c>
      <c r="C34" s="262">
        <f>+VLOOKUP(A34,'Co Cust Cnt - Ref Only'!$A$7:$C$83,3,FALSE)</f>
        <v>1</v>
      </c>
      <c r="D34" s="263">
        <f t="shared" si="0"/>
        <v>264</v>
      </c>
    </row>
    <row r="35" spans="1:13" s="1" customFormat="1" ht="12" thickBot="1">
      <c r="A35" s="264" t="s">
        <v>35</v>
      </c>
      <c r="B35" s="265">
        <f>SUM(B6:B34)</f>
        <v>1959</v>
      </c>
      <c r="C35" s="266"/>
      <c r="D35" s="267"/>
    </row>
    <row r="36" spans="1:13">
      <c r="B36" s="253"/>
      <c r="C36" s="255"/>
      <c r="D36" s="253"/>
    </row>
    <row r="37" spans="1:13" ht="12" thickBot="1">
      <c r="A37" s="42" t="s">
        <v>273</v>
      </c>
      <c r="B37" s="19"/>
      <c r="C37" s="211"/>
      <c r="D37" s="19"/>
    </row>
    <row r="38" spans="1:13">
      <c r="A38" s="268" t="s">
        <v>38</v>
      </c>
      <c r="B38" s="269">
        <v>82</v>
      </c>
      <c r="C38" s="270">
        <f>+VLOOKUP(A38,'Co Cust Cnt - Ref Only'!$A$7:$C$83,3,FALSE)</f>
        <v>1</v>
      </c>
      <c r="D38" s="271">
        <f t="shared" ref="D38" si="1">+B38*C38*12</f>
        <v>984</v>
      </c>
    </row>
    <row r="39" spans="1:13">
      <c r="A39" s="261"/>
      <c r="B39" s="252"/>
      <c r="C39" s="262"/>
      <c r="D39" s="263"/>
    </row>
    <row r="40" spans="1:13">
      <c r="A40" s="261" t="s">
        <v>40</v>
      </c>
      <c r="B40" s="252">
        <v>41</v>
      </c>
      <c r="C40" s="262">
        <f>+VLOOKUP(A40,'Co Cust Cnt - Ref Only'!$A$7:$C$83,3,FALSE)</f>
        <v>4.333333333333333</v>
      </c>
      <c r="D40" s="263">
        <f t="shared" ref="D40:D41" si="2">+B40*C40*12</f>
        <v>2132</v>
      </c>
    </row>
    <row r="41" spans="1:13">
      <c r="A41" s="261" t="s">
        <v>41</v>
      </c>
      <c r="B41" s="252">
        <v>133</v>
      </c>
      <c r="C41" s="262">
        <f>+VLOOKUP(A41,'Co Cust Cnt - Ref Only'!$A$7:$C$83,3,FALSE)</f>
        <v>4.333333333333333</v>
      </c>
      <c r="D41" s="263">
        <f t="shared" si="2"/>
        <v>6915.9999999999991</v>
      </c>
    </row>
    <row r="42" spans="1:13">
      <c r="A42" s="261" t="s">
        <v>1</v>
      </c>
      <c r="B42" s="252"/>
      <c r="C42" s="262"/>
      <c r="D42" s="263"/>
    </row>
    <row r="43" spans="1:13">
      <c r="A43" s="261" t="s">
        <v>42</v>
      </c>
      <c r="B43" s="252">
        <v>2</v>
      </c>
      <c r="C43" s="262">
        <f>+VLOOKUP(A43,'Co Cust Cnt - Ref Only'!$A$7:$C$83,3,FALSE)</f>
        <v>2.1666666666666665</v>
      </c>
      <c r="D43" s="263">
        <f t="shared" ref="D43:D45" si="3">+B43*C43*12</f>
        <v>52</v>
      </c>
    </row>
    <row r="44" spans="1:13">
      <c r="A44" s="261" t="s">
        <v>43</v>
      </c>
      <c r="B44" s="252">
        <v>60</v>
      </c>
      <c r="C44" s="262">
        <f>+VLOOKUP(A44,'Co Cust Cnt - Ref Only'!$A$7:$C$83,3,FALSE)</f>
        <v>2.1666666666666665</v>
      </c>
      <c r="D44" s="263">
        <f t="shared" si="3"/>
        <v>1560</v>
      </c>
    </row>
    <row r="45" spans="1:13">
      <c r="A45" s="261" t="s">
        <v>44</v>
      </c>
      <c r="B45" s="252">
        <v>45</v>
      </c>
      <c r="C45" s="262">
        <f>+VLOOKUP(A45,'Co Cust Cnt - Ref Only'!$A$7:$C$83,3,FALSE)</f>
        <v>2.1666666666666665</v>
      </c>
      <c r="D45" s="263">
        <f t="shared" si="3"/>
        <v>1170</v>
      </c>
    </row>
    <row r="46" spans="1:13">
      <c r="A46" s="261" t="s">
        <v>1</v>
      </c>
      <c r="B46" s="252"/>
      <c r="C46" s="262"/>
      <c r="D46" s="263"/>
    </row>
    <row r="47" spans="1:13" s="1" customFormat="1" ht="12" thickBot="1">
      <c r="A47" s="264" t="s">
        <v>35</v>
      </c>
      <c r="B47" s="265">
        <f>SUM(B38:B46)</f>
        <v>363</v>
      </c>
      <c r="C47" s="266"/>
      <c r="D47" s="267"/>
    </row>
    <row r="48" spans="1:13" ht="15">
      <c r="J48" s="245"/>
      <c r="K48" s="78"/>
      <c r="L48" s="244"/>
      <c r="M48" s="81"/>
    </row>
    <row r="49" spans="1:13" ht="15.75" thickBot="1">
      <c r="A49" s="38" t="s">
        <v>274</v>
      </c>
      <c r="B49" s="39"/>
      <c r="C49" s="39"/>
      <c r="D49" s="39"/>
      <c r="J49" s="245"/>
      <c r="K49" s="78"/>
      <c r="L49" s="244"/>
      <c r="M49" s="81"/>
    </row>
    <row r="50" spans="1:13" ht="15">
      <c r="A50" s="276" t="s">
        <v>276</v>
      </c>
      <c r="B50" s="258"/>
      <c r="C50" s="259"/>
      <c r="D50" s="271"/>
      <c r="J50" s="251"/>
      <c r="K50" s="194"/>
      <c r="L50" s="195"/>
      <c r="M50" s="86"/>
    </row>
    <row r="51" spans="1:13">
      <c r="A51" s="261" t="s">
        <v>7</v>
      </c>
      <c r="B51" s="252">
        <v>0</v>
      </c>
      <c r="C51" s="262">
        <f>+VLOOKUP(A51,'Co Cust Cnt - Ref Only'!$A$7:$C$83,3,FALSE)</f>
        <v>4.333333333333333</v>
      </c>
      <c r="D51" s="263">
        <f>+C51*12</f>
        <v>52</v>
      </c>
    </row>
    <row r="52" spans="1:13">
      <c r="A52" s="261" t="s">
        <v>8</v>
      </c>
      <c r="B52" s="252"/>
      <c r="C52" s="262">
        <v>4.333333333333333</v>
      </c>
      <c r="D52" s="263">
        <f t="shared" ref="D52:D57" si="4">+C52*12</f>
        <v>52</v>
      </c>
    </row>
    <row r="53" spans="1:13">
      <c r="A53" s="261" t="s">
        <v>9</v>
      </c>
      <c r="B53" s="252">
        <v>0</v>
      </c>
      <c r="C53" s="262">
        <v>4.333333333333333</v>
      </c>
      <c r="D53" s="263">
        <f t="shared" si="4"/>
        <v>52</v>
      </c>
    </row>
    <row r="54" spans="1:13">
      <c r="A54" s="261" t="s">
        <v>24</v>
      </c>
      <c r="B54" s="252">
        <v>0</v>
      </c>
      <c r="C54" s="262">
        <f>+VLOOKUP(A54,'Co Cust Cnt - Ref Only'!$A$7:$C$83,3,FALSE)</f>
        <v>1</v>
      </c>
      <c r="D54" s="263">
        <f t="shared" si="4"/>
        <v>12</v>
      </c>
    </row>
    <row r="55" spans="1:13">
      <c r="A55" s="261" t="s">
        <v>30</v>
      </c>
      <c r="B55" s="252">
        <v>0</v>
      </c>
      <c r="C55" s="262">
        <f>+VLOOKUP(A55,'Co Cust Cnt - Ref Only'!$A$7:$C$83,3,FALSE)</f>
        <v>1</v>
      </c>
      <c r="D55" s="263">
        <f t="shared" si="4"/>
        <v>12</v>
      </c>
    </row>
    <row r="56" spans="1:13">
      <c r="A56" s="261" t="s">
        <v>31</v>
      </c>
      <c r="B56" s="252">
        <v>0</v>
      </c>
      <c r="C56" s="262">
        <f>+VLOOKUP(A56,'Co Cust Cnt - Ref Only'!$A$7:$C$83,3,FALSE)</f>
        <v>1</v>
      </c>
      <c r="D56" s="263">
        <f t="shared" si="4"/>
        <v>12</v>
      </c>
    </row>
    <row r="57" spans="1:13">
      <c r="A57" s="261" t="s">
        <v>32</v>
      </c>
      <c r="B57" s="252">
        <v>0</v>
      </c>
      <c r="C57" s="262">
        <f>+VLOOKUP(A57,'Co Cust Cnt - Ref Only'!$A$7:$C$83,3,FALSE)</f>
        <v>1</v>
      </c>
      <c r="D57" s="263">
        <f t="shared" si="4"/>
        <v>12</v>
      </c>
    </row>
    <row r="58" spans="1:13">
      <c r="A58" s="277" t="s">
        <v>275</v>
      </c>
      <c r="B58" s="252"/>
      <c r="C58" s="262"/>
      <c r="D58" s="263"/>
    </row>
    <row r="59" spans="1:13">
      <c r="A59" s="261" t="s">
        <v>39</v>
      </c>
      <c r="B59" s="252">
        <v>0</v>
      </c>
      <c r="C59" s="262">
        <f>+VLOOKUP(A59,'Co Cust Cnt - Ref Only'!$A$7:$C$83,3,FALSE)</f>
        <v>4.333333333333333</v>
      </c>
      <c r="D59" s="263">
        <f t="shared" ref="D59:D79" si="5">+C59*12</f>
        <v>52</v>
      </c>
    </row>
    <row r="60" spans="1:13">
      <c r="A60" s="261" t="s">
        <v>272</v>
      </c>
      <c r="B60" s="252">
        <v>0</v>
      </c>
      <c r="C60" s="262">
        <v>1</v>
      </c>
      <c r="D60" s="263">
        <f t="shared" si="5"/>
        <v>12</v>
      </c>
    </row>
    <row r="61" spans="1:13">
      <c r="A61" s="261" t="s">
        <v>113</v>
      </c>
      <c r="B61" s="252">
        <v>0</v>
      </c>
      <c r="C61" s="262">
        <v>1</v>
      </c>
      <c r="D61" s="263">
        <f t="shared" si="5"/>
        <v>12</v>
      </c>
    </row>
    <row r="62" spans="1:13">
      <c r="A62" s="261" t="s">
        <v>156</v>
      </c>
      <c r="B62" s="252">
        <v>0</v>
      </c>
      <c r="C62" s="262">
        <v>1</v>
      </c>
      <c r="D62" s="263">
        <f t="shared" si="5"/>
        <v>12</v>
      </c>
    </row>
    <row r="63" spans="1:13">
      <c r="A63" s="261" t="s">
        <v>157</v>
      </c>
      <c r="B63" s="252">
        <v>0</v>
      </c>
      <c r="C63" s="262">
        <v>1</v>
      </c>
      <c r="D63" s="263">
        <f t="shared" si="5"/>
        <v>12</v>
      </c>
    </row>
    <row r="64" spans="1:13">
      <c r="A64" s="261" t="s">
        <v>158</v>
      </c>
      <c r="B64" s="252">
        <v>0</v>
      </c>
      <c r="C64" s="262">
        <v>1</v>
      </c>
      <c r="D64" s="263">
        <f t="shared" si="5"/>
        <v>12</v>
      </c>
    </row>
    <row r="65" spans="1:4">
      <c r="A65" s="261" t="s">
        <v>159</v>
      </c>
      <c r="B65" s="252">
        <v>0</v>
      </c>
      <c r="C65" s="262">
        <v>1</v>
      </c>
      <c r="D65" s="263">
        <f t="shared" si="5"/>
        <v>12</v>
      </c>
    </row>
    <row r="66" spans="1:4">
      <c r="A66" s="261" t="s">
        <v>217</v>
      </c>
      <c r="B66" s="252">
        <v>0</v>
      </c>
      <c r="C66" s="262">
        <v>1</v>
      </c>
      <c r="D66" s="263">
        <f t="shared" si="5"/>
        <v>12</v>
      </c>
    </row>
    <row r="67" spans="1:4">
      <c r="A67" s="261" t="s">
        <v>218</v>
      </c>
      <c r="B67" s="252">
        <v>0</v>
      </c>
      <c r="C67" s="262">
        <v>1</v>
      </c>
      <c r="D67" s="263">
        <f t="shared" si="5"/>
        <v>12</v>
      </c>
    </row>
    <row r="68" spans="1:4">
      <c r="A68" s="261" t="s">
        <v>219</v>
      </c>
      <c r="B68" s="252">
        <v>0</v>
      </c>
      <c r="C68" s="262">
        <v>1</v>
      </c>
      <c r="D68" s="263">
        <f t="shared" si="5"/>
        <v>12</v>
      </c>
    </row>
    <row r="69" spans="1:4">
      <c r="A69" s="261" t="s">
        <v>220</v>
      </c>
      <c r="B69" s="252">
        <v>0</v>
      </c>
      <c r="C69" s="262">
        <v>1</v>
      </c>
      <c r="D69" s="263">
        <f t="shared" si="5"/>
        <v>12</v>
      </c>
    </row>
    <row r="70" spans="1:4">
      <c r="A70" s="261" t="s">
        <v>221</v>
      </c>
      <c r="B70" s="252">
        <v>0</v>
      </c>
      <c r="C70" s="262">
        <v>1</v>
      </c>
      <c r="D70" s="263">
        <f t="shared" si="5"/>
        <v>12</v>
      </c>
    </row>
    <row r="71" spans="1:4">
      <c r="A71" s="261" t="s">
        <v>45</v>
      </c>
      <c r="B71" s="252">
        <v>0</v>
      </c>
      <c r="C71" s="262">
        <v>1</v>
      </c>
      <c r="D71" s="263">
        <f t="shared" si="5"/>
        <v>12</v>
      </c>
    </row>
    <row r="72" spans="1:4">
      <c r="A72" s="261" t="s">
        <v>167</v>
      </c>
      <c r="B72" s="252">
        <v>0</v>
      </c>
      <c r="C72" s="262">
        <v>1</v>
      </c>
      <c r="D72" s="263">
        <f t="shared" si="5"/>
        <v>12</v>
      </c>
    </row>
    <row r="73" spans="1:4">
      <c r="A73" s="261" t="s">
        <v>174</v>
      </c>
      <c r="B73" s="252">
        <v>0</v>
      </c>
      <c r="C73" s="262">
        <v>1</v>
      </c>
      <c r="D73" s="263">
        <f t="shared" si="5"/>
        <v>12</v>
      </c>
    </row>
    <row r="74" spans="1:4">
      <c r="A74" s="261" t="s">
        <v>168</v>
      </c>
      <c r="B74" s="252">
        <v>0</v>
      </c>
      <c r="C74" s="262">
        <v>1</v>
      </c>
      <c r="D74" s="263">
        <f t="shared" si="5"/>
        <v>12</v>
      </c>
    </row>
    <row r="75" spans="1:4">
      <c r="A75" s="261" t="s">
        <v>169</v>
      </c>
      <c r="B75" s="252">
        <v>0</v>
      </c>
      <c r="C75" s="262">
        <v>1</v>
      </c>
      <c r="D75" s="263">
        <f t="shared" si="5"/>
        <v>12</v>
      </c>
    </row>
    <row r="76" spans="1:4">
      <c r="A76" s="261" t="s">
        <v>170</v>
      </c>
      <c r="B76" s="252">
        <v>0</v>
      </c>
      <c r="C76" s="262">
        <f>+VLOOKUP(A76,'Co Cust Cnt - Ref Only'!$A$7:$C$83,3,FALSE)</f>
        <v>4.33</v>
      </c>
      <c r="D76" s="263">
        <f t="shared" si="5"/>
        <v>51.96</v>
      </c>
    </row>
    <row r="77" spans="1:4">
      <c r="A77" s="261" t="s">
        <v>171</v>
      </c>
      <c r="B77" s="252">
        <v>0</v>
      </c>
      <c r="C77" s="262">
        <f>+VLOOKUP(A77,'Co Cust Cnt - Ref Only'!$A$7:$C$83,3,FALSE)</f>
        <v>4.33</v>
      </c>
      <c r="D77" s="263">
        <f t="shared" si="5"/>
        <v>51.96</v>
      </c>
    </row>
    <row r="78" spans="1:4">
      <c r="A78" s="261" t="s">
        <v>172</v>
      </c>
      <c r="B78" s="252">
        <v>0</v>
      </c>
      <c r="C78" s="262">
        <f>+VLOOKUP(A78,'Co Cust Cnt - Ref Only'!$A$7:$C$83,3,FALSE)</f>
        <v>4.33</v>
      </c>
      <c r="D78" s="263">
        <f t="shared" si="5"/>
        <v>51.96</v>
      </c>
    </row>
    <row r="79" spans="1:4">
      <c r="A79" s="261" t="s">
        <v>173</v>
      </c>
      <c r="B79" s="252">
        <v>0</v>
      </c>
      <c r="C79" s="262">
        <f>+VLOOKUP(A79,'Co Cust Cnt - Ref Only'!$A$7:$C$83,3,FALSE)</f>
        <v>4.33</v>
      </c>
      <c r="D79" s="263">
        <f t="shared" si="5"/>
        <v>51.96</v>
      </c>
    </row>
    <row r="80" spans="1:4" ht="12" thickBot="1">
      <c r="A80" s="272"/>
      <c r="B80" s="273"/>
      <c r="C80" s="274"/>
      <c r="D80" s="275"/>
    </row>
    <row r="81" spans="1:4">
      <c r="A81" s="38"/>
      <c r="B81" s="39"/>
      <c r="C81" s="39"/>
      <c r="D81" s="39"/>
    </row>
  </sheetData>
  <pageMargins left="0.7" right="0.7" top="0.75" bottom="0.75" header="0.3" footer="0.3"/>
  <pageSetup scale="60" pageOrder="overThenDown" orientation="landscape" r:id="rId1"/>
  <headerFooter alignWithMargins="0">
    <oddFooter>&amp;L&amp;F - &amp;A&amp;R&amp;P</oddFooter>
  </headerFooter>
  <rowBreaks count="1" manualBreakCount="1">
    <brk id="48" max="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2"/>
  <sheetViews>
    <sheetView view="pageBreakPreview" zoomScale="85" zoomScaleNormal="100" zoomScaleSheetLayoutView="85" workbookViewId="0">
      <selection activeCell="M25" sqref="M25"/>
    </sheetView>
  </sheetViews>
  <sheetFormatPr defaultColWidth="18.5703125" defaultRowHeight="11.25"/>
  <cols>
    <col min="1" max="1" width="29.28515625" style="2" bestFit="1" customWidth="1"/>
    <col min="2" max="2" width="13.42578125" style="2" customWidth="1"/>
    <col min="3" max="3" width="9.28515625" style="2" customWidth="1"/>
    <col min="4" max="4" width="9.5703125" style="2" customWidth="1"/>
    <col min="5" max="5" width="12.7109375" style="2" customWidth="1"/>
    <col min="6" max="6" width="9" style="2" customWidth="1"/>
    <col min="7" max="7" width="12.28515625" style="2" customWidth="1"/>
    <col min="8" max="8" width="11.28515625" style="2" customWidth="1"/>
    <col min="9" max="9" width="9.7109375" style="2" customWidth="1"/>
    <col min="10" max="11" width="11.28515625" style="2" customWidth="1"/>
    <col min="12" max="12" width="7.7109375" style="3" customWidth="1"/>
    <col min="13" max="13" width="9.28515625" style="2" customWidth="1"/>
    <col min="14" max="14" width="13.7109375" style="2" customWidth="1"/>
    <col min="15" max="15" width="10.42578125" style="2" hidden="1" customWidth="1"/>
    <col min="16" max="16" width="9" style="2" hidden="1" customWidth="1"/>
    <col min="17" max="17" width="11.7109375" style="2" hidden="1" customWidth="1"/>
    <col min="18" max="18" width="8.28515625" style="2" hidden="1" customWidth="1"/>
    <col min="19" max="19" width="2.5703125" style="2" hidden="1" customWidth="1"/>
    <col min="20" max="20" width="11.28515625" style="2" hidden="1" customWidth="1"/>
    <col min="21" max="21" width="10" style="2" hidden="1" customWidth="1"/>
    <col min="22" max="22" width="7" style="2" hidden="1" customWidth="1"/>
    <col min="23" max="23" width="3.5703125" style="2" customWidth="1"/>
    <col min="24" max="24" width="12.5703125" style="2" customWidth="1"/>
    <col min="25" max="25" width="15.28515625" style="2" customWidth="1"/>
    <col min="26" max="26" width="11.7109375" style="2" customWidth="1"/>
    <col min="27" max="16384" width="18.5703125" style="2"/>
  </cols>
  <sheetData>
    <row r="1" spans="1:26">
      <c r="A1" s="1" t="s">
        <v>0</v>
      </c>
    </row>
    <row r="2" spans="1:26">
      <c r="A2" s="1" t="s">
        <v>223</v>
      </c>
    </row>
    <row r="3" spans="1:26">
      <c r="A3" s="1" t="s">
        <v>247</v>
      </c>
    </row>
    <row r="4" spans="1:26">
      <c r="A4" s="1"/>
      <c r="F4" s="45"/>
    </row>
    <row r="5" spans="1:26" s="6" customFormat="1" ht="39" customHeight="1">
      <c r="B5" s="205" t="s">
        <v>162</v>
      </c>
      <c r="C5" s="30" t="s">
        <v>160</v>
      </c>
      <c r="D5" s="31" t="s">
        <v>109</v>
      </c>
      <c r="E5" s="31"/>
      <c r="F5" s="31"/>
      <c r="G5" s="31"/>
      <c r="H5" s="31"/>
      <c r="I5" s="31"/>
      <c r="J5" s="31"/>
      <c r="K5" s="31"/>
      <c r="L5" s="32"/>
      <c r="M5" s="30"/>
      <c r="N5" s="30"/>
      <c r="O5" s="7"/>
      <c r="X5" s="30"/>
      <c r="Y5" s="30"/>
      <c r="Z5" s="48"/>
    </row>
    <row r="6" spans="1:26" ht="12" thickBot="1">
      <c r="A6" s="8" t="s">
        <v>2</v>
      </c>
      <c r="T6" s="5"/>
      <c r="U6" s="5"/>
      <c r="V6" s="9"/>
    </row>
    <row r="7" spans="1:26" ht="12" thickTop="1">
      <c r="A7" s="10" t="s">
        <v>3</v>
      </c>
      <c r="B7" s="11">
        <v>14</v>
      </c>
      <c r="C7" s="12">
        <f>[12]References!$B$9</f>
        <v>4.333333333333333</v>
      </c>
      <c r="D7" s="11">
        <f t="shared" ref="D7:D19" si="0">B7*C7*12</f>
        <v>728</v>
      </c>
      <c r="E7" s="206"/>
      <c r="F7" s="19"/>
      <c r="G7" s="19"/>
      <c r="H7" s="207"/>
      <c r="I7" s="206"/>
      <c r="J7" s="206"/>
      <c r="K7" s="206"/>
      <c r="L7" s="208"/>
      <c r="M7" s="206"/>
      <c r="N7" s="206"/>
      <c r="O7" s="4"/>
      <c r="P7" s="5"/>
      <c r="Q7" s="5"/>
      <c r="R7" s="9"/>
      <c r="T7" s="5"/>
      <c r="U7" s="5"/>
      <c r="V7" s="9"/>
      <c r="X7" s="46"/>
      <c r="Y7" s="46"/>
    </row>
    <row r="8" spans="1:26">
      <c r="A8" s="10" t="s">
        <v>4</v>
      </c>
      <c r="B8" s="11">
        <v>2338</v>
      </c>
      <c r="C8" s="12">
        <f>[12]References!$B$9</f>
        <v>4.333333333333333</v>
      </c>
      <c r="D8" s="11">
        <f t="shared" si="0"/>
        <v>121575.99999999999</v>
      </c>
      <c r="E8" s="206"/>
      <c r="F8" s="19"/>
      <c r="G8" s="19"/>
      <c r="H8" s="207"/>
      <c r="I8" s="206"/>
      <c r="J8" s="206"/>
      <c r="K8" s="206"/>
      <c r="L8" s="208"/>
      <c r="M8" s="206"/>
      <c r="N8" s="206"/>
      <c r="O8" s="4"/>
      <c r="P8" s="5"/>
      <c r="Q8" s="5"/>
      <c r="R8" s="9"/>
      <c r="T8" s="5"/>
      <c r="U8" s="5"/>
      <c r="V8" s="9"/>
      <c r="X8" s="46"/>
      <c r="Y8" s="46"/>
    </row>
    <row r="9" spans="1:26">
      <c r="A9" s="10" t="s">
        <v>5</v>
      </c>
      <c r="B9" s="11">
        <v>457</v>
      </c>
      <c r="C9" s="12">
        <f>[12]References!$B$9</f>
        <v>4.333333333333333</v>
      </c>
      <c r="D9" s="11">
        <f t="shared" si="0"/>
        <v>23764</v>
      </c>
      <c r="E9" s="206"/>
      <c r="F9" s="19"/>
      <c r="G9" s="19"/>
      <c r="H9" s="207"/>
      <c r="I9" s="206"/>
      <c r="J9" s="206"/>
      <c r="K9" s="206"/>
      <c r="L9" s="208"/>
      <c r="M9" s="206"/>
      <c r="N9" s="206"/>
      <c r="O9" s="4"/>
      <c r="P9" s="5"/>
      <c r="Q9" s="5"/>
      <c r="R9" s="9"/>
      <c r="T9" s="5"/>
      <c r="U9" s="5"/>
      <c r="V9" s="9"/>
      <c r="X9" s="46"/>
      <c r="Y9" s="46"/>
    </row>
    <row r="10" spans="1:26">
      <c r="A10" s="10" t="s">
        <v>6</v>
      </c>
      <c r="B10" s="11">
        <v>32</v>
      </c>
      <c r="C10" s="12">
        <f>[12]References!$B$9</f>
        <v>4.333333333333333</v>
      </c>
      <c r="D10" s="11">
        <f t="shared" si="0"/>
        <v>1664</v>
      </c>
      <c r="E10" s="206"/>
      <c r="F10" s="19"/>
      <c r="G10" s="19"/>
      <c r="H10" s="207"/>
      <c r="I10" s="206"/>
      <c r="J10" s="206"/>
      <c r="K10" s="206"/>
      <c r="L10" s="208"/>
      <c r="M10" s="206"/>
      <c r="N10" s="206"/>
      <c r="O10" s="4"/>
      <c r="P10" s="5"/>
      <c r="Q10" s="5"/>
      <c r="R10" s="9"/>
      <c r="T10" s="5"/>
      <c r="U10" s="5"/>
      <c r="V10" s="9"/>
      <c r="X10" s="46"/>
      <c r="Y10" s="46"/>
    </row>
    <row r="11" spans="1:26">
      <c r="A11" s="10" t="s">
        <v>7</v>
      </c>
      <c r="B11" s="11">
        <v>4</v>
      </c>
      <c r="C11" s="12">
        <f>[12]References!$B$9</f>
        <v>4.333333333333333</v>
      </c>
      <c r="D11" s="11">
        <f t="shared" si="0"/>
        <v>208</v>
      </c>
      <c r="E11" s="206"/>
      <c r="F11" s="19"/>
      <c r="G11" s="19"/>
      <c r="H11" s="207"/>
      <c r="I11" s="206"/>
      <c r="J11" s="206"/>
      <c r="K11" s="206"/>
      <c r="L11" s="208"/>
      <c r="M11" s="206"/>
      <c r="N11" s="206"/>
      <c r="O11" s="4"/>
      <c r="P11" s="5"/>
      <c r="Q11" s="5"/>
      <c r="R11" s="9"/>
      <c r="T11" s="5"/>
      <c r="U11" s="5"/>
      <c r="V11" s="9"/>
      <c r="X11" s="46"/>
      <c r="Y11" s="46"/>
    </row>
    <row r="12" spans="1:26">
      <c r="A12" s="10" t="s">
        <v>8</v>
      </c>
      <c r="B12" s="11">
        <v>1</v>
      </c>
      <c r="C12" s="12">
        <f>[12]References!$B$9</f>
        <v>4.333333333333333</v>
      </c>
      <c r="D12" s="11">
        <f t="shared" si="0"/>
        <v>52</v>
      </c>
      <c r="E12" s="206"/>
      <c r="F12" s="19"/>
      <c r="G12" s="19"/>
      <c r="H12" s="207"/>
      <c r="I12" s="206"/>
      <c r="J12" s="206"/>
      <c r="K12" s="206"/>
      <c r="L12" s="208"/>
      <c r="M12" s="206"/>
      <c r="N12" s="206"/>
      <c r="O12" s="4"/>
      <c r="P12" s="5"/>
      <c r="Q12" s="5"/>
      <c r="R12" s="9"/>
      <c r="T12" s="5"/>
      <c r="U12" s="5"/>
      <c r="V12" s="9"/>
      <c r="X12" s="46"/>
      <c r="Y12" s="46"/>
    </row>
    <row r="13" spans="1:26">
      <c r="A13" s="10" t="s">
        <v>9</v>
      </c>
      <c r="B13" s="11">
        <v>2</v>
      </c>
      <c r="C13" s="12">
        <f>[12]References!$B$9</f>
        <v>4.333333333333333</v>
      </c>
      <c r="D13" s="11">
        <f t="shared" si="0"/>
        <v>104</v>
      </c>
      <c r="E13" s="206"/>
      <c r="F13" s="19"/>
      <c r="G13" s="19"/>
      <c r="H13" s="207"/>
      <c r="I13" s="206"/>
      <c r="J13" s="206"/>
      <c r="K13" s="206"/>
      <c r="L13" s="208"/>
      <c r="M13" s="206"/>
      <c r="N13" s="206"/>
      <c r="O13" s="4"/>
      <c r="P13" s="5"/>
      <c r="Q13" s="5"/>
      <c r="R13" s="9"/>
      <c r="T13" s="5"/>
      <c r="U13" s="5"/>
      <c r="V13" s="9"/>
      <c r="X13" s="46"/>
      <c r="Y13" s="46"/>
    </row>
    <row r="14" spans="1:26">
      <c r="A14" s="10" t="s">
        <v>10</v>
      </c>
      <c r="B14" s="11">
        <v>774</v>
      </c>
      <c r="C14" s="12">
        <f>[12]References!$B$9</f>
        <v>4.333333333333333</v>
      </c>
      <c r="D14" s="11">
        <f t="shared" si="0"/>
        <v>40247.999999999993</v>
      </c>
      <c r="E14" s="206"/>
      <c r="F14" s="19"/>
      <c r="G14" s="19"/>
      <c r="H14" s="207"/>
      <c r="I14" s="206"/>
      <c r="J14" s="206"/>
      <c r="K14" s="206"/>
      <c r="L14" s="208"/>
      <c r="M14" s="206"/>
      <c r="N14" s="206"/>
      <c r="O14" s="4"/>
      <c r="P14" s="5"/>
      <c r="Q14" s="5"/>
      <c r="R14" s="9"/>
      <c r="T14" s="5"/>
      <c r="U14" s="5"/>
      <c r="V14" s="9"/>
      <c r="X14" s="46"/>
      <c r="Y14" s="46"/>
    </row>
    <row r="15" spans="1:26">
      <c r="A15" s="10" t="s">
        <v>11</v>
      </c>
      <c r="B15" s="11">
        <v>500</v>
      </c>
      <c r="C15" s="12">
        <f>[12]References!$B$9</f>
        <v>4.333333333333333</v>
      </c>
      <c r="D15" s="11">
        <f t="shared" si="0"/>
        <v>26000</v>
      </c>
      <c r="E15" s="206"/>
      <c r="F15" s="19"/>
      <c r="G15" s="19"/>
      <c r="H15" s="207"/>
      <c r="I15" s="206"/>
      <c r="J15" s="206"/>
      <c r="K15" s="206"/>
      <c r="L15" s="208"/>
      <c r="M15" s="206"/>
      <c r="N15" s="206"/>
      <c r="O15" s="4"/>
      <c r="P15" s="5"/>
      <c r="Q15" s="5"/>
      <c r="R15" s="9"/>
      <c r="T15" s="5"/>
      <c r="U15" s="5"/>
      <c r="V15" s="9"/>
      <c r="X15" s="46"/>
      <c r="Y15" s="46"/>
    </row>
    <row r="16" spans="1:26">
      <c r="A16" s="10" t="s">
        <v>12</v>
      </c>
      <c r="B16" s="11">
        <v>22</v>
      </c>
      <c r="C16" s="12">
        <f>[12]References!$B$9</f>
        <v>4.333333333333333</v>
      </c>
      <c r="D16" s="11">
        <f t="shared" si="0"/>
        <v>1144</v>
      </c>
      <c r="E16" s="206"/>
      <c r="F16" s="19"/>
      <c r="G16" s="19"/>
      <c r="H16" s="207"/>
      <c r="I16" s="206"/>
      <c r="J16" s="206"/>
      <c r="K16" s="206"/>
      <c r="L16" s="208"/>
      <c r="M16" s="206"/>
      <c r="N16" s="206"/>
      <c r="O16" s="4"/>
      <c r="P16" s="5"/>
      <c r="Q16" s="5"/>
      <c r="R16" s="9"/>
      <c r="T16" s="5"/>
      <c r="U16" s="5"/>
      <c r="V16" s="9"/>
      <c r="X16" s="46"/>
      <c r="Y16" s="46"/>
    </row>
    <row r="17" spans="1:25">
      <c r="A17" s="10" t="s">
        <v>13</v>
      </c>
      <c r="B17" s="11">
        <v>299</v>
      </c>
      <c r="C17" s="12">
        <f>[12]References!$B$9</f>
        <v>4.333333333333333</v>
      </c>
      <c r="D17" s="11">
        <f t="shared" si="0"/>
        <v>15547.999999999998</v>
      </c>
      <c r="E17" s="206"/>
      <c r="F17" s="19"/>
      <c r="G17" s="19"/>
      <c r="H17" s="207"/>
      <c r="I17" s="206"/>
      <c r="J17" s="206"/>
      <c r="K17" s="206"/>
      <c r="L17" s="208"/>
      <c r="M17" s="206"/>
      <c r="N17" s="206"/>
      <c r="O17" s="4"/>
      <c r="P17" s="5"/>
      <c r="Q17" s="5"/>
      <c r="R17" s="9"/>
      <c r="T17" s="5"/>
      <c r="U17" s="5"/>
      <c r="V17" s="9"/>
      <c r="X17" s="46"/>
      <c r="Y17" s="46"/>
    </row>
    <row r="18" spans="1:25">
      <c r="A18" s="10" t="s">
        <v>14</v>
      </c>
      <c r="B18" s="11">
        <v>261</v>
      </c>
      <c r="C18" s="12">
        <f>[12]References!$B$9</f>
        <v>4.333333333333333</v>
      </c>
      <c r="D18" s="11">
        <f t="shared" si="0"/>
        <v>13572</v>
      </c>
      <c r="E18" s="206"/>
      <c r="F18" s="19"/>
      <c r="G18" s="19"/>
      <c r="H18" s="207"/>
      <c r="I18" s="206"/>
      <c r="J18" s="206"/>
      <c r="K18" s="206"/>
      <c r="L18" s="208"/>
      <c r="M18" s="206"/>
      <c r="N18" s="206"/>
      <c r="O18" s="4"/>
      <c r="P18" s="5"/>
      <c r="Q18" s="5"/>
      <c r="R18" s="9"/>
      <c r="T18" s="5"/>
      <c r="U18" s="5"/>
      <c r="V18" s="9"/>
      <c r="X18" s="46"/>
      <c r="Y18" s="46"/>
    </row>
    <row r="19" spans="1:25">
      <c r="A19" s="10" t="s">
        <v>15</v>
      </c>
      <c r="B19" s="11">
        <v>77</v>
      </c>
      <c r="C19" s="12">
        <f>[12]References!$B$9</f>
        <v>4.333333333333333</v>
      </c>
      <c r="D19" s="11">
        <f t="shared" si="0"/>
        <v>4003.9999999999995</v>
      </c>
      <c r="E19" s="206"/>
      <c r="F19" s="19"/>
      <c r="G19" s="19"/>
      <c r="H19" s="207"/>
      <c r="I19" s="206"/>
      <c r="J19" s="206"/>
      <c r="K19" s="206"/>
      <c r="L19" s="208"/>
      <c r="M19" s="206"/>
      <c r="N19" s="206"/>
      <c r="O19" s="4"/>
      <c r="P19" s="5"/>
      <c r="Q19" s="5"/>
      <c r="R19" s="9"/>
      <c r="T19" s="5"/>
      <c r="U19" s="5"/>
      <c r="V19" s="9"/>
      <c r="X19" s="46"/>
      <c r="Y19" s="46"/>
    </row>
    <row r="20" spans="1:25">
      <c r="A20" s="10"/>
      <c r="B20" s="11"/>
      <c r="C20" s="11"/>
      <c r="D20" s="11"/>
      <c r="E20" s="19"/>
      <c r="F20" s="19"/>
      <c r="G20" s="19"/>
      <c r="H20" s="19"/>
      <c r="I20" s="19"/>
      <c r="J20" s="19"/>
      <c r="K20" s="19"/>
      <c r="L20" s="208"/>
      <c r="M20" s="19"/>
      <c r="N20" s="19"/>
      <c r="O20" s="4"/>
      <c r="P20" s="5"/>
      <c r="Q20" s="5"/>
      <c r="R20" s="9"/>
      <c r="T20" s="5"/>
      <c r="U20" s="5"/>
      <c r="V20" s="9"/>
      <c r="X20" s="46"/>
      <c r="Y20" s="46"/>
    </row>
    <row r="21" spans="1:25">
      <c r="A21" s="10" t="s">
        <v>16</v>
      </c>
      <c r="B21" s="11">
        <v>1451</v>
      </c>
      <c r="C21" s="12">
        <f>[12]References!$B$10</f>
        <v>2.1666666666666665</v>
      </c>
      <c r="D21" s="11">
        <f t="shared" ref="D21:D26" si="1">B21*C21*12</f>
        <v>37726</v>
      </c>
      <c r="E21" s="206"/>
      <c r="F21" s="19"/>
      <c r="G21" s="19"/>
      <c r="H21" s="207"/>
      <c r="I21" s="206"/>
      <c r="J21" s="206"/>
      <c r="K21" s="206"/>
      <c r="L21" s="208"/>
      <c r="M21" s="206"/>
      <c r="N21" s="206"/>
      <c r="O21" s="4"/>
      <c r="P21" s="5"/>
      <c r="Q21" s="5"/>
      <c r="R21" s="9"/>
      <c r="T21" s="5"/>
      <c r="U21" s="5"/>
      <c r="V21" s="9"/>
      <c r="X21" s="46"/>
      <c r="Y21" s="46"/>
    </row>
    <row r="22" spans="1:25">
      <c r="A22" s="10" t="s">
        <v>17</v>
      </c>
      <c r="B22" s="11">
        <v>139</v>
      </c>
      <c r="C22" s="12">
        <f>[12]References!$B$10</f>
        <v>2.1666666666666665</v>
      </c>
      <c r="D22" s="11">
        <f t="shared" si="1"/>
        <v>3613.9999999999995</v>
      </c>
      <c r="E22" s="206"/>
      <c r="F22" s="19"/>
      <c r="G22" s="19"/>
      <c r="H22" s="207"/>
      <c r="I22" s="206"/>
      <c r="J22" s="206"/>
      <c r="K22" s="206"/>
      <c r="L22" s="208"/>
      <c r="M22" s="206"/>
      <c r="N22" s="206"/>
      <c r="O22" s="4"/>
      <c r="P22" s="5"/>
      <c r="Q22" s="5"/>
      <c r="R22" s="9"/>
      <c r="T22" s="5"/>
      <c r="U22" s="5"/>
      <c r="V22" s="9"/>
      <c r="X22" s="46"/>
      <c r="Y22" s="46"/>
    </row>
    <row r="23" spans="1:25">
      <c r="A23" s="10" t="s">
        <v>18</v>
      </c>
      <c r="B23" s="11">
        <v>469</v>
      </c>
      <c r="C23" s="12">
        <f>[12]References!$B$10</f>
        <v>2.1666666666666665</v>
      </c>
      <c r="D23" s="11">
        <f t="shared" si="1"/>
        <v>12194</v>
      </c>
      <c r="E23" s="206"/>
      <c r="F23" s="19"/>
      <c r="G23" s="19"/>
      <c r="H23" s="207"/>
      <c r="I23" s="206"/>
      <c r="J23" s="206"/>
      <c r="K23" s="206"/>
      <c r="L23" s="208"/>
      <c r="M23" s="206"/>
      <c r="N23" s="206"/>
      <c r="O23" s="4"/>
      <c r="P23" s="5"/>
      <c r="Q23" s="5"/>
      <c r="R23" s="9"/>
      <c r="T23" s="5"/>
      <c r="U23" s="5"/>
      <c r="V23" s="9"/>
      <c r="X23" s="46"/>
      <c r="Y23" s="46"/>
    </row>
    <row r="24" spans="1:25">
      <c r="A24" s="10" t="s">
        <v>19</v>
      </c>
      <c r="B24" s="11">
        <v>104</v>
      </c>
      <c r="C24" s="12">
        <f>[12]References!$B$10</f>
        <v>2.1666666666666665</v>
      </c>
      <c r="D24" s="11">
        <f t="shared" si="1"/>
        <v>2704</v>
      </c>
      <c r="E24" s="206"/>
      <c r="F24" s="19"/>
      <c r="G24" s="19"/>
      <c r="H24" s="207"/>
      <c r="I24" s="206"/>
      <c r="J24" s="206"/>
      <c r="K24" s="206"/>
      <c r="L24" s="208"/>
      <c r="M24" s="206"/>
      <c r="N24" s="206"/>
      <c r="O24" s="4"/>
      <c r="P24" s="5"/>
      <c r="Q24" s="5"/>
      <c r="R24" s="9"/>
      <c r="T24" s="5"/>
      <c r="U24" s="5"/>
      <c r="V24" s="9"/>
      <c r="X24" s="46"/>
      <c r="Y24" s="46"/>
    </row>
    <row r="25" spans="1:25">
      <c r="A25" s="10" t="s">
        <v>20</v>
      </c>
      <c r="B25" s="11">
        <v>92</v>
      </c>
      <c r="C25" s="12">
        <f>[12]References!$B$10</f>
        <v>2.1666666666666665</v>
      </c>
      <c r="D25" s="11">
        <f t="shared" si="1"/>
        <v>2392</v>
      </c>
      <c r="E25" s="206"/>
      <c r="F25" s="19"/>
      <c r="G25" s="19"/>
      <c r="H25" s="207"/>
      <c r="I25" s="206"/>
      <c r="J25" s="206"/>
      <c r="K25" s="206"/>
      <c r="L25" s="208"/>
      <c r="M25" s="206"/>
      <c r="N25" s="206"/>
      <c r="O25" s="4"/>
      <c r="P25" s="5"/>
      <c r="Q25" s="5"/>
      <c r="R25" s="9"/>
      <c r="T25" s="5"/>
      <c r="U25" s="5"/>
      <c r="V25" s="9"/>
      <c r="X25" s="46"/>
      <c r="Y25" s="46"/>
    </row>
    <row r="26" spans="1:25">
      <c r="A26" s="10" t="s">
        <v>21</v>
      </c>
      <c r="B26" s="11">
        <v>32</v>
      </c>
      <c r="C26" s="12">
        <f>[12]References!$B$10</f>
        <v>2.1666666666666665</v>
      </c>
      <c r="D26" s="11">
        <f t="shared" si="1"/>
        <v>832</v>
      </c>
      <c r="E26" s="206"/>
      <c r="F26" s="19"/>
      <c r="G26" s="19"/>
      <c r="H26" s="207"/>
      <c r="I26" s="206"/>
      <c r="J26" s="206"/>
      <c r="K26" s="206"/>
      <c r="L26" s="208"/>
      <c r="M26" s="206"/>
      <c r="N26" s="206"/>
      <c r="O26" s="4"/>
      <c r="P26" s="5"/>
      <c r="Q26" s="5"/>
      <c r="R26" s="9"/>
      <c r="T26" s="5"/>
      <c r="U26" s="5"/>
      <c r="V26" s="9"/>
      <c r="X26" s="46"/>
      <c r="Y26" s="46"/>
    </row>
    <row r="27" spans="1:25">
      <c r="A27" s="10"/>
      <c r="B27" s="11"/>
      <c r="C27" s="11"/>
      <c r="D27" s="11"/>
      <c r="E27" s="19"/>
      <c r="F27" s="19"/>
      <c r="G27" s="19"/>
      <c r="H27" s="19"/>
      <c r="I27" s="19"/>
      <c r="J27" s="19"/>
      <c r="K27" s="19"/>
      <c r="L27" s="208"/>
      <c r="M27" s="19"/>
      <c r="N27" s="19"/>
      <c r="O27" s="4"/>
      <c r="P27" s="5"/>
      <c r="Q27" s="5"/>
      <c r="R27" s="9"/>
      <c r="T27" s="5"/>
      <c r="U27" s="5"/>
      <c r="V27" s="9"/>
      <c r="X27" s="46"/>
      <c r="Y27" s="46"/>
    </row>
    <row r="28" spans="1:25">
      <c r="A28" s="10" t="s">
        <v>22</v>
      </c>
      <c r="B28" s="11">
        <v>215</v>
      </c>
      <c r="C28" s="12">
        <f>[12]References!$B$11</f>
        <v>1</v>
      </c>
      <c r="D28" s="11">
        <f>B28*C28*12</f>
        <v>2580</v>
      </c>
      <c r="E28" s="206"/>
      <c r="F28" s="19"/>
      <c r="G28" s="19"/>
      <c r="H28" s="207"/>
      <c r="I28" s="206"/>
      <c r="J28" s="206"/>
      <c r="K28" s="206"/>
      <c r="L28" s="208"/>
      <c r="M28" s="206"/>
      <c r="N28" s="206"/>
      <c r="O28" s="4"/>
      <c r="P28" s="5"/>
      <c r="Q28" s="5"/>
      <c r="R28" s="9"/>
      <c r="T28" s="5"/>
      <c r="U28" s="5"/>
      <c r="V28" s="9"/>
      <c r="X28" s="46"/>
      <c r="Y28" s="46"/>
    </row>
    <row r="29" spans="1:25">
      <c r="A29" s="10" t="s">
        <v>23</v>
      </c>
      <c r="B29" s="11">
        <v>63</v>
      </c>
      <c r="C29" s="12">
        <f>[12]References!$B$11</f>
        <v>1</v>
      </c>
      <c r="D29" s="11">
        <f>B29*C29*12</f>
        <v>756</v>
      </c>
      <c r="E29" s="206"/>
      <c r="F29" s="19"/>
      <c r="G29" s="19"/>
      <c r="H29" s="207"/>
      <c r="I29" s="206"/>
      <c r="J29" s="206"/>
      <c r="K29" s="206"/>
      <c r="L29" s="208"/>
      <c r="M29" s="206"/>
      <c r="N29" s="206"/>
      <c r="O29" s="4"/>
      <c r="P29" s="5"/>
      <c r="Q29" s="5"/>
      <c r="R29" s="9"/>
      <c r="T29" s="5"/>
      <c r="U29" s="5"/>
      <c r="V29" s="9"/>
      <c r="X29" s="46"/>
      <c r="Y29" s="46"/>
    </row>
    <row r="30" spans="1:25">
      <c r="A30" s="10" t="s">
        <v>24</v>
      </c>
      <c r="B30" s="11">
        <v>4</v>
      </c>
      <c r="C30" s="12">
        <f>[12]References!$B$11</f>
        <v>1</v>
      </c>
      <c r="D30" s="11">
        <f>B30*C30*12</f>
        <v>48</v>
      </c>
      <c r="E30" s="206"/>
      <c r="F30" s="19"/>
      <c r="G30" s="19"/>
      <c r="H30" s="207"/>
      <c r="I30" s="206"/>
      <c r="J30" s="206"/>
      <c r="K30" s="206"/>
      <c r="L30" s="208"/>
      <c r="M30" s="206"/>
      <c r="N30" s="206"/>
      <c r="O30" s="4"/>
      <c r="P30" s="5"/>
      <c r="Q30" s="5"/>
      <c r="R30" s="9"/>
      <c r="T30" s="5"/>
      <c r="U30" s="5"/>
      <c r="V30" s="9"/>
      <c r="X30" s="46"/>
      <c r="Y30" s="46"/>
    </row>
    <row r="31" spans="1:25">
      <c r="A31" s="10" t="s">
        <v>25</v>
      </c>
      <c r="B31" s="11">
        <v>4</v>
      </c>
      <c r="C31" s="12">
        <f>[12]References!$B$11</f>
        <v>1</v>
      </c>
      <c r="D31" s="11">
        <f>B31*C31*12</f>
        <v>48</v>
      </c>
      <c r="E31" s="206"/>
      <c r="F31" s="19"/>
      <c r="G31" s="19"/>
      <c r="H31" s="207"/>
      <c r="I31" s="206"/>
      <c r="J31" s="206"/>
      <c r="K31" s="206"/>
      <c r="L31" s="208"/>
      <c r="M31" s="206"/>
      <c r="N31" s="206"/>
      <c r="O31" s="4"/>
      <c r="P31" s="5"/>
      <c r="Q31" s="5"/>
      <c r="R31" s="9"/>
      <c r="T31" s="5"/>
      <c r="U31" s="5"/>
      <c r="V31" s="9"/>
      <c r="X31" s="46"/>
      <c r="Y31" s="46"/>
    </row>
    <row r="32" spans="1:25">
      <c r="A32" s="10" t="s">
        <v>26</v>
      </c>
      <c r="B32" s="11">
        <v>6</v>
      </c>
      <c r="C32" s="12">
        <f>[12]References!$B$11</f>
        <v>1</v>
      </c>
      <c r="D32" s="11">
        <f>B32*C32*12</f>
        <v>72</v>
      </c>
      <c r="E32" s="206"/>
      <c r="F32" s="19"/>
      <c r="G32" s="19"/>
      <c r="H32" s="207"/>
      <c r="I32" s="206"/>
      <c r="J32" s="206"/>
      <c r="K32" s="206"/>
      <c r="L32" s="208"/>
      <c r="M32" s="206"/>
      <c r="N32" s="206"/>
      <c r="O32" s="4"/>
      <c r="P32" s="5"/>
      <c r="Q32" s="5"/>
      <c r="R32" s="9"/>
      <c r="T32" s="5"/>
      <c r="U32" s="5"/>
      <c r="V32" s="9"/>
      <c r="X32" s="46"/>
      <c r="Y32" s="46"/>
    </row>
    <row r="33" spans="1:26">
      <c r="A33" s="10"/>
      <c r="B33" s="11"/>
      <c r="C33" s="11"/>
      <c r="D33" s="11"/>
      <c r="E33" s="206"/>
      <c r="F33" s="19"/>
      <c r="G33" s="19"/>
      <c r="H33" s="19"/>
      <c r="I33" s="19"/>
      <c r="J33" s="19"/>
      <c r="K33" s="19"/>
      <c r="L33" s="208"/>
      <c r="M33" s="19"/>
      <c r="N33" s="19"/>
      <c r="O33" s="4"/>
      <c r="P33" s="5"/>
      <c r="Q33" s="5"/>
      <c r="R33" s="9"/>
      <c r="T33" s="5"/>
      <c r="U33" s="5"/>
      <c r="V33" s="9"/>
      <c r="X33" s="46"/>
      <c r="Y33" s="46"/>
    </row>
    <row r="34" spans="1:26">
      <c r="A34" s="10" t="s">
        <v>27</v>
      </c>
      <c r="B34" s="11">
        <v>267</v>
      </c>
      <c r="C34" s="12">
        <f>[12]References!$B$11</f>
        <v>1</v>
      </c>
      <c r="D34" s="11">
        <f>B34*C34*12</f>
        <v>3204</v>
      </c>
      <c r="E34" s="206"/>
      <c r="F34" s="19"/>
      <c r="G34" s="19"/>
      <c r="H34" s="207"/>
      <c r="I34" s="206"/>
      <c r="J34" s="206"/>
      <c r="K34" s="206"/>
      <c r="L34" s="208"/>
      <c r="M34" s="206"/>
      <c r="N34" s="206"/>
      <c r="O34" s="4"/>
      <c r="P34" s="5"/>
      <c r="Q34" s="5"/>
      <c r="R34" s="9"/>
      <c r="T34" s="5"/>
      <c r="U34" s="5"/>
      <c r="V34" s="9"/>
      <c r="X34" s="46"/>
      <c r="Y34" s="46"/>
    </row>
    <row r="35" spans="1:26">
      <c r="A35" s="10" t="s">
        <v>28</v>
      </c>
      <c r="B35" s="11">
        <v>98</v>
      </c>
      <c r="C35" s="12">
        <f>[12]References!$B$11</f>
        <v>1</v>
      </c>
      <c r="D35" s="11">
        <f>B35*C35*12</f>
        <v>1176</v>
      </c>
      <c r="E35" s="206"/>
      <c r="F35" s="19"/>
      <c r="G35" s="19"/>
      <c r="H35" s="207"/>
      <c r="I35" s="206"/>
      <c r="J35" s="206"/>
      <c r="K35" s="206"/>
      <c r="L35" s="208"/>
      <c r="M35" s="206"/>
      <c r="N35" s="206"/>
      <c r="O35" s="4"/>
      <c r="P35" s="5"/>
      <c r="Q35" s="5"/>
      <c r="R35" s="9"/>
      <c r="T35" s="5"/>
      <c r="U35" s="5"/>
      <c r="V35" s="9"/>
      <c r="X35" s="46"/>
      <c r="Y35" s="46"/>
    </row>
    <row r="36" spans="1:26">
      <c r="A36" s="10" t="s">
        <v>29</v>
      </c>
      <c r="B36" s="11">
        <v>12</v>
      </c>
      <c r="C36" s="12">
        <f>[12]References!$B$11</f>
        <v>1</v>
      </c>
      <c r="D36" s="11">
        <f>B36*C36*12</f>
        <v>144</v>
      </c>
      <c r="E36" s="206"/>
      <c r="F36" s="19"/>
      <c r="G36" s="19"/>
      <c r="H36" s="207"/>
      <c r="I36" s="206"/>
      <c r="J36" s="206"/>
      <c r="K36" s="206"/>
      <c r="L36" s="208"/>
      <c r="M36" s="206"/>
      <c r="N36" s="206"/>
      <c r="O36" s="4"/>
      <c r="P36" s="5"/>
      <c r="Q36" s="5"/>
      <c r="R36" s="9"/>
      <c r="T36" s="5"/>
      <c r="U36" s="5"/>
      <c r="V36" s="9"/>
      <c r="X36" s="46"/>
      <c r="Y36" s="46"/>
    </row>
    <row r="37" spans="1:26">
      <c r="A37" s="10" t="s">
        <v>30</v>
      </c>
      <c r="B37" s="11">
        <v>15</v>
      </c>
      <c r="C37" s="12">
        <f>[12]References!$B$11</f>
        <v>1</v>
      </c>
      <c r="D37" s="11">
        <f>B37*C37*12</f>
        <v>180</v>
      </c>
      <c r="E37" s="206"/>
      <c r="F37" s="19"/>
      <c r="G37" s="19"/>
      <c r="H37" s="207"/>
      <c r="I37" s="206"/>
      <c r="J37" s="206"/>
      <c r="K37" s="206"/>
      <c r="L37" s="208"/>
      <c r="M37" s="206"/>
      <c r="N37" s="206"/>
      <c r="O37" s="4"/>
      <c r="P37" s="5"/>
      <c r="Q37" s="5"/>
      <c r="R37" s="9"/>
      <c r="T37" s="5"/>
      <c r="U37" s="5"/>
      <c r="V37" s="9"/>
      <c r="X37" s="46"/>
      <c r="Y37" s="46"/>
    </row>
    <row r="38" spans="1:26">
      <c r="A38" s="10" t="s">
        <v>31</v>
      </c>
      <c r="B38" s="11">
        <v>6</v>
      </c>
      <c r="C38" s="12">
        <f>[12]References!$B$11</f>
        <v>1</v>
      </c>
      <c r="D38" s="11">
        <f>B38*C38*12</f>
        <v>72</v>
      </c>
      <c r="E38" s="206"/>
      <c r="F38" s="19"/>
      <c r="G38" s="19"/>
      <c r="H38" s="207"/>
      <c r="I38" s="206"/>
      <c r="J38" s="206"/>
      <c r="K38" s="206"/>
      <c r="L38" s="208"/>
      <c r="M38" s="206"/>
      <c r="N38" s="206"/>
      <c r="O38" s="4"/>
      <c r="P38" s="5"/>
      <c r="Q38" s="5"/>
      <c r="R38" s="9"/>
      <c r="T38" s="5"/>
      <c r="U38" s="5"/>
      <c r="V38" s="9"/>
      <c r="X38" s="46"/>
      <c r="Y38" s="46"/>
    </row>
    <row r="39" spans="1:26">
      <c r="A39" s="10"/>
      <c r="B39" s="11"/>
      <c r="C39" s="11"/>
      <c r="D39" s="11"/>
      <c r="E39" s="19"/>
      <c r="F39" s="19"/>
      <c r="G39" s="19"/>
      <c r="H39" s="19"/>
      <c r="I39" s="206"/>
      <c r="J39" s="206"/>
      <c r="K39" s="19"/>
      <c r="L39" s="208"/>
      <c r="M39" s="19"/>
      <c r="N39" s="19"/>
      <c r="O39" s="4"/>
      <c r="P39" s="5"/>
      <c r="Q39" s="5"/>
      <c r="R39" s="9"/>
      <c r="T39" s="5"/>
      <c r="U39" s="5"/>
      <c r="V39" s="9"/>
      <c r="X39" s="46"/>
      <c r="Y39" s="46"/>
    </row>
    <row r="40" spans="1:26">
      <c r="A40" s="10" t="s">
        <v>32</v>
      </c>
      <c r="B40" s="11">
        <v>0</v>
      </c>
      <c r="C40" s="12">
        <f>[12]References!$B$11</f>
        <v>1</v>
      </c>
      <c r="D40" s="11">
        <f>B40*C40*12</f>
        <v>0</v>
      </c>
      <c r="E40" s="19"/>
      <c r="F40" s="19"/>
      <c r="G40" s="19"/>
      <c r="H40" s="19"/>
      <c r="I40" s="206"/>
      <c r="J40" s="206"/>
      <c r="K40" s="19"/>
      <c r="L40" s="208"/>
      <c r="M40" s="19"/>
      <c r="N40" s="206"/>
      <c r="O40" s="4"/>
      <c r="P40" s="5"/>
      <c r="Q40" s="5"/>
      <c r="R40" s="9"/>
      <c r="T40" s="5"/>
      <c r="U40" s="5"/>
      <c r="V40" s="9"/>
      <c r="X40" s="46"/>
      <c r="Y40" s="46"/>
    </row>
    <row r="41" spans="1:26">
      <c r="A41" s="13" t="s">
        <v>33</v>
      </c>
      <c r="B41" s="11">
        <v>1019</v>
      </c>
      <c r="C41" s="12">
        <f>[12]References!$B$11</f>
        <v>1</v>
      </c>
      <c r="D41" s="11">
        <f>B41*C41*12</f>
        <v>12228</v>
      </c>
      <c r="E41" s="206"/>
      <c r="F41" s="19"/>
      <c r="G41" s="19"/>
      <c r="H41" s="207"/>
      <c r="I41" s="206"/>
      <c r="J41" s="206"/>
      <c r="K41" s="206"/>
      <c r="L41" s="208"/>
      <c r="M41" s="206"/>
      <c r="N41" s="206"/>
      <c r="O41" s="4"/>
      <c r="P41" s="5"/>
      <c r="Q41" s="5"/>
      <c r="R41" s="9"/>
      <c r="T41" s="5"/>
      <c r="U41" s="5"/>
      <c r="V41" s="9"/>
      <c r="X41" s="46"/>
      <c r="Y41" s="46"/>
    </row>
    <row r="42" spans="1:26">
      <c r="A42" s="10" t="s">
        <v>34</v>
      </c>
      <c r="B42" s="11">
        <v>96</v>
      </c>
      <c r="C42" s="12">
        <f>[12]References!$B$11</f>
        <v>1</v>
      </c>
      <c r="D42" s="11">
        <f>B42*C42*12</f>
        <v>1152</v>
      </c>
      <c r="E42" s="206"/>
      <c r="F42" s="19"/>
      <c r="G42" s="19"/>
      <c r="H42" s="207"/>
      <c r="I42" s="206"/>
      <c r="J42" s="206"/>
      <c r="K42" s="206"/>
      <c r="L42" s="208"/>
      <c r="M42" s="206"/>
      <c r="N42" s="206"/>
      <c r="O42" s="4"/>
      <c r="P42" s="5"/>
      <c r="Q42" s="5"/>
      <c r="R42" s="9"/>
      <c r="T42" s="5"/>
      <c r="U42" s="5"/>
      <c r="V42" s="9"/>
      <c r="X42" s="46"/>
      <c r="Y42" s="46"/>
    </row>
    <row r="43" spans="1:26" s="1" customFormat="1">
      <c r="A43" s="14" t="s">
        <v>35</v>
      </c>
      <c r="B43" s="15">
        <f>SUM(B7:B42)</f>
        <v>8873</v>
      </c>
      <c r="C43" s="15"/>
      <c r="D43" s="15">
        <f>SUM(D7:D42)</f>
        <v>329734</v>
      </c>
      <c r="E43" s="209"/>
      <c r="F43" s="210"/>
      <c r="G43" s="210"/>
      <c r="H43" s="210"/>
      <c r="I43" s="209"/>
      <c r="J43" s="209"/>
      <c r="K43" s="210"/>
      <c r="L43" s="210"/>
      <c r="M43" s="210"/>
      <c r="N43" s="209"/>
      <c r="O43" s="16"/>
      <c r="P43" s="17"/>
      <c r="Q43" s="17"/>
      <c r="R43" s="18"/>
      <c r="T43" s="17"/>
      <c r="U43" s="17"/>
      <c r="V43" s="18"/>
      <c r="X43" s="47"/>
      <c r="Y43" s="47"/>
      <c r="Z43" s="47"/>
    </row>
    <row r="44" spans="1:26">
      <c r="A44" s="1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4"/>
      <c r="P44" s="5"/>
      <c r="Q44" s="5"/>
      <c r="R44" s="9"/>
      <c r="T44" s="5"/>
      <c r="U44" s="5"/>
      <c r="V44" s="9"/>
    </row>
    <row r="45" spans="1:26" ht="12" thickBot="1">
      <c r="A45" s="8" t="s">
        <v>37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20"/>
      <c r="M45" s="19"/>
      <c r="N45" s="19"/>
      <c r="O45" s="5"/>
    </row>
    <row r="46" spans="1:26" ht="12" thickTop="1">
      <c r="A46" s="33" t="s">
        <v>38</v>
      </c>
      <c r="B46" s="34">
        <v>141</v>
      </c>
      <c r="C46" s="35">
        <f>[12]References!$B$11</f>
        <v>1</v>
      </c>
      <c r="D46" s="34">
        <f>B46*C46*12</f>
        <v>1692</v>
      </c>
      <c r="E46" s="206"/>
      <c r="F46" s="19"/>
      <c r="G46" s="19"/>
      <c r="H46" s="207"/>
      <c r="I46" s="211"/>
      <c r="J46" s="211"/>
      <c r="K46" s="206"/>
      <c r="L46" s="208"/>
      <c r="M46" s="206"/>
      <c r="N46" s="206"/>
      <c r="O46" s="4"/>
      <c r="P46" s="5"/>
      <c r="Q46" s="5"/>
      <c r="R46" s="9"/>
      <c r="T46" s="5"/>
      <c r="U46" s="5"/>
      <c r="V46" s="9"/>
      <c r="X46" s="46"/>
      <c r="Y46" s="46"/>
    </row>
    <row r="47" spans="1:26">
      <c r="A47" s="33"/>
      <c r="B47" s="34"/>
      <c r="C47" s="34"/>
      <c r="D47" s="34"/>
      <c r="E47" s="19"/>
      <c r="F47" s="19"/>
      <c r="G47" s="19"/>
      <c r="H47" s="19"/>
      <c r="I47" s="19"/>
      <c r="J47" s="19"/>
      <c r="K47" s="19"/>
      <c r="L47" s="208"/>
      <c r="M47" s="212"/>
      <c r="N47" s="212"/>
      <c r="O47" s="4"/>
      <c r="P47" s="21"/>
      <c r="Q47" s="21"/>
      <c r="R47" s="22"/>
      <c r="X47" s="46"/>
      <c r="Y47" s="46"/>
    </row>
    <row r="48" spans="1:26">
      <c r="A48" s="33" t="s">
        <v>39</v>
      </c>
      <c r="B48" s="34">
        <v>1</v>
      </c>
      <c r="C48" s="35">
        <f>[12]References!$B$9</f>
        <v>4.333333333333333</v>
      </c>
      <c r="D48" s="34">
        <f>B48*C48*12</f>
        <v>52</v>
      </c>
      <c r="E48" s="206"/>
      <c r="F48" s="19"/>
      <c r="G48" s="19"/>
      <c r="H48" s="207"/>
      <c r="I48" s="211"/>
      <c r="J48" s="211"/>
      <c r="K48" s="206"/>
      <c r="L48" s="208"/>
      <c r="M48" s="206"/>
      <c r="N48" s="213"/>
      <c r="O48" s="4"/>
      <c r="P48" s="5"/>
      <c r="Q48" s="5"/>
      <c r="R48" s="9"/>
      <c r="T48" s="5"/>
      <c r="U48" s="5"/>
      <c r="V48" s="9"/>
      <c r="X48" s="46"/>
      <c r="Y48" s="46"/>
    </row>
    <row r="49" spans="1:26">
      <c r="A49" s="33" t="s">
        <v>40</v>
      </c>
      <c r="B49" s="34">
        <v>75</v>
      </c>
      <c r="C49" s="35">
        <f>[12]References!$B$9</f>
        <v>4.333333333333333</v>
      </c>
      <c r="D49" s="34">
        <f>B49*C49*12</f>
        <v>3900</v>
      </c>
      <c r="E49" s="206"/>
      <c r="F49" s="19"/>
      <c r="G49" s="19"/>
      <c r="H49" s="207"/>
      <c r="I49" s="211"/>
      <c r="J49" s="211"/>
      <c r="K49" s="206"/>
      <c r="L49" s="208"/>
      <c r="M49" s="206"/>
      <c r="N49" s="213"/>
      <c r="O49" s="4"/>
      <c r="P49" s="5"/>
      <c r="Q49" s="5"/>
      <c r="R49" s="9"/>
      <c r="T49" s="5"/>
      <c r="U49" s="5"/>
      <c r="V49" s="9"/>
      <c r="X49" s="46"/>
      <c r="Y49" s="46"/>
    </row>
    <row r="50" spans="1:26">
      <c r="A50" s="33" t="s">
        <v>41</v>
      </c>
      <c r="B50" s="34">
        <f>223+8</f>
        <v>231</v>
      </c>
      <c r="C50" s="35">
        <f>[12]References!$B$9</f>
        <v>4.333333333333333</v>
      </c>
      <c r="D50" s="34">
        <f>B50*C50*12</f>
        <v>12011.999999999998</v>
      </c>
      <c r="E50" s="206"/>
      <c r="F50" s="19"/>
      <c r="G50" s="19"/>
      <c r="H50" s="207"/>
      <c r="I50" s="211"/>
      <c r="J50" s="211"/>
      <c r="K50" s="206"/>
      <c r="L50" s="208"/>
      <c r="M50" s="206"/>
      <c r="N50" s="213"/>
      <c r="O50" s="4"/>
      <c r="P50" s="5"/>
      <c r="Q50" s="5"/>
      <c r="R50" s="9"/>
      <c r="T50" s="5"/>
      <c r="U50" s="5"/>
      <c r="V50" s="9"/>
      <c r="X50" s="46"/>
      <c r="Y50" s="46"/>
    </row>
    <row r="51" spans="1:26">
      <c r="A51" s="33" t="s">
        <v>1</v>
      </c>
      <c r="B51" s="34"/>
      <c r="C51" s="34"/>
      <c r="D51" s="34"/>
      <c r="E51" s="19"/>
      <c r="F51" s="19"/>
      <c r="G51" s="19"/>
      <c r="H51" s="19"/>
      <c r="I51" s="19"/>
      <c r="J51" s="19"/>
      <c r="K51" s="19"/>
      <c r="L51" s="208"/>
      <c r="M51" s="212"/>
      <c r="N51" s="212"/>
      <c r="O51" s="4"/>
      <c r="P51" s="5"/>
      <c r="Q51" s="5"/>
      <c r="R51" s="9"/>
      <c r="T51" s="5"/>
      <c r="U51" s="5"/>
      <c r="V51" s="9"/>
      <c r="X51" s="46"/>
      <c r="Y51" s="46"/>
    </row>
    <row r="52" spans="1:26">
      <c r="A52" s="33" t="s">
        <v>42</v>
      </c>
      <c r="B52" s="34">
        <v>7</v>
      </c>
      <c r="C52" s="35">
        <f>[12]References!$B$10</f>
        <v>2.1666666666666665</v>
      </c>
      <c r="D52" s="34">
        <f>B52*C52*12</f>
        <v>182</v>
      </c>
      <c r="E52" s="206"/>
      <c r="F52" s="19"/>
      <c r="G52" s="19"/>
      <c r="H52" s="207"/>
      <c r="I52" s="211"/>
      <c r="J52" s="211"/>
      <c r="K52" s="206"/>
      <c r="L52" s="208"/>
      <c r="M52" s="206"/>
      <c r="N52" s="213"/>
      <c r="O52" s="4"/>
      <c r="P52" s="5"/>
      <c r="Q52" s="5"/>
      <c r="R52" s="9"/>
      <c r="T52" s="5"/>
      <c r="U52" s="5"/>
      <c r="V52" s="9"/>
      <c r="X52" s="46"/>
      <c r="Y52" s="46"/>
    </row>
    <row r="53" spans="1:26">
      <c r="A53" s="33" t="s">
        <v>43</v>
      </c>
      <c r="B53" s="34">
        <v>181</v>
      </c>
      <c r="C53" s="35">
        <f>[12]References!$B$10</f>
        <v>2.1666666666666665</v>
      </c>
      <c r="D53" s="34">
        <f>B53*C53*12</f>
        <v>4706</v>
      </c>
      <c r="E53" s="206"/>
      <c r="F53" s="19"/>
      <c r="G53" s="19"/>
      <c r="H53" s="207"/>
      <c r="I53" s="211"/>
      <c r="J53" s="211"/>
      <c r="K53" s="206"/>
      <c r="L53" s="208"/>
      <c r="M53" s="206"/>
      <c r="N53" s="213"/>
      <c r="O53" s="4"/>
      <c r="P53" s="5"/>
      <c r="Q53" s="5"/>
      <c r="R53" s="9"/>
      <c r="T53" s="5"/>
      <c r="U53" s="5"/>
      <c r="V53" s="9"/>
      <c r="X53" s="46"/>
      <c r="Y53" s="46"/>
    </row>
    <row r="54" spans="1:26">
      <c r="A54" s="33" t="s">
        <v>44</v>
      </c>
      <c r="B54" s="34">
        <v>109</v>
      </c>
      <c r="C54" s="35">
        <f>[12]References!$B$10</f>
        <v>2.1666666666666665</v>
      </c>
      <c r="D54" s="34">
        <f>B54*C54*12</f>
        <v>2834</v>
      </c>
      <c r="E54" s="206"/>
      <c r="F54" s="19"/>
      <c r="G54" s="19"/>
      <c r="H54" s="207"/>
      <c r="I54" s="211"/>
      <c r="J54" s="211"/>
      <c r="K54" s="206"/>
      <c r="L54" s="208"/>
      <c r="M54" s="206"/>
      <c r="N54" s="213"/>
      <c r="O54" s="4"/>
      <c r="P54" s="5"/>
      <c r="Q54" s="5"/>
      <c r="R54" s="9"/>
      <c r="T54" s="5"/>
      <c r="U54" s="5"/>
      <c r="V54" s="9"/>
      <c r="X54" s="46"/>
      <c r="Y54" s="46"/>
    </row>
    <row r="55" spans="1:26">
      <c r="A55" s="33" t="s">
        <v>1</v>
      </c>
      <c r="B55" s="34"/>
      <c r="C55" s="34"/>
      <c r="D55" s="34"/>
      <c r="E55" s="19"/>
      <c r="F55" s="19"/>
      <c r="G55" s="19"/>
      <c r="H55" s="19"/>
      <c r="I55" s="19"/>
      <c r="J55" s="19"/>
      <c r="K55" s="19"/>
      <c r="L55" s="208"/>
      <c r="M55" s="212"/>
      <c r="N55" s="212"/>
      <c r="O55" s="4"/>
      <c r="P55" s="5"/>
      <c r="Q55" s="5"/>
      <c r="R55" s="9"/>
      <c r="T55" s="5"/>
      <c r="U55" s="5"/>
      <c r="V55" s="9"/>
    </row>
    <row r="56" spans="1:26" s="1" customFormat="1">
      <c r="A56" s="36" t="s">
        <v>35</v>
      </c>
      <c r="B56" s="37">
        <f>SUM(B46:B55)</f>
        <v>745</v>
      </c>
      <c r="C56" s="37"/>
      <c r="D56" s="37">
        <f>SUM(D46:D55)</f>
        <v>25378</v>
      </c>
      <c r="E56" s="40"/>
      <c r="F56" s="39"/>
      <c r="G56" s="39"/>
      <c r="H56" s="39"/>
      <c r="I56" s="40"/>
      <c r="J56" s="40"/>
      <c r="K56" s="39"/>
      <c r="L56" s="41"/>
      <c r="M56" s="40"/>
      <c r="N56" s="40"/>
      <c r="O56" s="39"/>
      <c r="P56" s="39"/>
      <c r="Q56" s="39"/>
      <c r="R56" s="214"/>
      <c r="S56" s="42"/>
      <c r="T56" s="39"/>
      <c r="U56" s="39"/>
      <c r="V56" s="214"/>
      <c r="W56" s="42"/>
      <c r="X56" s="215"/>
      <c r="Y56" s="215"/>
      <c r="Z56" s="215"/>
    </row>
    <row r="57" spans="1:26" s="1" customFormat="1">
      <c r="A57" s="38" t="s">
        <v>161</v>
      </c>
      <c r="B57" s="39"/>
      <c r="C57" s="39"/>
      <c r="D57" s="39"/>
      <c r="E57" s="40"/>
      <c r="F57" s="39"/>
      <c r="G57" s="39"/>
      <c r="H57" s="39"/>
      <c r="I57" s="40"/>
      <c r="J57" s="40"/>
      <c r="K57" s="39"/>
      <c r="L57" s="41"/>
      <c r="M57" s="40"/>
      <c r="N57" s="40"/>
      <c r="O57" s="39"/>
      <c r="P57" s="39"/>
      <c r="Q57" s="39"/>
      <c r="R57" s="214"/>
      <c r="S57" s="42"/>
      <c r="T57" s="39"/>
      <c r="U57" s="39"/>
      <c r="V57" s="214"/>
      <c r="W57" s="42"/>
      <c r="X57" s="215"/>
      <c r="Y57" s="215"/>
      <c r="Z57" s="215"/>
    </row>
    <row r="58" spans="1:26" s="1" customFormat="1">
      <c r="A58" s="38"/>
      <c r="B58" s="39"/>
      <c r="C58" s="39"/>
      <c r="D58" s="39"/>
      <c r="E58" s="40"/>
      <c r="F58" s="39"/>
      <c r="G58" s="39"/>
      <c r="H58" s="39"/>
      <c r="I58" s="40"/>
      <c r="J58" s="40"/>
      <c r="K58" s="39"/>
      <c r="L58" s="41"/>
      <c r="M58" s="40"/>
      <c r="N58" s="40"/>
      <c r="O58" s="39"/>
      <c r="P58" s="39"/>
      <c r="Q58" s="39"/>
      <c r="R58" s="214"/>
      <c r="S58" s="42"/>
      <c r="T58" s="39"/>
      <c r="U58" s="39"/>
      <c r="V58" s="214"/>
      <c r="W58" s="42"/>
      <c r="X58" s="42"/>
      <c r="Y58" s="42"/>
      <c r="Z58" s="42"/>
    </row>
    <row r="59" spans="1:26" s="1" customFormat="1" ht="12" thickBot="1">
      <c r="A59" s="8" t="s">
        <v>163</v>
      </c>
      <c r="B59" s="39"/>
      <c r="C59" s="39"/>
      <c r="D59" s="39"/>
      <c r="E59" s="40"/>
      <c r="F59" s="39"/>
      <c r="G59" s="39"/>
      <c r="H59" s="39"/>
      <c r="I59" s="40"/>
      <c r="J59" s="40"/>
      <c r="K59" s="39"/>
      <c r="L59" s="41"/>
      <c r="M59" s="40"/>
      <c r="N59" s="40"/>
      <c r="O59" s="39"/>
      <c r="P59" s="39"/>
      <c r="Q59" s="39"/>
      <c r="R59" s="214"/>
      <c r="S59" s="42"/>
      <c r="T59" s="39"/>
      <c r="U59" s="39"/>
      <c r="V59" s="214"/>
      <c r="W59" s="42"/>
      <c r="X59" s="42"/>
      <c r="Y59" s="42"/>
      <c r="Z59" s="42"/>
    </row>
    <row r="60" spans="1:26" s="1" customFormat="1" ht="12" thickTop="1">
      <c r="A60" s="33" t="s">
        <v>164</v>
      </c>
      <c r="B60" s="34">
        <v>0</v>
      </c>
      <c r="C60" s="35">
        <v>1</v>
      </c>
      <c r="D60" s="34">
        <f>C60*12</f>
        <v>12</v>
      </c>
      <c r="E60" s="213"/>
      <c r="F60" s="212"/>
      <c r="G60" s="212"/>
      <c r="H60" s="216"/>
      <c r="I60" s="217"/>
      <c r="J60" s="217"/>
      <c r="K60" s="213"/>
      <c r="L60" s="218"/>
      <c r="M60" s="213"/>
      <c r="N60" s="40"/>
      <c r="O60" s="39"/>
      <c r="P60" s="39"/>
      <c r="Q60" s="39"/>
      <c r="R60" s="214"/>
      <c r="S60" s="42"/>
      <c r="T60" s="39"/>
      <c r="U60" s="39"/>
      <c r="V60" s="214"/>
      <c r="W60" s="42"/>
      <c r="X60" s="42"/>
      <c r="Y60" s="42"/>
      <c r="Z60" s="42"/>
    </row>
    <row r="61" spans="1:26" s="1" customFormat="1">
      <c r="A61" s="42"/>
      <c r="B61" s="39"/>
      <c r="C61" s="39"/>
      <c r="D61" s="39"/>
      <c r="E61" s="40"/>
      <c r="F61" s="39"/>
      <c r="G61" s="39"/>
      <c r="H61" s="39"/>
      <c r="I61" s="40"/>
      <c r="J61" s="40"/>
      <c r="K61" s="39"/>
      <c r="L61" s="41"/>
      <c r="M61" s="40"/>
      <c r="N61" s="40"/>
      <c r="O61" s="39"/>
      <c r="P61" s="39"/>
      <c r="Q61" s="39"/>
      <c r="R61" s="214"/>
      <c r="S61" s="42"/>
      <c r="T61" s="39"/>
      <c r="U61" s="39"/>
      <c r="V61" s="214"/>
      <c r="W61" s="42"/>
      <c r="X61" s="42"/>
      <c r="Y61" s="42"/>
      <c r="Z61" s="42"/>
    </row>
    <row r="62" spans="1:26" s="1" customFormat="1">
      <c r="A62" s="33" t="s">
        <v>143</v>
      </c>
      <c r="B62" s="34">
        <v>0</v>
      </c>
      <c r="C62" s="35">
        <v>1</v>
      </c>
      <c r="D62" s="34">
        <f t="shared" ref="D62:D68" si="2">C62*12</f>
        <v>12</v>
      </c>
      <c r="E62" s="213"/>
      <c r="F62" s="212"/>
      <c r="G62" s="212"/>
      <c r="H62" s="216"/>
      <c r="I62" s="217"/>
      <c r="J62" s="217"/>
      <c r="K62" s="213"/>
      <c r="L62" s="218"/>
      <c r="M62" s="213"/>
      <c r="N62" s="40"/>
      <c r="O62" s="39"/>
      <c r="P62" s="39"/>
      <c r="Q62" s="39"/>
      <c r="R62" s="214"/>
      <c r="S62" s="42"/>
      <c r="T62" s="39"/>
      <c r="U62" s="39"/>
      <c r="V62" s="214"/>
      <c r="W62" s="42"/>
      <c r="X62" s="42"/>
      <c r="Y62" s="42"/>
      <c r="Z62" s="42"/>
    </row>
    <row r="63" spans="1:26" s="1" customFormat="1">
      <c r="A63" s="33" t="s">
        <v>165</v>
      </c>
      <c r="B63" s="34">
        <v>0</v>
      </c>
      <c r="C63" s="35">
        <v>1</v>
      </c>
      <c r="D63" s="34">
        <f t="shared" si="2"/>
        <v>12</v>
      </c>
      <c r="E63" s="213"/>
      <c r="F63" s="212"/>
      <c r="G63" s="212"/>
      <c r="H63" s="216"/>
      <c r="I63" s="217"/>
      <c r="J63" s="217"/>
      <c r="K63" s="213"/>
      <c r="L63" s="218"/>
      <c r="M63" s="213"/>
      <c r="N63" s="40"/>
      <c r="O63" s="39"/>
      <c r="P63" s="39"/>
      <c r="Q63" s="39"/>
      <c r="R63" s="214"/>
      <c r="S63" s="42"/>
      <c r="T63" s="39"/>
      <c r="U63" s="39"/>
      <c r="V63" s="214"/>
      <c r="W63" s="42"/>
      <c r="X63" s="42"/>
      <c r="Y63" s="42"/>
      <c r="Z63" s="42"/>
    </row>
    <row r="64" spans="1:26" s="1" customFormat="1">
      <c r="A64" s="38"/>
      <c r="B64" s="39"/>
      <c r="C64" s="39"/>
      <c r="D64" s="39"/>
      <c r="E64" s="40"/>
      <c r="F64" s="39"/>
      <c r="G64" s="39"/>
      <c r="H64" s="39"/>
      <c r="I64" s="40"/>
      <c r="J64" s="40"/>
      <c r="K64" s="39"/>
      <c r="L64" s="41"/>
      <c r="M64" s="40"/>
      <c r="N64" s="40"/>
      <c r="O64" s="39"/>
      <c r="P64" s="39"/>
      <c r="Q64" s="39"/>
      <c r="R64" s="214"/>
      <c r="S64" s="42"/>
      <c r="T64" s="39"/>
      <c r="U64" s="39"/>
      <c r="V64" s="214"/>
      <c r="W64" s="42"/>
      <c r="X64" s="42"/>
      <c r="Y64" s="42"/>
      <c r="Z64" s="42"/>
    </row>
    <row r="65" spans="1:26" s="1" customFormat="1">
      <c r="A65" s="33" t="s">
        <v>145</v>
      </c>
      <c r="B65" s="34">
        <v>0</v>
      </c>
      <c r="C65" s="35">
        <v>1</v>
      </c>
      <c r="D65" s="34">
        <f t="shared" si="2"/>
        <v>12</v>
      </c>
      <c r="E65" s="213"/>
      <c r="F65" s="212"/>
      <c r="G65" s="212"/>
      <c r="H65" s="216"/>
      <c r="I65" s="217"/>
      <c r="J65" s="217"/>
      <c r="K65" s="213"/>
      <c r="L65" s="218"/>
      <c r="M65" s="213"/>
      <c r="N65" s="40"/>
      <c r="O65" s="39"/>
      <c r="P65" s="39"/>
      <c r="Q65" s="39"/>
      <c r="R65" s="214"/>
      <c r="S65" s="42"/>
      <c r="T65" s="39"/>
      <c r="U65" s="39"/>
      <c r="V65" s="214"/>
      <c r="W65" s="42"/>
      <c r="X65" s="42"/>
      <c r="Y65" s="42"/>
      <c r="Z65" s="42"/>
    </row>
    <row r="66" spans="1:26" s="1" customFormat="1">
      <c r="A66" s="33" t="s">
        <v>146</v>
      </c>
      <c r="B66" s="34">
        <v>0</v>
      </c>
      <c r="C66" s="35">
        <v>4.33</v>
      </c>
      <c r="D66" s="34">
        <f t="shared" si="2"/>
        <v>51.96</v>
      </c>
      <c r="E66" s="213"/>
      <c r="F66" s="212"/>
      <c r="G66" s="212"/>
      <c r="H66" s="216"/>
      <c r="I66" s="217"/>
      <c r="J66" s="217"/>
      <c r="K66" s="213"/>
      <c r="L66" s="218"/>
      <c r="M66" s="213"/>
      <c r="N66" s="40"/>
      <c r="O66" s="39"/>
      <c r="P66" s="39"/>
      <c r="Q66" s="39"/>
      <c r="R66" s="214"/>
      <c r="S66" s="42"/>
      <c r="T66" s="39"/>
      <c r="U66" s="39"/>
      <c r="V66" s="214"/>
      <c r="W66" s="42"/>
      <c r="X66" s="42"/>
      <c r="Y66" s="42"/>
      <c r="Z66" s="42"/>
    </row>
    <row r="67" spans="1:26" s="1" customFormat="1">
      <c r="A67" s="38"/>
      <c r="B67" s="39"/>
      <c r="C67" s="39"/>
      <c r="D67" s="39"/>
      <c r="E67" s="40"/>
      <c r="F67" s="39"/>
      <c r="G67" s="39"/>
      <c r="H67" s="39"/>
      <c r="I67" s="40"/>
      <c r="J67" s="40"/>
      <c r="K67" s="39"/>
      <c r="L67" s="41"/>
      <c r="M67" s="40"/>
      <c r="N67" s="42"/>
      <c r="O67" s="39"/>
      <c r="P67" s="39"/>
      <c r="Q67" s="39"/>
      <c r="R67" s="214"/>
      <c r="S67" s="42"/>
      <c r="T67" s="39"/>
      <c r="U67" s="39"/>
      <c r="V67" s="214"/>
      <c r="W67" s="42"/>
      <c r="X67" s="42"/>
      <c r="Y67" s="42"/>
      <c r="Z67" s="42"/>
    </row>
    <row r="68" spans="1:26">
      <c r="A68" s="33" t="s">
        <v>45</v>
      </c>
      <c r="B68" s="34">
        <v>0</v>
      </c>
      <c r="C68" s="35">
        <f>[12]References!$B$11</f>
        <v>1</v>
      </c>
      <c r="D68" s="34">
        <f t="shared" si="2"/>
        <v>12</v>
      </c>
      <c r="E68" s="212"/>
      <c r="F68" s="212"/>
      <c r="G68" s="212"/>
      <c r="H68" s="216"/>
      <c r="I68" s="217"/>
      <c r="J68" s="217"/>
      <c r="K68" s="213"/>
      <c r="L68" s="218"/>
      <c r="M68" s="213"/>
      <c r="N68" s="40"/>
      <c r="O68" s="219"/>
      <c r="P68" s="220"/>
      <c r="Q68" s="220"/>
      <c r="R68" s="221"/>
      <c r="S68" s="222"/>
      <c r="T68" s="220"/>
      <c r="U68" s="220"/>
      <c r="V68" s="221"/>
      <c r="W68" s="222"/>
      <c r="X68" s="222"/>
      <c r="Y68" s="222"/>
      <c r="Z68" s="222"/>
    </row>
    <row r="69" spans="1:26" s="1" customFormat="1">
      <c r="A69" s="38"/>
      <c r="B69" s="39"/>
      <c r="C69" s="39"/>
      <c r="D69" s="39"/>
      <c r="E69" s="40"/>
      <c r="F69" s="39"/>
      <c r="G69" s="39"/>
      <c r="H69" s="39"/>
      <c r="I69" s="40"/>
      <c r="J69" s="40"/>
      <c r="K69" s="39"/>
      <c r="L69" s="41"/>
      <c r="M69" s="40"/>
      <c r="N69" s="40"/>
      <c r="O69" s="39"/>
      <c r="P69" s="39"/>
      <c r="Q69" s="39"/>
      <c r="R69" s="214"/>
      <c r="S69" s="42"/>
      <c r="T69" s="39"/>
      <c r="U69" s="39"/>
      <c r="V69" s="214"/>
      <c r="W69" s="42"/>
      <c r="X69" s="42"/>
      <c r="Y69" s="42"/>
      <c r="Z69" s="42"/>
    </row>
    <row r="70" spans="1:26" s="1" customFormat="1">
      <c r="A70" s="38" t="s">
        <v>166</v>
      </c>
      <c r="B70" s="39"/>
      <c r="C70" s="39"/>
      <c r="D70" s="39"/>
      <c r="E70" s="40"/>
      <c r="F70" s="39"/>
      <c r="G70" s="39"/>
      <c r="H70" s="39"/>
      <c r="I70" s="40"/>
      <c r="J70" s="40"/>
      <c r="K70" s="39"/>
      <c r="L70" s="41"/>
      <c r="M70" s="40"/>
      <c r="N70" s="40"/>
      <c r="O70" s="39"/>
      <c r="P70" s="39"/>
      <c r="Q70" s="39"/>
      <c r="R70" s="214"/>
      <c r="S70" s="42"/>
      <c r="T70" s="39"/>
      <c r="U70" s="39"/>
      <c r="V70" s="214"/>
      <c r="W70" s="42"/>
      <c r="X70" s="42"/>
      <c r="Y70" s="42"/>
      <c r="Z70" s="42"/>
    </row>
    <row r="71" spans="1:26" s="1" customFormat="1">
      <c r="A71" s="33" t="s">
        <v>113</v>
      </c>
      <c r="B71" s="34">
        <v>0</v>
      </c>
      <c r="C71" s="35">
        <v>1</v>
      </c>
      <c r="D71" s="34">
        <f>C71*12</f>
        <v>12</v>
      </c>
      <c r="E71" s="213"/>
      <c r="F71" s="212"/>
      <c r="G71" s="212"/>
      <c r="H71" s="216"/>
      <c r="I71" s="217"/>
      <c r="J71" s="217"/>
      <c r="K71" s="213"/>
      <c r="L71" s="218"/>
      <c r="M71" s="213"/>
      <c r="N71" s="40"/>
      <c r="O71" s="39"/>
      <c r="P71" s="39"/>
      <c r="Q71" s="39"/>
      <c r="R71" s="214"/>
      <c r="S71" s="42"/>
      <c r="T71" s="39"/>
      <c r="U71" s="39"/>
      <c r="V71" s="214"/>
      <c r="W71" s="42"/>
      <c r="X71" s="42"/>
      <c r="Y71" s="42"/>
      <c r="Z71" s="42"/>
    </row>
    <row r="72" spans="1:26" s="1" customFormat="1">
      <c r="A72" s="33" t="s">
        <v>156</v>
      </c>
      <c r="B72" s="34">
        <v>0</v>
      </c>
      <c r="C72" s="35">
        <v>1</v>
      </c>
      <c r="D72" s="34">
        <f t="shared" ref="D72:D83" si="3">C72*12</f>
        <v>12</v>
      </c>
      <c r="E72" s="213"/>
      <c r="F72" s="212"/>
      <c r="G72" s="212"/>
      <c r="H72" s="216"/>
      <c r="I72" s="217"/>
      <c r="J72" s="217"/>
      <c r="K72" s="213"/>
      <c r="L72" s="218"/>
      <c r="M72" s="213"/>
      <c r="N72" s="40"/>
      <c r="O72" s="39"/>
      <c r="P72" s="39"/>
      <c r="Q72" s="39"/>
      <c r="R72" s="214"/>
      <c r="S72" s="42"/>
      <c r="T72" s="39"/>
      <c r="U72" s="39"/>
      <c r="V72" s="214"/>
      <c r="W72" s="42"/>
      <c r="X72" s="42"/>
      <c r="Y72" s="42"/>
      <c r="Z72" s="42"/>
    </row>
    <row r="73" spans="1:26" s="1" customFormat="1">
      <c r="A73" s="33" t="s">
        <v>157</v>
      </c>
      <c r="B73" s="34">
        <v>0</v>
      </c>
      <c r="C73" s="35">
        <v>1</v>
      </c>
      <c r="D73" s="34">
        <f t="shared" si="3"/>
        <v>12</v>
      </c>
      <c r="E73" s="213"/>
      <c r="F73" s="212"/>
      <c r="G73" s="212"/>
      <c r="H73" s="216"/>
      <c r="I73" s="217"/>
      <c r="J73" s="217"/>
      <c r="K73" s="213"/>
      <c r="L73" s="218"/>
      <c r="M73" s="213"/>
      <c r="N73" s="40"/>
      <c r="O73" s="39"/>
      <c r="P73" s="39"/>
      <c r="Q73" s="39"/>
      <c r="R73" s="214"/>
      <c r="S73" s="42"/>
      <c r="T73" s="39"/>
      <c r="U73" s="39"/>
      <c r="V73" s="214"/>
      <c r="W73" s="42"/>
      <c r="X73" s="42"/>
      <c r="Y73" s="42"/>
      <c r="Z73" s="42"/>
    </row>
    <row r="74" spans="1:26" s="1" customFormat="1">
      <c r="A74" s="33" t="s">
        <v>158</v>
      </c>
      <c r="B74" s="34">
        <v>0</v>
      </c>
      <c r="C74" s="35">
        <v>1</v>
      </c>
      <c r="D74" s="34">
        <f t="shared" si="3"/>
        <v>12</v>
      </c>
      <c r="E74" s="213"/>
      <c r="F74" s="212"/>
      <c r="G74" s="212"/>
      <c r="H74" s="216"/>
      <c r="I74" s="217"/>
      <c r="J74" s="217"/>
      <c r="K74" s="213"/>
      <c r="L74" s="218"/>
      <c r="M74" s="213"/>
      <c r="N74" s="40"/>
      <c r="O74" s="39"/>
      <c r="P74" s="39"/>
      <c r="Q74" s="39"/>
      <c r="R74" s="214"/>
      <c r="S74" s="42"/>
      <c r="T74" s="39"/>
      <c r="U74" s="39"/>
      <c r="V74" s="214"/>
      <c r="W74" s="42"/>
      <c r="X74" s="42"/>
      <c r="Y74" s="42"/>
      <c r="Z74" s="42"/>
    </row>
    <row r="75" spans="1:26" s="1" customFormat="1">
      <c r="A75" s="33" t="s">
        <v>159</v>
      </c>
      <c r="B75" s="34">
        <v>0</v>
      </c>
      <c r="C75" s="35">
        <v>1</v>
      </c>
      <c r="D75" s="34">
        <f t="shared" si="3"/>
        <v>12</v>
      </c>
      <c r="E75" s="213"/>
      <c r="F75" s="212"/>
      <c r="G75" s="212"/>
      <c r="H75" s="216"/>
      <c r="I75" s="217"/>
      <c r="J75" s="217"/>
      <c r="K75" s="213"/>
      <c r="L75" s="218"/>
      <c r="M75" s="213"/>
      <c r="N75" s="40"/>
      <c r="O75" s="39"/>
      <c r="P75" s="39"/>
      <c r="Q75" s="39"/>
      <c r="R75" s="214"/>
      <c r="S75" s="42"/>
      <c r="T75" s="39"/>
      <c r="U75" s="39"/>
      <c r="V75" s="214"/>
      <c r="W75" s="42"/>
      <c r="X75" s="42"/>
      <c r="Y75" s="42"/>
      <c r="Z75" s="42"/>
    </row>
    <row r="76" spans="1:26" s="1" customFormat="1">
      <c r="A76" s="33" t="s">
        <v>167</v>
      </c>
      <c r="B76" s="34">
        <v>0</v>
      </c>
      <c r="C76" s="35">
        <v>1</v>
      </c>
      <c r="D76" s="34">
        <f t="shared" si="3"/>
        <v>12</v>
      </c>
      <c r="E76" s="213"/>
      <c r="F76" s="212"/>
      <c r="G76" s="212"/>
      <c r="H76" s="216"/>
      <c r="I76" s="217"/>
      <c r="J76" s="217"/>
      <c r="K76" s="213"/>
      <c r="L76" s="218"/>
      <c r="M76" s="213"/>
      <c r="N76" s="40"/>
      <c r="O76" s="39"/>
      <c r="P76" s="39"/>
      <c r="Q76" s="39"/>
      <c r="R76" s="214"/>
      <c r="S76" s="42"/>
      <c r="T76" s="39"/>
      <c r="U76" s="39"/>
      <c r="V76" s="214"/>
      <c r="W76" s="42"/>
      <c r="X76" s="42"/>
      <c r="Y76" s="42"/>
      <c r="Z76" s="42"/>
    </row>
    <row r="77" spans="1:26" s="1" customFormat="1">
      <c r="A77" s="33" t="s">
        <v>174</v>
      </c>
      <c r="B77" s="34">
        <v>0</v>
      </c>
      <c r="C77" s="35">
        <v>4.33</v>
      </c>
      <c r="D77" s="34">
        <f t="shared" si="3"/>
        <v>51.96</v>
      </c>
      <c r="E77" s="213"/>
      <c r="F77" s="212"/>
      <c r="G77" s="212"/>
      <c r="H77" s="216"/>
      <c r="I77" s="217"/>
      <c r="J77" s="217"/>
      <c r="K77" s="213"/>
      <c r="L77" s="218"/>
      <c r="M77" s="213"/>
      <c r="N77" s="40"/>
      <c r="O77" s="39"/>
      <c r="P77" s="39"/>
      <c r="Q77" s="39"/>
      <c r="R77" s="214"/>
      <c r="S77" s="42"/>
      <c r="T77" s="39"/>
      <c r="U77" s="39"/>
      <c r="V77" s="214"/>
      <c r="W77" s="42"/>
      <c r="X77" s="42"/>
      <c r="Y77" s="42"/>
      <c r="Z77" s="42"/>
    </row>
    <row r="78" spans="1:26" s="1" customFormat="1">
      <c r="A78" s="33" t="s">
        <v>168</v>
      </c>
      <c r="B78" s="34">
        <v>0</v>
      </c>
      <c r="C78" s="35">
        <v>1</v>
      </c>
      <c r="D78" s="34">
        <f t="shared" si="3"/>
        <v>12</v>
      </c>
      <c r="E78" s="213"/>
      <c r="F78" s="212"/>
      <c r="G78" s="212"/>
      <c r="H78" s="216"/>
      <c r="I78" s="217"/>
      <c r="J78" s="217"/>
      <c r="K78" s="213"/>
      <c r="L78" s="218"/>
      <c r="M78" s="213"/>
      <c r="N78" s="40"/>
      <c r="O78" s="39"/>
      <c r="P78" s="39"/>
      <c r="Q78" s="39"/>
      <c r="R78" s="214"/>
      <c r="S78" s="42"/>
      <c r="T78" s="39"/>
      <c r="U78" s="39"/>
      <c r="V78" s="214"/>
      <c r="W78" s="42"/>
      <c r="X78" s="42"/>
      <c r="Y78" s="42"/>
      <c r="Z78" s="42"/>
    </row>
    <row r="79" spans="1:26" s="1" customFormat="1">
      <c r="A79" s="33" t="s">
        <v>169</v>
      </c>
      <c r="B79" s="34">
        <v>0</v>
      </c>
      <c r="C79" s="35">
        <v>1</v>
      </c>
      <c r="D79" s="34">
        <f t="shared" si="3"/>
        <v>12</v>
      </c>
      <c r="E79" s="213"/>
      <c r="F79" s="212"/>
      <c r="G79" s="212"/>
      <c r="H79" s="216"/>
      <c r="I79" s="217"/>
      <c r="J79" s="217"/>
      <c r="K79" s="213"/>
      <c r="L79" s="218"/>
      <c r="M79" s="213"/>
      <c r="N79" s="40"/>
      <c r="O79" s="39"/>
      <c r="P79" s="39"/>
      <c r="Q79" s="39"/>
      <c r="R79" s="214"/>
      <c r="S79" s="42"/>
      <c r="T79" s="39"/>
      <c r="U79" s="39"/>
      <c r="V79" s="214"/>
      <c r="W79" s="42"/>
      <c r="X79" s="42"/>
      <c r="Y79" s="42"/>
      <c r="Z79" s="42"/>
    </row>
    <row r="80" spans="1:26" s="1" customFormat="1">
      <c r="A80" s="33" t="s">
        <v>170</v>
      </c>
      <c r="B80" s="34">
        <v>0</v>
      </c>
      <c r="C80" s="35">
        <v>4.33</v>
      </c>
      <c r="D80" s="34">
        <f t="shared" si="3"/>
        <v>51.96</v>
      </c>
      <c r="E80" s="213"/>
      <c r="F80" s="212"/>
      <c r="G80" s="212"/>
      <c r="H80" s="216"/>
      <c r="I80" s="217"/>
      <c r="J80" s="217"/>
      <c r="K80" s="213"/>
      <c r="L80" s="218"/>
      <c r="M80" s="213"/>
      <c r="N80" s="40"/>
      <c r="O80" s="39"/>
      <c r="P80" s="39"/>
      <c r="Q80" s="39"/>
      <c r="R80" s="214"/>
      <c r="S80" s="42"/>
      <c r="T80" s="39"/>
      <c r="U80" s="39"/>
      <c r="V80" s="214"/>
      <c r="W80" s="42"/>
      <c r="X80" s="42"/>
      <c r="Y80" s="42"/>
      <c r="Z80" s="42"/>
    </row>
    <row r="81" spans="1:26" s="1" customFormat="1">
      <c r="A81" s="33" t="s">
        <v>171</v>
      </c>
      <c r="B81" s="34">
        <v>0</v>
      </c>
      <c r="C81" s="35">
        <v>4.33</v>
      </c>
      <c r="D81" s="34">
        <f t="shared" si="3"/>
        <v>51.96</v>
      </c>
      <c r="E81" s="213"/>
      <c r="F81" s="212"/>
      <c r="G81" s="212"/>
      <c r="H81" s="216"/>
      <c r="I81" s="217"/>
      <c r="J81" s="217"/>
      <c r="K81" s="213"/>
      <c r="L81" s="218"/>
      <c r="M81" s="213"/>
      <c r="N81" s="40"/>
      <c r="O81" s="39"/>
      <c r="P81" s="39"/>
      <c r="Q81" s="39"/>
      <c r="R81" s="214"/>
      <c r="S81" s="42"/>
      <c r="T81" s="39"/>
      <c r="U81" s="39"/>
      <c r="V81" s="214"/>
      <c r="W81" s="42"/>
      <c r="X81" s="42"/>
      <c r="Y81" s="42"/>
      <c r="Z81" s="42"/>
    </row>
    <row r="82" spans="1:26" s="1" customFormat="1">
      <c r="A82" s="33" t="s">
        <v>172</v>
      </c>
      <c r="B82" s="34">
        <v>0</v>
      </c>
      <c r="C82" s="35">
        <v>4.33</v>
      </c>
      <c r="D82" s="34">
        <f t="shared" si="3"/>
        <v>51.96</v>
      </c>
      <c r="E82" s="213"/>
      <c r="F82" s="212"/>
      <c r="G82" s="212"/>
      <c r="H82" s="216"/>
      <c r="I82" s="217"/>
      <c r="J82" s="217"/>
      <c r="K82" s="213"/>
      <c r="L82" s="218"/>
      <c r="M82" s="213"/>
      <c r="N82" s="40"/>
      <c r="O82" s="39"/>
      <c r="P82" s="39"/>
      <c r="Q82" s="39"/>
      <c r="R82" s="214"/>
      <c r="S82" s="42"/>
      <c r="T82" s="39"/>
      <c r="U82" s="39"/>
      <c r="V82" s="214"/>
      <c r="W82" s="42"/>
      <c r="X82" s="42"/>
      <c r="Y82" s="42"/>
      <c r="Z82" s="42"/>
    </row>
    <row r="83" spans="1:26" s="1" customFormat="1">
      <c r="A83" s="33" t="s">
        <v>173</v>
      </c>
      <c r="B83" s="34">
        <v>0</v>
      </c>
      <c r="C83" s="35">
        <v>4.33</v>
      </c>
      <c r="D83" s="34">
        <f t="shared" si="3"/>
        <v>51.96</v>
      </c>
      <c r="E83" s="213"/>
      <c r="F83" s="212"/>
      <c r="G83" s="212"/>
      <c r="H83" s="216"/>
      <c r="I83" s="217"/>
      <c r="J83" s="217"/>
      <c r="K83" s="213"/>
      <c r="L83" s="218"/>
      <c r="M83" s="213"/>
      <c r="N83" s="40"/>
      <c r="O83" s="39"/>
      <c r="P83" s="39"/>
      <c r="Q83" s="39"/>
      <c r="R83" s="214"/>
      <c r="S83" s="42"/>
      <c r="T83" s="39"/>
      <c r="U83" s="39"/>
      <c r="V83" s="214"/>
      <c r="W83" s="42"/>
      <c r="X83" s="42"/>
      <c r="Y83" s="42"/>
      <c r="Z83" s="42"/>
    </row>
    <row r="84" spans="1:26" s="1" customFormat="1">
      <c r="A84" s="38"/>
      <c r="B84" s="39"/>
      <c r="C84" s="39"/>
      <c r="D84" s="39"/>
      <c r="E84" s="40"/>
      <c r="F84" s="39"/>
      <c r="G84" s="39"/>
      <c r="H84" s="39"/>
      <c r="I84" s="40"/>
      <c r="J84" s="40"/>
      <c r="K84" s="39"/>
      <c r="L84" s="41"/>
      <c r="M84" s="40"/>
      <c r="N84" s="40"/>
      <c r="O84" s="39"/>
      <c r="P84" s="39"/>
      <c r="Q84" s="39"/>
      <c r="R84" s="214"/>
      <c r="S84" s="42"/>
      <c r="T84" s="39"/>
      <c r="U84" s="39"/>
      <c r="V84" s="214"/>
      <c r="W84" s="42"/>
      <c r="X84" s="42"/>
      <c r="Y84" s="42"/>
      <c r="Z84" s="42"/>
    </row>
    <row r="85" spans="1:26" s="1" customFormat="1">
      <c r="A85" s="38"/>
      <c r="B85" s="39"/>
      <c r="C85" s="39"/>
      <c r="D85" s="39"/>
      <c r="E85" s="40"/>
      <c r="F85" s="39"/>
      <c r="G85" s="39"/>
      <c r="H85" s="39"/>
      <c r="I85" s="40"/>
      <c r="J85" s="40"/>
      <c r="K85" s="39"/>
      <c r="L85" s="41"/>
      <c r="M85" s="40"/>
      <c r="N85" s="40"/>
      <c r="O85" s="39"/>
      <c r="P85" s="39"/>
      <c r="Q85" s="39"/>
      <c r="R85" s="214"/>
      <c r="S85" s="42"/>
      <c r="T85" s="39"/>
      <c r="U85" s="39"/>
      <c r="V85" s="214"/>
      <c r="W85" s="42"/>
      <c r="X85" s="42"/>
      <c r="Y85" s="42"/>
      <c r="Z85" s="42"/>
    </row>
    <row r="86" spans="1:26">
      <c r="E86" s="222"/>
      <c r="F86" s="222"/>
      <c r="G86" s="222"/>
      <c r="H86" s="222"/>
      <c r="I86" s="222"/>
      <c r="J86" s="222"/>
      <c r="K86" s="222"/>
      <c r="L86" s="223"/>
      <c r="M86" s="222"/>
      <c r="N86" s="222"/>
      <c r="O86" s="222"/>
      <c r="P86" s="224"/>
      <c r="Q86" s="225"/>
      <c r="R86" s="222"/>
      <c r="S86" s="222"/>
      <c r="T86" s="224"/>
      <c r="U86" s="225"/>
      <c r="V86" s="222"/>
      <c r="W86" s="222"/>
      <c r="X86" s="222"/>
      <c r="Y86" s="222"/>
      <c r="Z86" s="222"/>
    </row>
    <row r="87" spans="1:26">
      <c r="E87" s="222"/>
      <c r="F87" s="222"/>
      <c r="G87" s="226"/>
      <c r="H87" s="227"/>
      <c r="I87" s="227"/>
      <c r="J87" s="227"/>
      <c r="K87" s="227"/>
      <c r="L87" s="223"/>
      <c r="M87" s="222"/>
      <c r="N87" s="222"/>
      <c r="O87" s="222"/>
      <c r="P87" s="222"/>
      <c r="Q87" s="222"/>
      <c r="R87" s="222"/>
      <c r="S87" s="222"/>
      <c r="T87" s="222"/>
      <c r="U87" s="222"/>
      <c r="V87" s="222"/>
      <c r="W87" s="222"/>
      <c r="X87" s="222"/>
      <c r="Y87" s="222"/>
      <c r="Z87" s="222"/>
    </row>
    <row r="88" spans="1:26">
      <c r="E88" s="222"/>
      <c r="F88" s="222"/>
      <c r="G88" s="226"/>
      <c r="H88" s="228"/>
      <c r="I88" s="228"/>
      <c r="J88" s="228"/>
      <c r="K88" s="228"/>
      <c r="L88" s="223"/>
      <c r="M88" s="222"/>
      <c r="N88" s="222"/>
      <c r="O88" s="222"/>
      <c r="P88" s="222"/>
      <c r="Q88" s="222"/>
      <c r="R88" s="222"/>
      <c r="S88" s="222"/>
      <c r="T88" s="219"/>
      <c r="U88" s="219"/>
      <c r="V88" s="222"/>
      <c r="W88" s="222"/>
      <c r="X88" s="222"/>
      <c r="Y88" s="222"/>
      <c r="Z88" s="222"/>
    </row>
    <row r="89" spans="1:26">
      <c r="E89" s="222"/>
      <c r="F89" s="222"/>
      <c r="G89" s="222"/>
      <c r="H89" s="222"/>
      <c r="I89" s="222"/>
      <c r="J89" s="222"/>
      <c r="K89" s="222"/>
      <c r="L89" s="223"/>
      <c r="M89" s="222"/>
      <c r="N89" s="222"/>
      <c r="O89" s="222"/>
      <c r="P89" s="222"/>
      <c r="Q89" s="222"/>
      <c r="R89" s="222"/>
      <c r="S89" s="222"/>
      <c r="T89" s="222"/>
      <c r="U89" s="222"/>
      <c r="V89" s="222"/>
      <c r="W89" s="222"/>
      <c r="X89" s="222"/>
      <c r="Y89" s="222"/>
      <c r="Z89" s="222"/>
    </row>
    <row r="90" spans="1:26">
      <c r="E90" s="222"/>
      <c r="F90" s="222"/>
      <c r="G90" s="222"/>
      <c r="H90" s="222"/>
      <c r="I90" s="227"/>
      <c r="J90" s="227"/>
      <c r="K90" s="229"/>
      <c r="L90" s="227"/>
      <c r="M90" s="222"/>
      <c r="N90" s="222"/>
      <c r="O90" s="222"/>
      <c r="P90" s="222"/>
      <c r="Q90" s="222"/>
      <c r="R90" s="222"/>
      <c r="S90" s="222"/>
      <c r="T90" s="230"/>
      <c r="U90" s="222"/>
      <c r="V90" s="222"/>
      <c r="W90" s="222"/>
      <c r="X90" s="222"/>
      <c r="Y90" s="222"/>
      <c r="Z90" s="222"/>
    </row>
    <row r="91" spans="1:26">
      <c r="E91" s="222"/>
      <c r="F91" s="222"/>
      <c r="G91" s="231"/>
      <c r="H91" s="232"/>
      <c r="I91" s="228"/>
      <c r="J91" s="228"/>
      <c r="K91" s="228"/>
      <c r="L91" s="222"/>
      <c r="M91" s="222"/>
      <c r="N91" s="222"/>
      <c r="O91" s="222"/>
      <c r="P91" s="222"/>
      <c r="Q91" s="222"/>
      <c r="R91" s="222"/>
      <c r="S91" s="222"/>
      <c r="T91" s="222"/>
      <c r="U91" s="222"/>
      <c r="V91" s="222"/>
      <c r="W91" s="222"/>
      <c r="X91" s="222"/>
      <c r="Y91" s="222"/>
      <c r="Z91" s="222"/>
    </row>
    <row r="92" spans="1:26">
      <c r="E92" s="222"/>
      <c r="F92" s="222"/>
      <c r="G92" s="231"/>
      <c r="H92" s="232"/>
      <c r="I92" s="222"/>
      <c r="J92" s="222"/>
      <c r="K92" s="222"/>
      <c r="L92" s="223"/>
      <c r="M92" s="222"/>
      <c r="N92" s="222"/>
      <c r="O92" s="222"/>
      <c r="P92" s="222"/>
      <c r="Q92" s="222"/>
      <c r="R92" s="222"/>
      <c r="S92" s="222"/>
      <c r="T92" s="230"/>
      <c r="U92" s="222"/>
      <c r="V92" s="222"/>
      <c r="W92" s="222"/>
      <c r="X92" s="222"/>
      <c r="Y92" s="222"/>
      <c r="Z92" s="222"/>
    </row>
    <row r="93" spans="1:26">
      <c r="E93" s="222"/>
      <c r="F93" s="222"/>
      <c r="G93" s="231"/>
      <c r="H93" s="232"/>
      <c r="I93" s="222"/>
      <c r="J93" s="222"/>
      <c r="K93" s="222"/>
      <c r="L93" s="223"/>
      <c r="M93" s="222"/>
      <c r="N93" s="222"/>
      <c r="O93" s="222"/>
      <c r="P93" s="222"/>
      <c r="Q93" s="222"/>
      <c r="R93" s="222"/>
      <c r="S93" s="222"/>
      <c r="T93" s="222"/>
      <c r="U93" s="222"/>
      <c r="V93" s="222"/>
      <c r="W93" s="222"/>
      <c r="X93" s="222"/>
      <c r="Y93" s="222"/>
      <c r="Z93" s="222"/>
    </row>
    <row r="94" spans="1:26">
      <c r="E94" s="222"/>
      <c r="F94" s="222"/>
      <c r="G94" s="231"/>
      <c r="H94" s="42"/>
      <c r="I94" s="222"/>
      <c r="J94" s="222"/>
      <c r="K94" s="222"/>
      <c r="L94" s="223"/>
      <c r="M94" s="222"/>
      <c r="N94" s="222"/>
      <c r="O94" s="222"/>
      <c r="P94" s="222"/>
      <c r="Q94" s="222"/>
      <c r="R94" s="222"/>
      <c r="S94" s="222"/>
      <c r="T94" s="222"/>
      <c r="U94" s="222"/>
      <c r="V94" s="222"/>
      <c r="W94" s="222"/>
      <c r="X94" s="222"/>
      <c r="Y94" s="222"/>
      <c r="Z94" s="222"/>
    </row>
    <row r="95" spans="1:26">
      <c r="E95" s="222"/>
      <c r="F95" s="222"/>
      <c r="G95" s="42"/>
      <c r="H95" s="233"/>
      <c r="I95" s="222"/>
      <c r="J95" s="222"/>
      <c r="K95" s="222"/>
      <c r="L95" s="223"/>
      <c r="M95" s="222"/>
      <c r="N95" s="222"/>
      <c r="O95" s="222"/>
      <c r="P95" s="222"/>
      <c r="Q95" s="222"/>
      <c r="R95" s="222"/>
      <c r="S95" s="222"/>
      <c r="T95" s="222"/>
      <c r="U95" s="222"/>
      <c r="V95" s="222"/>
      <c r="W95" s="222"/>
      <c r="X95" s="222"/>
      <c r="Y95" s="222"/>
      <c r="Z95" s="222"/>
    </row>
    <row r="96" spans="1:26">
      <c r="E96" s="222"/>
      <c r="F96" s="222"/>
      <c r="G96" s="222"/>
      <c r="H96" s="222"/>
      <c r="I96" s="222"/>
      <c r="J96" s="222"/>
      <c r="K96" s="222"/>
      <c r="L96" s="223"/>
      <c r="M96" s="222"/>
      <c r="N96" s="222"/>
      <c r="O96" s="222"/>
      <c r="P96" s="222"/>
      <c r="Q96" s="222"/>
      <c r="R96" s="222"/>
      <c r="S96" s="222"/>
      <c r="T96" s="222"/>
      <c r="U96" s="222"/>
      <c r="V96" s="222"/>
      <c r="W96" s="222"/>
      <c r="X96" s="222"/>
      <c r="Y96" s="222"/>
      <c r="Z96" s="222"/>
    </row>
    <row r="97" spans="5:26">
      <c r="E97" s="222"/>
      <c r="F97" s="222"/>
      <c r="G97" s="222"/>
      <c r="H97" s="222"/>
      <c r="I97" s="222"/>
      <c r="J97" s="222"/>
      <c r="K97" s="222"/>
      <c r="L97" s="223"/>
      <c r="M97" s="222"/>
      <c r="N97" s="222"/>
      <c r="O97" s="222"/>
      <c r="P97" s="222"/>
      <c r="Q97" s="222"/>
      <c r="R97" s="222"/>
      <c r="S97" s="222"/>
      <c r="T97" s="222"/>
      <c r="U97" s="222"/>
      <c r="V97" s="222"/>
      <c r="W97" s="222"/>
      <c r="X97" s="222"/>
      <c r="Y97" s="222"/>
      <c r="Z97" s="222"/>
    </row>
    <row r="98" spans="5:26">
      <c r="E98" s="222"/>
      <c r="F98" s="222"/>
      <c r="G98" s="222"/>
      <c r="H98" s="222"/>
      <c r="I98" s="223"/>
      <c r="J98" s="222"/>
      <c r="K98" s="222"/>
      <c r="L98" s="222"/>
      <c r="M98" s="222"/>
      <c r="N98" s="222"/>
      <c r="O98" s="222"/>
      <c r="P98" s="222"/>
      <c r="Q98" s="222"/>
      <c r="R98" s="222"/>
      <c r="S98" s="222"/>
      <c r="T98" s="222"/>
      <c r="U98" s="222"/>
      <c r="V98" s="222"/>
      <c r="W98" s="222"/>
      <c r="X98" s="222"/>
      <c r="Y98" s="222"/>
      <c r="Z98" s="222"/>
    </row>
    <row r="99" spans="5:26">
      <c r="E99" s="222"/>
      <c r="F99" s="222"/>
      <c r="G99" s="222"/>
      <c r="H99" s="222"/>
      <c r="I99" s="223"/>
      <c r="J99" s="222"/>
      <c r="K99" s="222"/>
      <c r="L99" s="222"/>
      <c r="M99" s="222"/>
      <c r="N99" s="222"/>
      <c r="O99" s="222"/>
      <c r="P99" s="222"/>
      <c r="Q99" s="222"/>
      <c r="R99" s="222"/>
      <c r="S99" s="222"/>
      <c r="T99" s="222"/>
      <c r="U99" s="222"/>
      <c r="V99" s="222"/>
      <c r="W99" s="222"/>
      <c r="X99" s="222"/>
      <c r="Y99" s="222"/>
      <c r="Z99" s="222"/>
    </row>
    <row r="100" spans="5:26">
      <c r="E100" s="222"/>
      <c r="F100" s="222"/>
      <c r="G100" s="222"/>
      <c r="H100" s="222"/>
      <c r="I100" s="223"/>
      <c r="J100" s="222"/>
      <c r="K100" s="222"/>
      <c r="L100" s="222"/>
      <c r="M100" s="222"/>
      <c r="N100" s="222"/>
      <c r="O100" s="222"/>
      <c r="P100" s="222"/>
      <c r="Q100" s="222"/>
      <c r="R100" s="222"/>
      <c r="S100" s="222"/>
      <c r="T100" s="222"/>
      <c r="U100" s="222"/>
      <c r="V100" s="222"/>
      <c r="W100" s="222"/>
      <c r="X100" s="222"/>
      <c r="Y100" s="222"/>
      <c r="Z100" s="222"/>
    </row>
    <row r="101" spans="5:26">
      <c r="E101" s="222"/>
      <c r="F101" s="222"/>
      <c r="G101" s="222"/>
      <c r="H101" s="222"/>
      <c r="I101" s="223"/>
      <c r="J101" s="222"/>
      <c r="K101" s="222"/>
      <c r="L101" s="222"/>
      <c r="M101" s="222"/>
      <c r="N101" s="222"/>
      <c r="O101" s="222"/>
      <c r="P101" s="222"/>
      <c r="Q101" s="222"/>
      <c r="R101" s="222"/>
      <c r="S101" s="222"/>
      <c r="T101" s="222"/>
      <c r="U101" s="222"/>
      <c r="V101" s="222"/>
      <c r="W101" s="222"/>
      <c r="X101" s="222"/>
      <c r="Y101" s="222"/>
      <c r="Z101" s="222"/>
    </row>
    <row r="102" spans="5:26">
      <c r="E102" s="222"/>
      <c r="F102" s="222"/>
      <c r="G102" s="222"/>
      <c r="H102" s="222"/>
      <c r="I102" s="222"/>
      <c r="J102" s="222"/>
      <c r="K102" s="222"/>
      <c r="L102" s="223"/>
      <c r="M102" s="222"/>
      <c r="N102" s="222"/>
      <c r="O102" s="222"/>
      <c r="P102" s="222"/>
      <c r="Q102" s="222"/>
      <c r="R102" s="222"/>
      <c r="S102" s="222"/>
      <c r="T102" s="222"/>
      <c r="U102" s="222"/>
      <c r="V102" s="222"/>
      <c r="W102" s="222"/>
      <c r="X102" s="222"/>
      <c r="Y102" s="222"/>
      <c r="Z102" s="222"/>
    </row>
  </sheetData>
  <pageMargins left="0.7" right="0.7" top="0.75" bottom="0.75" header="0.3" footer="0.3"/>
  <pageSetup scale="99" fitToHeight="0" pageOrder="overThenDown" orientation="portrait" r:id="rId1"/>
  <headerFooter alignWithMargins="0">
    <oddHeader xml:space="preserve">&amp;C
</oddHeader>
    <oddFooter xml:space="preserve">&amp;R&amp;P of &amp;N    </oddFooter>
  </headerFooter>
  <rowBreaks count="2" manualBreakCount="2">
    <brk id="44" max="3" man="1"/>
    <brk id="85" max="52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2018-05-14T07:00:00+00:00</OpenedDate>
    <SignificantOrder xmlns="dc463f71-b30c-4ab2-9473-d307f9d35888">false</SignificantOrder>
    <Date1 xmlns="dc463f71-b30c-4ab2-9473-d307f9d35888">2018-05-14T07:00:00+00:00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Mason County Garbage Co., Inc.</CaseCompanyNames>
    <Nickname xmlns="http://schemas.microsoft.com/sharepoint/v3" xsi:nil="true"/>
    <DocketNumber xmlns="dc463f71-b30c-4ab2-9473-d307f9d35888">180428</DocketNumber>
    <DelegatedOrder xmlns="dc463f71-b30c-4ab2-9473-d307f9d35888">false</Delegated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7E28633D24BC547A49F19E0AC64FC1B" ma:contentTypeVersion="76" ma:contentTypeDescription="" ma:contentTypeScope="" ma:versionID="86533b30dfcd200a07e51bd399dce88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932966-AEE5-471D-83A0-CA1328691E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C421D1-438D-4690-B6CE-026FAC219A51}">
  <ds:schemaRefs>
    <ds:schemaRef ds:uri="http://purl.org/dc/elements/1.1/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7429f450-94b4-4416-870d-2c1407281566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F8F98B3-9A22-4592-BB9E-92FDFE0CDCCE}"/>
</file>

<file path=customXml/itemProps4.xml><?xml version="1.0" encoding="utf-8"?>
<ds:datastoreItem xmlns:ds="http://schemas.openxmlformats.org/officeDocument/2006/customXml" ds:itemID="{AB5C3AF6-59C3-486C-BF7A-AB18E19D67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References</vt:lpstr>
      <vt:lpstr>DF Calc (Kitsap Co.)</vt:lpstr>
      <vt:lpstr>Prop. Rates</vt:lpstr>
      <vt:lpstr>Co Cust Cnt - Kitsap</vt:lpstr>
      <vt:lpstr>Co Cust Cnt - Ref Only</vt:lpstr>
      <vt:lpstr>'Co Cust Cnt - Kitsap'!Print_Area</vt:lpstr>
      <vt:lpstr>'Co Cust Cnt - Ref Only'!Print_Area</vt:lpstr>
      <vt:lpstr>'Co Cust Cnt - Kitsap'!Print_Titles</vt:lpstr>
      <vt:lpstr>'Co Cust Cnt - Ref Only'!Print_Titles</vt:lpstr>
      <vt:lpstr>'DF Calc (Kitsap Co.)'!Print_Titles</vt:lpstr>
      <vt:lpstr>'Prop. Rates'!Print_Titles</vt:lpstr>
    </vt:vector>
  </TitlesOfParts>
  <Company>Waste Connections,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WCNX</dc:creator>
  <cp:lastModifiedBy>Lindsay Waldram</cp:lastModifiedBy>
  <cp:lastPrinted>2018-05-14T19:48:03Z</cp:lastPrinted>
  <dcterms:created xsi:type="dcterms:W3CDTF">2014-10-29T22:31:20Z</dcterms:created>
  <dcterms:modified xsi:type="dcterms:W3CDTF">2018-05-14T19:48:30Z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0x0101006E56B4D1795A2E4DB2F0B01679ED314A00D7E28633D24BC547A49F19E0AC64FC1B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