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7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52" yWindow="576" windowWidth="20952" windowHeight="9420" tabRatio="931"/>
  </bookViews>
  <sheets>
    <sheet name="JAP-47 Page 1" sheetId="120" r:id="rId1"/>
    <sheet name="JAP-47 Page 2" sheetId="189" r:id="rId2"/>
    <sheet name="JAP-47 Page 3" sheetId="185" r:id="rId3"/>
    <sheet name="Work Papers For Exhibits--&gt;" sheetId="36" r:id="rId4"/>
    <sheet name="Exhibit No.__(JAP-Res RD)" sheetId="305" r:id="rId5"/>
    <sheet name="Exhibit No.__(JAP-SV RD)" sheetId="306" r:id="rId6"/>
    <sheet name="Exhibit No.__(JAP-PV RD)" sheetId="307" r:id="rId7"/>
    <sheet name="Exhibit No.__(JAP-CAMP RD)" sheetId="308" r:id="rId8"/>
    <sheet name="Exhibit No.__(JAP-HV RD)" sheetId="309" r:id="rId9"/>
    <sheet name="2017 GRC PCA Costs" sheetId="274" r:id="rId10"/>
    <sheet name="Exhibit A-1" sheetId="313" r:id="rId11"/>
    <sheet name="Delivered kWh" sheetId="310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</externalReferences>
  <definedNames>
    <definedName name="______Jun09">" BS!$AI$7:$AI$1643"</definedName>
    <definedName name="_____Jun09">" BS!$AI$7:$AI$1643"</definedName>
    <definedName name="____Jun09">" BS!$AI$7:$AI$1643"</definedName>
    <definedName name="___Jun09">" BS!$AI$7:$AI$1643"</definedName>
    <definedName name="__123Graph_A">[1]Quant!$D$71:$O$71</definedName>
    <definedName name="__123Graph_ABUDG6_DSCRPR">[1]Quant!$D$71:$O$71</definedName>
    <definedName name="__123Graph_ABUDG6_ESCRPR1">[1]Quant!$D$100:$O$100</definedName>
    <definedName name="__123Graph_B">[1]Quant!$D$72:$O$72</definedName>
    <definedName name="__123Graph_BBUDG6_DSCRPR">[1]Quant!$D$72:$O$72</definedName>
    <definedName name="__123Graph_BBUDG6_ESCRPR1">[1]Quant!$D$88:$O$88</definedName>
    <definedName name="__123Graph_X">[1]Quant!$D$5:$O$5</definedName>
    <definedName name="__123Graph_XBUDG6_DSCRPR">[1]Quant!$D$5:$O$5</definedName>
    <definedName name="__123Graph_XBUDG6_ESCRPR1">[1]Quant!$D$5:$O$5</definedName>
    <definedName name="__Dec03">[2]BS!$T$7:$T$3582</definedName>
    <definedName name="__Dec04">[3]BS!$AC$7:$AC$3580</definedName>
    <definedName name="__Jul04">[3]BS!$X$7:$X$3582</definedName>
    <definedName name="__Jun04">[3]BS!$W$7:$W$3582</definedName>
    <definedName name="__Jun09">" BS!$AI$7:$AI$1643"</definedName>
    <definedName name="__May04">[3]BS!$V$7:$V$3582</definedName>
    <definedName name="__Nov03">[2]BS!$S$7:$S$3582</definedName>
    <definedName name="__Nov04">[3]BS!$AB$7:$AB$3582</definedName>
    <definedName name="__Oct03">[2]BS!$R$7:$R$3582</definedName>
    <definedName name="__Oct04">[3]BS!$AA$7:$AA$3582</definedName>
    <definedName name="__Sep03">[2]BS!$Q$7:$Q$3582</definedName>
    <definedName name="__Sep04">[3]BS!$Z$7:$Z$3582</definedName>
    <definedName name="_1__123Graph_ABUDG6_D_ESCRPR">[1]Quant!$D$71:$O$71</definedName>
    <definedName name="_3__123Graph_BBUDG6_D_ESCRPR">[1]Quant!$D$72:$O$72</definedName>
    <definedName name="_4__123Graph_BBUDG6_Dtons_inv">[1]Quant!$D$9:$O$9</definedName>
    <definedName name="_5__123Graph_CBUDG6_D_ESCRPR">[1]Quant!$D$100:$O$100</definedName>
    <definedName name="_6__123Graph_DBUDG6_D_ESCRPR">[1]Quant!$D$88:$O$88</definedName>
    <definedName name="_7__123Graph_XBUDG6_D_ESCRPR">[1]Quant!$D$5:$O$5</definedName>
    <definedName name="_8__123Graph_XBUDG6_Dtons_inv">[1]Quant!$D$5:$O$5</definedName>
    <definedName name="_Apr04">[3]BS!$U$7:$U$3582</definedName>
    <definedName name="_Aug04">[3]BS!$Y$7:$Y$3582</definedName>
    <definedName name="_Dec03">[2]BS!$T$7:$T$3582</definedName>
    <definedName name="_Dec04">[3]BS!$AC$7:$AC$3580</definedName>
    <definedName name="_Feb04">[3]BS!$S$7:$S$3582</definedName>
    <definedName name="_Jan04">[3]BS!$R$7:$R$3582</definedName>
    <definedName name="_Jul04">[3]BS!$X$7:$X$3582</definedName>
    <definedName name="_Jun04">[3]BS!$W$7:$W$3582</definedName>
    <definedName name="_Jun09">" BS!$AI$7:$AI$1643"</definedName>
    <definedName name="_Mar04">[3]BS!$T$7:$T$3582</definedName>
    <definedName name="_May04">[3]BS!$V$7:$V$3582</definedName>
    <definedName name="_Nov03">[2]BS!$S$7:$S$3582</definedName>
    <definedName name="_Nov04">[3]BS!$AB$7:$AB$3582</definedName>
    <definedName name="_Oct03">[2]BS!$R$7:$R$3582</definedName>
    <definedName name="_Oct04">[3]BS!$AA$7:$AA$3582</definedName>
    <definedName name="_Order1">255</definedName>
    <definedName name="_Order2">255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[2]BS!$Q$7:$Q$3582</definedName>
    <definedName name="_Sep04">[3]BS!$Z$7:$Z$3582</definedName>
    <definedName name="a">[5]model!$A$6</definedName>
    <definedName name="AccessDatabase">"I:\COMTREL\FINICLE\TradeSummary.mdb"</definedName>
    <definedName name="Acct2281SO">'[6]Func Study'!$H$2190</definedName>
    <definedName name="Acct2283SO">'[6]Func Study'!$H$2198</definedName>
    <definedName name="Acct228SO">'[6]Func Study'!$H$2194</definedName>
    <definedName name="Acct350">'[6]Func Study'!$H$1628</definedName>
    <definedName name="Acct352">'[6]Func Study'!$H$1635</definedName>
    <definedName name="Acct353">'[6]Func Study'!$H$1641</definedName>
    <definedName name="Acct354">'[6]Func Study'!$H$1647</definedName>
    <definedName name="Acct355">'[6]Func Study'!$H$1654</definedName>
    <definedName name="Acct356">'[6]Func Study'!$H$1660</definedName>
    <definedName name="Acct357">'[6]Func Study'!$H$1666</definedName>
    <definedName name="Acct358">'[6]Func Study'!$H$1672</definedName>
    <definedName name="Acct359">'[6]Func Study'!$H$1678</definedName>
    <definedName name="Acct360">'[6]Func Study'!$H$1698</definedName>
    <definedName name="Acct361">'[6]Func Study'!$H$1704</definedName>
    <definedName name="Acct362">'[6]Func Study'!$H$1710</definedName>
    <definedName name="Acct364">'[6]Func Study'!$H$1717</definedName>
    <definedName name="Acct365">'[6]Func Study'!$H$1724</definedName>
    <definedName name="Acct366">'[6]Func Study'!$H$1731</definedName>
    <definedName name="Acct367">'[6]Func Study'!$H$1738</definedName>
    <definedName name="Acct368">'[6]Func Study'!$H$1744</definedName>
    <definedName name="Acct369">'[6]Func Study'!$H$1751</definedName>
    <definedName name="Acct370">'[6]Func Study'!$H$1762</definedName>
    <definedName name="Acct371">'[6]Func Study'!$H$1769</definedName>
    <definedName name="Acct372">'[6]Func Study'!$H$1776</definedName>
    <definedName name="Acct372A">'[6]Func Study'!$H$1775</definedName>
    <definedName name="Acct372DP">'[6]Func Study'!$H$1773</definedName>
    <definedName name="Acct372DS">'[6]Func Study'!$H$1774</definedName>
    <definedName name="Acct373">'[6]Func Study'!$H$1782</definedName>
    <definedName name="Acct448S">'[6]Func Study'!$H$274</definedName>
    <definedName name="Acct450S">'[6]Func Study'!$H$302</definedName>
    <definedName name="Acct451S">'[6]Func Study'!$H$307</definedName>
    <definedName name="Acct454S">'[6]Func Study'!$H$318</definedName>
    <definedName name="Acct456S">'[6]Func Study'!$H$325</definedName>
    <definedName name="ACCT557CAGE">'[6]Func Study'!$H$683</definedName>
    <definedName name="Acct557CT">'[6]Func Study'!$H$681</definedName>
    <definedName name="Acct580">'[6]Func Study'!$H$791</definedName>
    <definedName name="Acct581">'[6]Func Study'!$H$796</definedName>
    <definedName name="Acct582">'[6]Func Study'!$H$801</definedName>
    <definedName name="Acct583">'[6]Func Study'!$H$806</definedName>
    <definedName name="Acct584">'[6]Func Study'!$H$811</definedName>
    <definedName name="Acct585">'[6]Func Study'!$H$816</definedName>
    <definedName name="Acct586">'[6]Func Study'!$H$821</definedName>
    <definedName name="Acct587">'[6]Func Study'!$H$826</definedName>
    <definedName name="Acct588">'[6]Func Study'!$H$831</definedName>
    <definedName name="Acct589">'[6]Func Study'!$H$836</definedName>
    <definedName name="Acct590">'[6]Func Study'!$H$841</definedName>
    <definedName name="Acct591">'[6]Func Study'!$H$846</definedName>
    <definedName name="Acct592">'[6]Func Study'!$H$851</definedName>
    <definedName name="Acct593">'[6]Func Study'!$H$856</definedName>
    <definedName name="Acct594">'[6]Func Study'!$H$861</definedName>
    <definedName name="Acct595">'[6]Func Study'!$H$866</definedName>
    <definedName name="Acct596">'[6]Func Study'!$H$876</definedName>
    <definedName name="Acct597">'[6]Func Study'!$H$881</definedName>
    <definedName name="Acct598">'[6]Func Study'!$H$886</definedName>
    <definedName name="AcctAGA">'[6]Func Study'!$H$296</definedName>
    <definedName name="AcctTable">[7]Variables!$AK$42:$AK$396</definedName>
    <definedName name="AcctTS0">'[6]Func Study'!$H$1686</definedName>
    <definedName name="Acq1Plant">'[8]Acquisition Inputs'!$C$8</definedName>
    <definedName name="Acq2Plant">'[8]Acquisition Inputs'!$C$70</definedName>
    <definedName name="ActualROR">'[9]G+T+D+R+M'!$H$61</definedName>
    <definedName name="ADJPTDCE.T">[4]INTERNAL!$A$31:$IV$33</definedName>
    <definedName name="Adjs2avg">[10]Inputs!$L$255:'[10]Inputs'!$T$505</definedName>
    <definedName name="After_Tax_Cash_Discount">'[11]Assumptions (Input)'!$D$37</definedName>
    <definedName name="afudc_flag">'[11]Assumptions (Input)'!$B$13</definedName>
    <definedName name="ANCIL">[4]EXTERNAL!$A$163:$IV$165</definedName>
    <definedName name="Apr04AMA">[3]BS!$AG$7:$AG$3582</definedName>
    <definedName name="AS2DocOpenMode">"AS2DocumentEdit"</definedName>
    <definedName name="Assessment_Rate">'[11]Assumptions (Input)'!$B$7</definedName>
    <definedName name="Aug04AMA">[3]BS!$AK$7:$AK$3582</definedName>
    <definedName name="Aurora_Prices">"Monthly Price Summary'!$C$4:$H$63"</definedName>
    <definedName name="AvgFactors">[7]Factors!$B$3:$P$99</definedName>
    <definedName name="Beg_Unb_KWHs">[12]LeadSht!$L$10</definedName>
    <definedName name="BOOK_LIFE">'[13]Lvl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">[14]Readings!$B$2</definedName>
    <definedName name="Capital_Inflation">'[11]Assumptions (Input)'!$B$11</definedName>
    <definedName name="CASE" localSheetId="9">[15]INPUTS!$C$11</definedName>
    <definedName name="CASE">[16]INPUTS!$C$11</definedName>
    <definedName name="Case_Name">'[17]KJB-6,13 Cmn Adj'!$B$8</definedName>
    <definedName name="CaseDescription">'[8]Dispatch Cases'!$C$11</definedName>
    <definedName name="CBWorkbookPriority">-2060790043</definedName>
    <definedName name="CCGT_HeatRate">[8]Assumptions!$H$23</definedName>
    <definedName name="CCGTPrice">[8]Assumptions!$H$22</definedName>
    <definedName name="CL_RT2">'[18]Transp Data'!$A$6:$C$81</definedName>
    <definedName name="Classification">'[6]Func Study'!$AB$251</definedName>
    <definedName name="Close_Date">'[11]Capital Projects(Input)'!$D$7:$D$53</definedName>
    <definedName name="Construction_OH">'[19]Virtual 49 Back-Up'!$E$54</definedName>
    <definedName name="ConversionFactor">[8]Assumptions!$I$65</definedName>
    <definedName name="COSFacVal">[6]Inputs!$R$5</definedName>
    <definedName name="CurrQtr">'[20]Inc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">'[21]Mix Variance'!$B$1:$N$31</definedName>
    <definedName name="Data.Avg">'[20]Avg Amts'!$A$5:$BP$34</definedName>
    <definedName name="Data.Qtrs.Avg">'[20]Avg Amts'!$A$5:$IV$5</definedName>
    <definedName name="data1">'[22]Mix Variance'!$O$5:$T$25</definedName>
    <definedName name="DebtPerc">[8]Assumptions!$I$58</definedName>
    <definedName name="Dec03AMA">[2]BS!$AJ$7:$AJ$3582</definedName>
    <definedName name="Dec04AMA">[3]BS!$AO$7:$AO$3582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mand">[9]Inputs!$D$8</definedName>
    <definedName name="Demand2">[23]Inputs!$D$11</definedName>
    <definedName name="DES1.T">[4]INTERNAL!$A$40:$IV$42</definedName>
    <definedName name="DES2.T">[4]INTERNAL!$A$43:$IV$45</definedName>
    <definedName name="DF_HeatRate">[8]Assumptions!$L$23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">'[6]Func Study'!$AB$250</definedName>
    <definedName name="DisFac">'[6]Func Dist Factor Table'!$A$11:$G$25</definedName>
    <definedName name="DocketNumber">'[24]JHS-4'!$AP$2</definedName>
    <definedName name="DP.T">[4]INTERNAL!$A$46:$IV$48</definedName>
    <definedName name="EBFIT.T">[4]INTERNAL!$A$88:$IV$90</definedName>
    <definedName name="EffTax" localSheetId="9">[15]INPUTS!$F$36</definedName>
    <definedName name="EffTax">[16]INPUTS!$F$36</definedName>
    <definedName name="Electric_Prices">'[25]Monthly Price Summary'!$B$4:$E$27</definedName>
    <definedName name="ElecWC_LineItems">[26]BS!$AO$7:$AO$3420</definedName>
    <definedName name="ElRBLine">[3]BS!$AQ$7:$AQ$3303</definedName>
    <definedName name="EndDate">[8]Assumptions!$C$11</definedName>
    <definedName name="energy">[14]Readings!$B$3</definedName>
    <definedName name="ENERGY_1">[4]EXTERNAL!$A$4:$IV$6</definedName>
    <definedName name="ENERGY_2">[4]EXTERNAL!$A$145:$IV$147</definedName>
    <definedName name="Engy">[9]Inputs!$D$9</definedName>
    <definedName name="Engy2">[23]Inputs!$D$12</definedName>
    <definedName name="EPIS.T">[4]INTERNAL!$A$49:$IV$51</definedName>
    <definedName name="Escalator">1.025</definedName>
    <definedName name="Factorck">'[6]COS Factor Table'!$O$15:$O$113</definedName>
    <definedName name="FactorType">[7]Variables!$AK$2:$AL$12</definedName>
    <definedName name="FactSum">'[6]COS Factor Table'!$A$14:$O$113</definedName>
    <definedName name="FCR">'[19]Virtual 49 Back-Up'!$B$20</definedName>
    <definedName name="Feb04AMA">[3]BS!$AE$7:$AE$3582</definedName>
    <definedName name="Fed_Cap_Tax">[27]Inputs!$E$112</definedName>
    <definedName name="FedTaxRate">[8]Assumptions!$C$33</definedName>
    <definedName name="FIT">'[28]ROR &amp; CONV FACTOR'!$J$20</definedName>
    <definedName name="FIT_Tax_Rate">'[11]Assumptions (Input)'!$B$5</definedName>
    <definedName name="FranchiseTax">[10]Variables!$D$26</definedName>
    <definedName name="FTAX" localSheetId="9">[15]INPUTS!$F$35</definedName>
    <definedName name="FTAX">[16]INPUTS!$F$35</definedName>
    <definedName name="Func">'[6]Func Factor Table'!$A$10:$H$77</definedName>
    <definedName name="Function">'[6]Func Study'!$AB$250</definedName>
    <definedName name="GasRBLine">[3]BS!$AS$7:$AS$3631</definedName>
    <definedName name="GasWC_LineItem">[3]BS!$AR$7:$AR$3631</definedName>
    <definedName name="GP.T">[4]INTERNAL!$A$52:$IV$54</definedName>
    <definedName name="HTML_CodePage">1252</definedName>
    <definedName name="HTML_Control" localSheetId="11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nctaxrate">0.4</definedName>
    <definedName name="Insurance_Rate">'[11]Assumptions (Input)'!$B$9</definedName>
    <definedName name="INTRESEXCH">[29]Sheet1!$AG$1</definedName>
    <definedName name="Jan04AMA">[3]BS!$AD$7:$AD$3582</definedName>
    <definedName name="jjj">[30]Inputs!$N$18</definedName>
    <definedName name="Jul04AMA">[3]BS!$AJ$7:$AJ$3582</definedName>
    <definedName name="Jun04AMA">[3]BS!$AI$7:$AI$3582</definedName>
    <definedName name="Jurisdiction">[7]Variables!$AK$15</definedName>
    <definedName name="JurisNumber">[7]Variables!$AL$15</definedName>
    <definedName name="k_Docket_Number">'[17]KJB-12 Sum'!$AS$2</definedName>
    <definedName name="k_FITrate">'[17]KJB-3,11 Def'!$L$20</definedName>
    <definedName name="keep_Docket_Number">'[31]KJB-3 Sum'!$AQ$2</definedName>
    <definedName name="keep_FIT">'[31]KJB-7 Def'!$L$20</definedName>
    <definedName name="keep_KJB_3_Rate_Increase">'[31]KJB-7 Def'!$C$3</definedName>
    <definedName name="keep_KJB_4_Electric_Summary">'[31]KJB-3 Sum'!$AQ$3</definedName>
    <definedName name="keep_KJB_8_Common_Adjs">'[31]KJB-5 Cmn Adj'!$L$3</definedName>
    <definedName name="keep_KJB_9_Electric_Only">'[31]KJB-5 El Adj'!$E$3</definedName>
    <definedName name="keep_TESTYEAR">'[31]KJB-5 Cmn Adj'!$B$7</definedName>
    <definedName name="LATEPAY">[29]Sheet1!$E$3:$E$25</definedName>
    <definedName name="Levy_Rate">'[11]Assumptions (Input)'!$B$6</definedName>
    <definedName name="limcount">1</definedName>
    <definedName name="LINE.T">[4]INTERNAL!$A$55:$IV$57</definedName>
    <definedName name="LinkCos">'[6]JAM Download'!$K$4</definedName>
    <definedName name="LoadArray">'[32]Load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[33]M9100F4!$A$1:$V$99</definedName>
    <definedName name="MACRS">'[11]MACRS RATES'!$A$3:$AT$10</definedName>
    <definedName name="Mar04AMA">[3]BS!$AF$7:$AF$3582</definedName>
    <definedName name="May04AMA">[3]BS!$AH$7:$AH$3582</definedName>
    <definedName name="MERGER_COST">[34]Sheet1!$AF$3:$AJ$28</definedName>
    <definedName name="Method">[9]Inputs!$C$6</definedName>
    <definedName name="monthlist">[35]Table!$R$2:$S$13</definedName>
    <definedName name="monthtotals">'[35]WA SBC'!$D$40:$O$40</definedName>
    <definedName name="MTD_Format" localSheetId="11">[36]Mthly!$B$11:$D$11,[36]Mthly!$B$35:$D$35</definedName>
    <definedName name="MTD_Format">[37]Mthly!$B$11:$D$11,[37]Mthly!$B$32:$D$32</definedName>
    <definedName name="MTR_YR3">[38]Variables!$E$14</definedName>
    <definedName name="NCP_360">[4]EXTERNAL!$A$13:$IV$15</definedName>
    <definedName name="NCP_361">[4]EXTERNAL!$A$16:$IV$18</definedName>
    <definedName name="NCP_362">[4]EXTERNAL!$A$19:$IV$21</definedName>
    <definedName name="Net_to_Gross_Factor">[6]Inputs!$G$8</definedName>
    <definedName name="NetToGross">[10]Variables!$D$23</definedName>
    <definedName name="Nov03AMA">[2]BS!$AI$7:$AI$3582</definedName>
    <definedName name="Nov04AMA">[3]BS!$AN$7:$AN$3582</definedName>
    <definedName name="NPC">[39]Inputs!$N$18</definedName>
    <definedName name="NRG">[4]CLASSIFIERS!$A$5:$IV$5</definedName>
    <definedName name="Number_of_Payments" localSheetId="11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'[11]MiscItems(Input)'!$B$5:$AO$8,'[11]MiscItems(Input)'!$B$13:$AO$13,'[11]MiscItems(Input)'!$B$15:$B$17,'[11]MiscItems(Input)'!$B$17:$AO$17,'[11]MiscItems(Input)'!$B$15:$AO$15</definedName>
    <definedName name="O_M_Rate">'[19]Virtual 49 Back-Up'!$B$21</definedName>
    <definedName name="OBCLEASE">[29]Sheet1!$AF$4:$AI$23</definedName>
    <definedName name="Oct03AMA">[2]BS!$AH$7:$AH$3582</definedName>
    <definedName name="Oct04AMA">[3]BS!$AM$7:$AM$3582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ption">'[40]Dist Misc'!$F$120</definedName>
    <definedName name="OthRCF">[41]INPUTS!$F$41</definedName>
    <definedName name="OthUnc">[4]INPUTS!$F$36</definedName>
    <definedName name="outlookdata">'[42]pivoted data'!$D$3:$Q$90</definedName>
    <definedName name="PeakMethod">[9]Inputs!$T$5</definedName>
    <definedName name="Percent_debt">[27]Inputs!$E$129</definedName>
    <definedName name="Plant_Input">'[11]Plant(Input)'!$B$7:$AP$9,'[11]Plant(Input)'!$B$11,'[11]Plant(Input)'!$B$15:$AP$15,'[11]Plant(Input)'!$B$18,'[11]Plant(Input)'!$B$20:$AP$20</definedName>
    <definedName name="POWER.T">[4]INTERNAL!$A$58:$IV$60</definedName>
    <definedName name="PP.T">[4]INTERNAL!$A$61:$IV$63</definedName>
    <definedName name="PreTaxDebtCost">[8]Assumptions!$I$56</definedName>
    <definedName name="PreTaxWACC">[8]Assumptions!$I$62</definedName>
    <definedName name="Prices_Aurora">'[25]Monthly Price Summary'!$C$4:$H$63</definedName>
    <definedName name="_xlnm.Print_Area" localSheetId="9">'2017 GRC PCA Costs'!$A$1:$Q$30</definedName>
    <definedName name="_xlnm.Print_Area" localSheetId="11">'Delivered kWh'!$A$1:$P$45</definedName>
    <definedName name="_xlnm.Print_Area" localSheetId="7">'Exhibit No.__(JAP-CAMP RD)'!$A$1:$N$82</definedName>
    <definedName name="_xlnm.Print_Area" localSheetId="8">'Exhibit No.__(JAP-HV RD)'!$A$1:$M$38</definedName>
    <definedName name="_xlnm.Print_Area" localSheetId="6">'Exhibit No.__(JAP-PV RD)'!$A$1:$M$78</definedName>
    <definedName name="_xlnm.Print_Area" localSheetId="4">'Exhibit No.__(JAP-Res RD)'!$A$1:$M$24</definedName>
    <definedName name="_xlnm.Print_Area" localSheetId="5">'Exhibit No.__(JAP-SV RD)'!$A$1:$M$136</definedName>
    <definedName name="_xlnm.Print_Titles" localSheetId="7">'Exhibit No.__(JAP-CAMP RD)'!$1:$10</definedName>
    <definedName name="_xlnm.Print_Titles" localSheetId="8">'Exhibit No.__(JAP-HV RD)'!$1:$10</definedName>
    <definedName name="_xlnm.Print_Titles" localSheetId="6">'Exhibit No.__(JAP-PV RD)'!$1:$10</definedName>
    <definedName name="_xlnm.Print_Titles" localSheetId="4">'Exhibit No.__(JAP-Res RD)'!$1:$10</definedName>
    <definedName name="_xlnm.Print_Titles" localSheetId="5">'Exhibit No.__(JAP-SV RD)'!$1:$10</definedName>
    <definedName name="Prior_Month">[12]Sch_120!$I$21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v_Cap_Tax">[27]Inputs!$E$111</definedName>
    <definedName name="PTDGP.T">[4]INTERNAL!$A$64:$IV$66</definedName>
    <definedName name="PTDP.T">[4]INTERNAL!$A$67:$IV$69</definedName>
    <definedName name="QTD_Format">[36]QTD!$B$11:$D$11,[36]QTD!$B$35:$D$35</definedName>
    <definedName name="RATE2">'[18]Transp Data'!$A$8:$I$112</definedName>
    <definedName name="Rates">[43]Codes!$A$1:$C$500</definedName>
    <definedName name="RB.T">[4]INTERNAL!$A$70:$IV$72</definedName>
    <definedName name="Requlated_scenario">'[11]Assumptions (Input)'!$B$12</definedName>
    <definedName name="ResExchCrRate" localSheetId="11">[12]Sch_194!$M$31</definedName>
    <definedName name="ResExchCrRate">[44]Sch_194!$M$31</definedName>
    <definedName name="RESID">[4]EXTERNAL!$A$88:$IV$90</definedName>
    <definedName name="resource_lookup">'[45]#REF'!$B$3:$C$112</definedName>
    <definedName name="ResourceSupplier">[10]Variables!$D$28</definedName>
    <definedName name="ResRCF" localSheetId="9">[15]INPUTS!$F$44</definedName>
    <definedName name="ResRCF">[16]INPUTS!$F$44</definedName>
    <definedName name="ResUnc" localSheetId="9">[15]INPUTS!$F$39</definedName>
    <definedName name="ResUnc">[16]INPUTS!$F$39</definedName>
    <definedName name="RevClass">[43]Codes!$F$2:$G$10</definedName>
    <definedName name="revenue_flag">'[11]Assumptions (Input)'!$C$12</definedName>
    <definedName name="Revenue_Taxes">'[11]Assumptions (Input)'!$B$8</definedName>
    <definedName name="REVFAC1.T">[4]INTERNAL!$A$73:$IV$75</definedName>
    <definedName name="ROD" localSheetId="9">[15]INPUTS!$F$30</definedName>
    <definedName name="ROD">[16]INPUTS!$F$30</definedName>
    <definedName name="ROR" localSheetId="9">[15]INPUTS!$F$29</definedName>
    <definedName name="ROR">[46]INPUTS!$F$29</definedName>
    <definedName name="SAPBEXhrIndnt">"Wide"</definedName>
    <definedName name="SAPsysID">"708C5W7SBKP804JT78WJ0JNKI"</definedName>
    <definedName name="SAPwbID">"ARS"</definedName>
    <definedName name="SBRCF">[41]INPUTS!$F$40</definedName>
    <definedName name="SbUnc">[4]INPUTS!$F$35</definedName>
    <definedName name="Schedule">[39]Inputs!$N$14</definedName>
    <definedName name="Sep03AMA">[2]BS!$AG$7:$AG$3582</definedName>
    <definedName name="Sep04AMA">[3]BS!$AL$7:$AL$3582</definedName>
    <definedName name="solver_eval">0</definedName>
    <definedName name="solver_ntri">1000</definedName>
    <definedName name="solver_rsmp">1</definedName>
    <definedName name="solver_seed">0</definedName>
    <definedName name="StartDate">[8]Assumptions!$C$9</definedName>
    <definedName name="STAX" localSheetId="9">[15]INPUTS!$F$34</definedName>
    <definedName name="STAX">[16]INPUTS!$F$34</definedName>
    <definedName name="SW.T">[4]INTERNAL!$A$76:$IV$78</definedName>
    <definedName name="SWPTD.T">[4]INTERNAL!$A$79:$IV$81</definedName>
    <definedName name="TableName">"Dummy"</definedName>
    <definedName name="TargetROR">[9]Inputs!$G$29</definedName>
    <definedName name="TDP.T">[4]INTERNAL!$A$82:$IV$84</definedName>
    <definedName name="TEMPADJ">[29]Sheet1!$A$4:$E$40</definedName>
    <definedName name="TestPeriod">[6]Inputs!$C$5</definedName>
    <definedName name="TESTYEAR">'[24]JHS-6'!$A$7</definedName>
    <definedName name="TFR">[4]CLASSIFIERS!$A$11:$IV$11</definedName>
    <definedName name="ThermalBookLife">[8]Assumptions!$C$25</definedName>
    <definedName name="Title">[8]Assumptions!$A$1</definedName>
    <definedName name="Total_Payment" localSheetId="11">Scheduled_Payment+Extra_Payment</definedName>
    <definedName name="Total_Payment">Scheduled_Payment+Extra_Payment</definedName>
    <definedName name="TotalRateBase">'[6]G+T+D+R+M'!$H$58</definedName>
    <definedName name="TP.T">[4]INTERNAL!$A$91:$IV$93</definedName>
    <definedName name="transdb">'[47]Transp Unbilled'!$A$8:$E$174</definedName>
    <definedName name="TRANSM_2">[48]Transm2!$A$1:$M$461:'[48]10 Yr FC'!$M$47</definedName>
    <definedName name="UAcct103">'[6]Func Study'!$AB$1613</definedName>
    <definedName name="UAcct105Dnpg">'[6]Func Study'!$AB$2010</definedName>
    <definedName name="UAcct105S">'[6]Func Study'!$AB$2005</definedName>
    <definedName name="UAcct105Seu">'[6]Func Study'!$AB$2009</definedName>
    <definedName name="UAcct105Snppo">'[6]Func Study'!$AB$2008</definedName>
    <definedName name="UAcct105Snpps">'[6]Func Study'!$AB$2006</definedName>
    <definedName name="UAcct105Snpt">'[6]Func Study'!$AB$2007</definedName>
    <definedName name="UAcct1081390">'[6]Func Study'!$AB$2451</definedName>
    <definedName name="UAcct1081390Rcl">'[6]Func Study'!$AB$2450</definedName>
    <definedName name="UAcct1081399">'[6]Func Study'!$AB$2459</definedName>
    <definedName name="UAcct1081399Rcl">'[6]Func Study'!$AB$2458</definedName>
    <definedName name="UAcct108360">'[6]Func Study'!$AB$2355</definedName>
    <definedName name="UAcct108361">'[6]Func Study'!$AB$2359</definedName>
    <definedName name="UAcct108362">'[6]Func Study'!$AB$2363</definedName>
    <definedName name="UAcct108364">'[6]Func Study'!$AB$2367</definedName>
    <definedName name="UAcct108365">'[6]Func Study'!$AB$2371</definedName>
    <definedName name="UAcct108366">'[6]Func Study'!$AB$2375</definedName>
    <definedName name="UAcct108367">'[6]Func Study'!$AB$2379</definedName>
    <definedName name="UAcct108368">'[6]Func Study'!$AB$2383</definedName>
    <definedName name="UAcct108369">'[6]Func Study'!$AB$2387</definedName>
    <definedName name="UAcct108370">'[6]Func Study'!$AB$2391</definedName>
    <definedName name="UAcct108371">'[6]Func Study'!$AB$2395</definedName>
    <definedName name="UAcct108372">'[6]Func Study'!$AB$2399</definedName>
    <definedName name="UAcct108373">'[6]Func Study'!$AB$2403</definedName>
    <definedName name="UAcct108D">'[6]Func Study'!$AB$2415</definedName>
    <definedName name="UAcct108D00">'[6]Func Study'!$AB$2407</definedName>
    <definedName name="UAcct108Ds">'[6]Func Study'!$AB$2411</definedName>
    <definedName name="UAcct108Ep">'[6]Func Study'!$AB$2327</definedName>
    <definedName name="UAcct108Gpcn">'[6]Func Study'!$AB$2429</definedName>
    <definedName name="UAcct108Gps">'[6]Func Study'!$AB$2425</definedName>
    <definedName name="UAcct108Gpse">'[6]Func Study'!$AB$2431</definedName>
    <definedName name="UAcct108Gpsg">'[6]Func Study'!$AB$2428</definedName>
    <definedName name="UAcct108Gpsgp">'[6]Func Study'!$AB$2426</definedName>
    <definedName name="UAcct108Gpsgu">'[6]Func Study'!$AB$2427</definedName>
    <definedName name="UAcct108Gpso">'[6]Func Study'!$AB$2430</definedName>
    <definedName name="UACCT108GPSSGCH">'[6]Func Study'!$AB$2434</definedName>
    <definedName name="UACCT108GPSSGCT">'[6]Func Study'!$AB$2433</definedName>
    <definedName name="UAcct108Hp">'[6]Func Study'!$AB$2313</definedName>
    <definedName name="UAcct108Mp">'[6]Func Study'!$AB$2444</definedName>
    <definedName name="UAcct108Np">'[6]Func Study'!$AB$2305</definedName>
    <definedName name="UAcct108Op">'[6]Func Study'!$AB$2322</definedName>
    <definedName name="UACCT108OPSSCCT">'[6]Func Study'!$AB$2321</definedName>
    <definedName name="UAcct108Sp">'[6]Func Study'!$AB$2299</definedName>
    <definedName name="UACCT108SPSSGCH">'[6]Func Study'!$AB$2298</definedName>
    <definedName name="UAcct108Tp">'[6]Func Study'!$AB$2346</definedName>
    <definedName name="UAcct111Clg">'[6]Func Study'!$AB$2487</definedName>
    <definedName name="UAcct111Clgsou">'[6]Func Study'!$AB$2485</definedName>
    <definedName name="UAcct111Clh">'[6]Func Study'!$AB$2493</definedName>
    <definedName name="UAcct111Cls">'[6]Func Study'!$AB$2478</definedName>
    <definedName name="UAcct111Ipcn">'[6]Func Study'!$AB$2502</definedName>
    <definedName name="UAcct111Ips">'[6]Func Study'!$AB$2497</definedName>
    <definedName name="UAcct111Ipse">'[6]Func Study'!$AB$2500</definedName>
    <definedName name="UAcct111Ipsg">'[6]Func Study'!$AB$2501</definedName>
    <definedName name="UAcct111Ipsgp">'[6]Func Study'!$AB$2498</definedName>
    <definedName name="UAcct111Ipsgu">'[6]Func Study'!$AB$2499</definedName>
    <definedName name="UAcct111Ipso">'[6]Func Study'!$AB$2506</definedName>
    <definedName name="UACCT111IPSSGCH">'[6]Func Study'!$AB$2505</definedName>
    <definedName name="UACCT111IPSSGCT">'[6]Func Study'!$AB$2504</definedName>
    <definedName name="UAcct114">'[6]Func Study'!$AB$2017</definedName>
    <definedName name="UAcct120">'[6]Func Study'!$AB$2021</definedName>
    <definedName name="UAcct124">'[6]Func Study'!$AB$2026</definedName>
    <definedName name="UAcct141">'[6]Func Study'!$AB$2173</definedName>
    <definedName name="UAcct151">'[6]Func Study'!$AB$2049</definedName>
    <definedName name="Uacct151SSECT">'[6]Func Study'!$AB$2047</definedName>
    <definedName name="UAcct154">'[6]Func Study'!$AB$2083</definedName>
    <definedName name="Uacct154SSGCT">'[6]Func Study'!$AB$2080</definedName>
    <definedName name="UAcct163">'[6]Func Study'!$AB$2093</definedName>
    <definedName name="UAcct165">'[6]Func Study'!$AB$2108</definedName>
    <definedName name="UAcct165Gps">'[6]Func Study'!$AB$2104</definedName>
    <definedName name="UAcct182">'[6]Func Study'!$AB$2033</definedName>
    <definedName name="UAcct18222">'[6]Func Study'!$AB$2163</definedName>
    <definedName name="UAcct182M">'[6]Func Study'!$AB$2118</definedName>
    <definedName name="UAcct182MSSGCH">'[6]Func Study'!$AB$2113</definedName>
    <definedName name="UAcct186">'[6]Func Study'!$AB$2041</definedName>
    <definedName name="UAcct1869">'[6]Func Study'!$AB$2168</definedName>
    <definedName name="UAcct186M">'[6]Func Study'!$AB$2129</definedName>
    <definedName name="UAcct190">'[6]Func Study'!$AB$2243</definedName>
    <definedName name="UAcct190Baddebt">'[6]Func Study'!$AB$2237</definedName>
    <definedName name="UAcct190Dop">'[6]Func Study'!$AB$2235</definedName>
    <definedName name="UAcct2281">'[6]Func Study'!$AB$2191</definedName>
    <definedName name="UAcct2282">'[6]Func Study'!$AB$2195</definedName>
    <definedName name="UAcct2283">'[6]Func Study'!$AB$2200</definedName>
    <definedName name="UACCT22841SG">'[6]Func Study'!$AB$2205</definedName>
    <definedName name="UAcct22842">'[6]Func Study'!$AB$2211</definedName>
    <definedName name="UAcct235">'[6]Func Study'!$AB$2187</definedName>
    <definedName name="UACCT235CN">'[6]Func Study'!$AB$2186</definedName>
    <definedName name="UAcct252">'[6]Func Study'!$AB$2219</definedName>
    <definedName name="UAcct25316">'[6]Func Study'!$AB$2057</definedName>
    <definedName name="UAcct25317">'[6]Func Study'!$AB$2061</definedName>
    <definedName name="UAcct25318">'[6]Func Study'!$AB$2098</definedName>
    <definedName name="UAcct25319">'[6]Func Study'!$AB$2065</definedName>
    <definedName name="uacct25398">'[6]Func Study'!$AB$2222</definedName>
    <definedName name="UAcct25399">'[6]Func Study'!$AB$2230</definedName>
    <definedName name="UACCT254SO">'[6]Func Study'!$AB$2202</definedName>
    <definedName name="UAcct255">'[6]Func Study'!$AB$2284</definedName>
    <definedName name="UAcct281">'[6]Func Study'!$AB$2249</definedName>
    <definedName name="UAcct282">'[6]Func Study'!$AB$2259</definedName>
    <definedName name="UAcct282Cn">'[6]Func Study'!$AB$2256</definedName>
    <definedName name="UAcct282So">'[6]Func Study'!$AB$2255</definedName>
    <definedName name="UAcct283">'[6]Func Study'!$AB$2271</definedName>
    <definedName name="UAcct283So">'[6]Func Study'!$AB$2265</definedName>
    <definedName name="UAcct301S">'[6]Func Study'!$AB$1964</definedName>
    <definedName name="UAcct301Sg">'[6]Func Study'!$AB$1966</definedName>
    <definedName name="UAcct301So">'[6]Func Study'!$AB$1965</definedName>
    <definedName name="UAcct302S">'[6]Func Study'!$AB$1969</definedName>
    <definedName name="UAcct302Sg">'[6]Func Study'!$AB$1970</definedName>
    <definedName name="UAcct302Sgp">'[6]Func Study'!$AB$1971</definedName>
    <definedName name="UAcct302Sgu">'[6]Func Study'!$AB$1972</definedName>
    <definedName name="UAcct303Cn">'[6]Func Study'!$AB$1980</definedName>
    <definedName name="UAcct303S">'[6]Func Study'!$AB$1976</definedName>
    <definedName name="UAcct303Se">'[6]Func Study'!$AB$1979</definedName>
    <definedName name="UAcct303Sg">'[6]Func Study'!$AB$1977</definedName>
    <definedName name="UAcct303Sgu">'[6]Func Study'!$AB$1981</definedName>
    <definedName name="UAcct303So">'[6]Func Study'!$AB$1978</definedName>
    <definedName name="UACCT303SSGCH">'[6]Func Study'!$AB$1983</definedName>
    <definedName name="UAcct310">'[6]Func Study'!$AB$1414</definedName>
    <definedName name="UAcct310JBG">'[6]Func Study'!$AB$1413</definedName>
    <definedName name="UAcct311">'[6]Func Study'!$AB$1421</definedName>
    <definedName name="UAcct311JBG">'[6]Func Study'!$AB$1420</definedName>
    <definedName name="UAcct312">'[6]Func Study'!$AB$1428</definedName>
    <definedName name="UAcct312JBG">'[6]Func Study'!$AB$1427</definedName>
    <definedName name="UAcct314">'[6]Func Study'!$AB$1435</definedName>
    <definedName name="UAcct314JBG">'[6]Func Study'!$AB$1434</definedName>
    <definedName name="UAcct315">'[6]Func Study'!$AB$1442</definedName>
    <definedName name="UAcct315JBG">'[6]Func Study'!$AB$1441</definedName>
    <definedName name="UAcct316">'[6]Func Study'!$AB$1450</definedName>
    <definedName name="UAcct316JBG">'[6]Func Study'!$AB$1449</definedName>
    <definedName name="UAcct320">'[6]Func Study'!$AB$1466</definedName>
    <definedName name="UAcct321">'[6]Func Study'!$AB$1471</definedName>
    <definedName name="UAcct322">'[6]Func Study'!$AB$1476</definedName>
    <definedName name="UAcct323">'[6]Func Study'!$AB$1481</definedName>
    <definedName name="UAcct324">'[6]Func Study'!$AB$1486</definedName>
    <definedName name="UAcct325">'[6]Func Study'!$AB$1491</definedName>
    <definedName name="UAcct33">'[6]Func Study'!$AB$295</definedName>
    <definedName name="UAcct330">'[6]Func Study'!$AB$1508</definedName>
    <definedName name="UAcct331">'[6]Func Study'!$AB$1513</definedName>
    <definedName name="UAcct332">'[6]Func Study'!$AB$1518</definedName>
    <definedName name="UAcct333">'[6]Func Study'!$AB$1523</definedName>
    <definedName name="UAcct334">'[6]Func Study'!$AB$1528</definedName>
    <definedName name="UAcct335">'[6]Func Study'!$AB$1533</definedName>
    <definedName name="UAcct336">'[6]Func Study'!$AB$1539</definedName>
    <definedName name="UAcct340Dgu">'[6]Func Study'!$AB$1564</definedName>
    <definedName name="UAcct340Sgu">'[6]Func Study'!$AB$1565</definedName>
    <definedName name="UAcct341Dgu">'[6]Func Study'!$AB$1569</definedName>
    <definedName name="UAcct341Sgu">'[6]Func Study'!$AB$1570</definedName>
    <definedName name="UAcct342Dgu">'[6]Func Study'!$AB$1574</definedName>
    <definedName name="UAcct342Sgu">'[6]Func Study'!$AB$1575</definedName>
    <definedName name="UAcct343">'[6]Func Study'!$AB$1584</definedName>
    <definedName name="UAcct344S">'[6]Func Study'!$AB$1587</definedName>
    <definedName name="UAcct344Sgp">'[6]Func Study'!$AB$1588</definedName>
    <definedName name="UAcct345Dgu">'[6]Func Study'!$AB$1594</definedName>
    <definedName name="UAcct345Sgu">'[6]Func Study'!$AB$1595</definedName>
    <definedName name="UAcct346">'[6]Func Study'!$AB$1601</definedName>
    <definedName name="UAcct350">'[6]Func Study'!$AB$1628</definedName>
    <definedName name="UAcct352">'[6]Func Study'!$AB$1635</definedName>
    <definedName name="UAcct353">'[6]Func Study'!$AB$1641</definedName>
    <definedName name="UAcct354">'[6]Func Study'!$AB$1647</definedName>
    <definedName name="UAcct355">'[6]Func Study'!$AB$1654</definedName>
    <definedName name="UAcct356">'[6]Func Study'!$AB$1660</definedName>
    <definedName name="UAcct357">'[6]Func Study'!$AB$1666</definedName>
    <definedName name="UAcct358">'[6]Func Study'!$AB$1672</definedName>
    <definedName name="UAcct359">'[6]Func Study'!$AB$1678</definedName>
    <definedName name="UAcct360">'[6]Func Study'!$AB$1698</definedName>
    <definedName name="UAcct361">'[6]Func Study'!$AB$1704</definedName>
    <definedName name="UAcct362">'[6]Func Study'!$AB$1710</definedName>
    <definedName name="UAcct368">'[6]Func Study'!$AB$1744</definedName>
    <definedName name="UAcct369">'[6]Func Study'!$AB$1751</definedName>
    <definedName name="UAcct370">'[6]Func Study'!$AB$1762</definedName>
    <definedName name="UAcct372A">'[6]Func Study'!$AB$1775</definedName>
    <definedName name="UAcct372Dp">'[6]Func Study'!$AB$1773</definedName>
    <definedName name="UAcct372Ds">'[6]Func Study'!$AB$1774</definedName>
    <definedName name="UAcct373">'[6]Func Study'!$AB$1782</definedName>
    <definedName name="UAcct389Cn">'[6]Func Study'!$AB$1800</definedName>
    <definedName name="UAcct389S">'[6]Func Study'!$AB$1799</definedName>
    <definedName name="UAcct389Sg">'[6]Func Study'!$AB$1802</definedName>
    <definedName name="UAcct389Sgu">'[6]Func Study'!$AB$1801</definedName>
    <definedName name="UAcct389So">'[6]Func Study'!$AB$1803</definedName>
    <definedName name="UAcct390Cn">'[6]Func Study'!$AB$1810</definedName>
    <definedName name="UAcct390JBG">'[6]Func Study'!$AB$1812</definedName>
    <definedName name="UAcct390L">'[6]Func Study'!$AB$1927</definedName>
    <definedName name="UACCT390LRCL">'[6]Func Study'!$AB$1929</definedName>
    <definedName name="UAcct390S">'[6]Func Study'!$AB$1807</definedName>
    <definedName name="UAcct390Sgp">'[6]Func Study'!$AB$1808</definedName>
    <definedName name="UAcct390Sgu">'[6]Func Study'!$AB$1809</definedName>
    <definedName name="UAcct390Sop">'[6]Func Study'!$AB$1811</definedName>
    <definedName name="UAcct390Sou">'[6]Func Study'!$AB$1813</definedName>
    <definedName name="UAcct391Cn">'[6]Func Study'!$AB$1820</definedName>
    <definedName name="UACCT391JBE">'[6]Func Study'!$AB$1825</definedName>
    <definedName name="UAcct391S">'[6]Func Study'!$AB$1817</definedName>
    <definedName name="UAcct391Sg">'[6]Func Study'!$AB$1821</definedName>
    <definedName name="UAcct391Sgp">'[6]Func Study'!$AB$1818</definedName>
    <definedName name="UAcct391Sgu">'[6]Func Study'!$AB$1819</definedName>
    <definedName name="UAcct391So">'[6]Func Study'!$AB$1823</definedName>
    <definedName name="UACCT391SSGCH">'[6]Func Study'!$AB$1824</definedName>
    <definedName name="UAcct392Cn">'[6]Func Study'!$AB$1832</definedName>
    <definedName name="UAcct392L">'[6]Func Study'!$AB$1935</definedName>
    <definedName name="UAcct392Lrcl">'[6]Func Study'!$AB$1937</definedName>
    <definedName name="UAcct392S">'[6]Func Study'!$AB$1829</definedName>
    <definedName name="UAcct392Se">'[6]Func Study'!$AB$1834</definedName>
    <definedName name="UAcct392Sg">'[6]Func Study'!$AB$1831</definedName>
    <definedName name="UAcct392Sgp">'[6]Func Study'!$AB$1835</definedName>
    <definedName name="UAcct392Sgu">'[6]Func Study'!$AB$1833</definedName>
    <definedName name="UAcct392So">'[6]Func Study'!$AB$1830</definedName>
    <definedName name="UACCT392SSGCH">'[6]Func Study'!$AB$1836</definedName>
    <definedName name="UAcct393S">'[6]Func Study'!$AB$1841</definedName>
    <definedName name="UAcct393Sg">'[6]Func Study'!$AB$1845</definedName>
    <definedName name="UAcct393Sgp">'[6]Func Study'!$AB$1842</definedName>
    <definedName name="UAcct393Sgu">'[6]Func Study'!$AB$1843</definedName>
    <definedName name="UAcct393So">'[6]Func Study'!$AB$1844</definedName>
    <definedName name="UACCT393SSGCT">'[6]Func Study'!$AB$1846</definedName>
    <definedName name="UAcct394S">'[6]Func Study'!$AB$1850</definedName>
    <definedName name="UAcct394Se">'[6]Func Study'!$AB$1854</definedName>
    <definedName name="UAcct394Sg">'[6]Func Study'!$AB$1855</definedName>
    <definedName name="UAcct394Sgp">'[6]Func Study'!$AB$1851</definedName>
    <definedName name="UAcct394Sgu">'[6]Func Study'!$AB$1852</definedName>
    <definedName name="UAcct394So">'[6]Func Study'!$AB$1853</definedName>
    <definedName name="UACCT394SSGCH">'[6]Func Study'!$AB$1856</definedName>
    <definedName name="UAcct395S">'[6]Func Study'!$AB$1861</definedName>
    <definedName name="UAcct395Se">'[6]Func Study'!$AB$1865</definedName>
    <definedName name="UAcct395Sg">'[6]Func Study'!$AB$1866</definedName>
    <definedName name="UAcct395Sgp">'[6]Func Study'!$AB$1862</definedName>
    <definedName name="UAcct395Sgu">'[6]Func Study'!$AB$1863</definedName>
    <definedName name="UAcct395So">'[6]Func Study'!$AB$1864</definedName>
    <definedName name="UACCT395SSGCH">'[6]Func Study'!$AB$1867</definedName>
    <definedName name="UAcct396S">'[6]Func Study'!$AB$1872</definedName>
    <definedName name="UAcct396Se">'[6]Func Study'!$AB$1877</definedName>
    <definedName name="UAcct396Sg">'[6]Func Study'!$AB$1874</definedName>
    <definedName name="UAcct396Sgp">'[6]Func Study'!$AB$1873</definedName>
    <definedName name="UAcct396Sgu">'[6]Func Study'!$AB$1876</definedName>
    <definedName name="UAcct396So">'[6]Func Study'!$AB$1875</definedName>
    <definedName name="UACCT396SSGCH">'[6]Func Study'!$AB$1879</definedName>
    <definedName name="UACCT396SSGCT">'[6]Func Study'!$AB$1878</definedName>
    <definedName name="UAcct397Cn">'[6]Func Study'!$AB$1890</definedName>
    <definedName name="UAcct397JBG">'[6]Func Study'!$AB$1893</definedName>
    <definedName name="UAcct397S">'[6]Func Study'!$AB$1886</definedName>
    <definedName name="UAcct397Se">'[6]Func Study'!$AB$1892</definedName>
    <definedName name="UAcct397Sg">'[6]Func Study'!$AB$1891</definedName>
    <definedName name="UAcct397Sgp">'[6]Func Study'!$AB$1887</definedName>
    <definedName name="UAcct397Sgu">'[6]Func Study'!$AB$1888</definedName>
    <definedName name="UAcct397So">'[6]Func Study'!$AB$1889</definedName>
    <definedName name="UAcct398Cn">'[6]Func Study'!$AB$1902</definedName>
    <definedName name="UAcct398S">'[6]Func Study'!$AB$1899</definedName>
    <definedName name="UAcct398Se">'[6]Func Study'!$AB$1904</definedName>
    <definedName name="UAcct398Sg">'[6]Func Study'!$AB$1905</definedName>
    <definedName name="UAcct398Sgp">'[6]Func Study'!$AB$1900</definedName>
    <definedName name="UAcct398Sgu">'[6]Func Study'!$AB$1901</definedName>
    <definedName name="UAcct398So">'[6]Func Study'!$AB$1903</definedName>
    <definedName name="UACCT398SSGCT">'[6]Func Study'!$AB$1906</definedName>
    <definedName name="UAcct399">'[6]Func Study'!$AB$1913</definedName>
    <definedName name="UAcct399G">'[6]Func Study'!$AB$1955</definedName>
    <definedName name="UAcct399L">'[6]Func Study'!$AB$1917</definedName>
    <definedName name="UAcct399Lrcl">'[6]Func Study'!$AB$1919</definedName>
    <definedName name="UAcct403360">'[6]Func Study'!$AB$1090</definedName>
    <definedName name="UAcct403361">'[6]Func Study'!$AB$1091</definedName>
    <definedName name="UAcct403362">'[6]Func Study'!$AB$1092</definedName>
    <definedName name="UAcct403364">'[6]Func Study'!$AB$1094</definedName>
    <definedName name="UAcct403365">'[6]Func Study'!$AB$1095</definedName>
    <definedName name="UAcct403366">'[6]Func Study'!$AB$1096</definedName>
    <definedName name="UAcct403367">'[6]Func Study'!$AB$1097</definedName>
    <definedName name="UAcct403368">'[6]Func Study'!$AB$1098</definedName>
    <definedName name="UAcct403369">'[6]Func Study'!$AB$1099</definedName>
    <definedName name="UAcct403370">'[6]Func Study'!$AB$1100</definedName>
    <definedName name="UAcct403371">'[6]Func Study'!$AB$1101</definedName>
    <definedName name="UAcct403372">'[6]Func Study'!$AB$1102</definedName>
    <definedName name="UAcct403373">'[6]Func Study'!$AB$1103</definedName>
    <definedName name="UAcct403Ep">'[6]Func Study'!$AB$1130</definedName>
    <definedName name="UAcct403Gpcn">'[6]Func Study'!$AB$1111</definedName>
    <definedName name="UAcct403GPDGP">'[6]Func Study'!$AB$1108</definedName>
    <definedName name="UAcct403GPDGU">'[6]Func Study'!$AB$1109</definedName>
    <definedName name="UAcct403GPJBG">'[6]Func Study'!$AB$1115</definedName>
    <definedName name="UAcct403Gps">'[6]Func Study'!$AB$1107</definedName>
    <definedName name="UAcct403Gpsg">'[6]Func Study'!$AB$1112</definedName>
    <definedName name="UAcct403Gpso">'[6]Func Study'!$AB$1113</definedName>
    <definedName name="UAcct403Gv0">'[6]Func Study'!$AB$1121</definedName>
    <definedName name="UAcct403Hp">'[6]Func Study'!$AB$1072</definedName>
    <definedName name="UACCT403JBE">'[6]Func Study'!$AB$1116</definedName>
    <definedName name="UAcct403Mp">'[6]Func Study'!$AB$1125</definedName>
    <definedName name="UAcct403Np">'[6]Func Study'!$AB$1065</definedName>
    <definedName name="UAcct403Op">'[6]Func Study'!$AB$1080</definedName>
    <definedName name="UAcct403OPCAGE">'[6]Func Study'!$AB$1078</definedName>
    <definedName name="UAcct403Sp">'[6]Func Study'!$AB$1061</definedName>
    <definedName name="UAcct403SPJBG">'[6]Func Study'!$AB$1058</definedName>
    <definedName name="UAcct403Tp">'[6]Func Study'!$AB$1087</definedName>
    <definedName name="UAcct404330">'[6]Func Study'!$AB$1177</definedName>
    <definedName name="UACCT404GP">'[6]Func Study'!$AB$1146</definedName>
    <definedName name="UACCT404GPCN">'[6]Func Study'!$AB$1143</definedName>
    <definedName name="UACCT404GPSO">'[6]Func Study'!$AB$1141</definedName>
    <definedName name="UAcct404Ipcn">'[6]Func Study'!$AB$1158</definedName>
    <definedName name="UAcct404IPJBG">'[6]Func Study'!$AB$1163</definedName>
    <definedName name="UAcct404Ips">'[6]Func Study'!$AB$1154</definedName>
    <definedName name="UAcct404Ipse">'[6]Func Study'!$AB$1155</definedName>
    <definedName name="UAcct404Ipsg">'[6]Func Study'!$AB$1156</definedName>
    <definedName name="UAcct404Ipsg1">'[6]Func Study'!$AB$1159</definedName>
    <definedName name="UAcct404Ipsg2">'[6]Func Study'!$AB$1160</definedName>
    <definedName name="UAcct404Ipso">'[6]Func Study'!$AB$1157</definedName>
    <definedName name="UAcct404M">'[6]Func Study'!$AB$1168</definedName>
    <definedName name="UACCT404OP">'[6]Func Study'!$AB$1172</definedName>
    <definedName name="UACCT404SP">'[6]Func Study'!$AB$1151</definedName>
    <definedName name="UAcct405">'[6]Func Study'!$AB$1185</definedName>
    <definedName name="UAcct406">'[6]Func Study'!$AB$1193</definedName>
    <definedName name="UAcct407">'[6]Func Study'!$AB$1202</definedName>
    <definedName name="UAcct408">'[6]Func Study'!$AB$1221</definedName>
    <definedName name="UAcct408S">'[6]Func Study'!$AB$1213</definedName>
    <definedName name="UAcct41010">'[6]Func Study'!$AB$1294</definedName>
    <definedName name="UAcct41011">'[6]Func Study'!$AB$1309</definedName>
    <definedName name="UAcct41110">'[6]Func Study'!$AB$1325</definedName>
    <definedName name="UAcct41140">'[6]Func Study'!$AB$1232</definedName>
    <definedName name="UAcct41141">'[6]Func Study'!$AB$1237</definedName>
    <definedName name="UAcct41160">'[6]Func Study'!$AB$369</definedName>
    <definedName name="UAcct41170">'[6]Func Study'!$AB$374</definedName>
    <definedName name="UAcct4118">'[6]Func Study'!$AB$378</definedName>
    <definedName name="UAcct41181">'[6]Func Study'!$AB$381</definedName>
    <definedName name="UAcct4194">'[6]Func Study'!$AB$385</definedName>
    <definedName name="UAcct421">'[6]Func Study'!$AB$394</definedName>
    <definedName name="UAcct4311">'[6]Func Study'!$AB$401</definedName>
    <definedName name="UAcct442Se">'[6]Func Study'!$AB$259</definedName>
    <definedName name="UAcct442Sg">'[6]Func Study'!$AB$260</definedName>
    <definedName name="UAcct447">'[6]Func Study'!$AB$281</definedName>
    <definedName name="UACCT447NPC">'[6]Func Study'!$AB$289</definedName>
    <definedName name="UACCT447NPCCAEW">'[6]Func Study'!$AB$286</definedName>
    <definedName name="UACCT447NPCCAGW">'[6]Func Study'!$AB$287</definedName>
    <definedName name="UACCT447NPCDGP">'[6]Func Study'!$AB$288</definedName>
    <definedName name="UAcct447S">'[6]Func Study'!$AB$280</definedName>
    <definedName name="UAcct448S">'[6]Func Study'!$AB$274</definedName>
    <definedName name="UAcct448So">'[6]Func Study'!$AB$275</definedName>
    <definedName name="UAcct449">'[6]Func Study'!$AB$294</definedName>
    <definedName name="UAcct450">'[6]Func Study'!$AB$304</definedName>
    <definedName name="UAcct450S">'[6]Func Study'!$AB$302</definedName>
    <definedName name="UAcct450So">'[6]Func Study'!$AB$303</definedName>
    <definedName name="UAcct451S">'[6]Func Study'!$AB$307</definedName>
    <definedName name="UAcct451Sg">'[6]Func Study'!$AB$308</definedName>
    <definedName name="UAcct451So">'[6]Func Study'!$AB$309</definedName>
    <definedName name="UAcct453">'[6]Func Study'!$AB$315</definedName>
    <definedName name="UAcct454">'[6]Func Study'!$AB$322</definedName>
    <definedName name="UAcct454JBG">'[6]Func Study'!$AB$319</definedName>
    <definedName name="UAcct454S">'[6]Func Study'!$AB$318</definedName>
    <definedName name="UAcct454Sg">'[6]Func Study'!$AB$320</definedName>
    <definedName name="UAcct454So">'[6]Func Study'!$AB$321</definedName>
    <definedName name="UAcct456">'[6]Func Study'!$AB$332</definedName>
    <definedName name="UAcct456CAEW">'[6]Func Study'!$AB$331</definedName>
    <definedName name="UAcct456S">'[6]Func Study'!$AB$325</definedName>
    <definedName name="UAcct456So">'[6]Func Study'!$AB$329</definedName>
    <definedName name="UAcct500">'[6]Func Study'!$AB$416</definedName>
    <definedName name="UAcct500JBG">'[6]Func Study'!$AB$414</definedName>
    <definedName name="UAcct501">'[6]Func Study'!$AB$423</definedName>
    <definedName name="UAcct501CAEW">'[6]Func Study'!$AB$420</definedName>
    <definedName name="UAcct501JBE">'[6]Func Study'!$AB$421</definedName>
    <definedName name="UACCT501NPCCAEW">'[6]Func Study'!$AB$426</definedName>
    <definedName name="UAcct502">'[6]Func Study'!$AB$433</definedName>
    <definedName name="UAcct502CAGE">'[6]Func Study'!$AB$431</definedName>
    <definedName name="UAcct503">'[6]Func Study'!$AB$437</definedName>
    <definedName name="UACCT503NPC">'[6]Func Study'!$AB$443</definedName>
    <definedName name="UAcct505">'[6]Func Study'!$AB$449</definedName>
    <definedName name="UAcct505CAGE">'[6]Func Study'!$AB$447</definedName>
    <definedName name="UAcct506">'[6]Func Study'!$AB$455</definedName>
    <definedName name="UAcct506CAGE">'[6]Func Study'!$AB$452</definedName>
    <definedName name="UAcct507">'[6]Func Study'!$AB$464</definedName>
    <definedName name="UAcct507CAGE">'[6]Func Study'!$AB$462</definedName>
    <definedName name="UAcct510">'[6]Func Study'!$AB$469</definedName>
    <definedName name="UAcct510CAGE">'[6]Func Study'!$AB$467</definedName>
    <definedName name="UAcct511">'[6]Func Study'!$AB$474</definedName>
    <definedName name="UAcct511CAGE">'[6]Func Study'!$AB$472</definedName>
    <definedName name="UAcct512">'[6]Func Study'!$AB$479</definedName>
    <definedName name="UAcct512CAGE">'[6]Func Study'!$AB$477</definedName>
    <definedName name="UAcct513">'[6]Func Study'!$AB$484</definedName>
    <definedName name="UAcct513CAGE">'[6]Func Study'!$AB$482</definedName>
    <definedName name="UAcct514">'[6]Func Study'!$AB$489</definedName>
    <definedName name="UAcct514CAGE">'[6]Func Study'!$AB$487</definedName>
    <definedName name="UAcct517">'[6]Func Study'!$AB$498</definedName>
    <definedName name="UAcct518">'[6]Func Study'!$AB$502</definedName>
    <definedName name="UAcct519">'[6]Func Study'!$AB$507</definedName>
    <definedName name="UAcct520">'[6]Func Study'!$AB$511</definedName>
    <definedName name="UAcct523">'[6]Func Study'!$AB$515</definedName>
    <definedName name="UAcct524">'[6]Func Study'!$AB$519</definedName>
    <definedName name="UAcct528">'[6]Func Study'!$AB$523</definedName>
    <definedName name="UAcct529">'[6]Func Study'!$AB$527</definedName>
    <definedName name="UAcct530">'[6]Func Study'!$AB$531</definedName>
    <definedName name="UAcct531">'[6]Func Study'!$AB$535</definedName>
    <definedName name="UAcct532">'[6]Func Study'!$AB$539</definedName>
    <definedName name="UAcct535">'[6]Func Study'!$AB$551</definedName>
    <definedName name="UAcct536">'[6]Func Study'!$AB$555</definedName>
    <definedName name="UAcct537">'[6]Func Study'!$AB$559</definedName>
    <definedName name="UAcct538">'[6]Func Study'!$AB$563</definedName>
    <definedName name="UAcct539">'[6]Func Study'!$AB$568</definedName>
    <definedName name="UAcct540">'[6]Func Study'!$AB$572</definedName>
    <definedName name="UAcct541">'[6]Func Study'!$AB$576</definedName>
    <definedName name="UAcct542">'[6]Func Study'!$AB$580</definedName>
    <definedName name="UAcct543">'[6]Func Study'!$AB$584</definedName>
    <definedName name="UAcct544">'[6]Func Study'!$AB$588</definedName>
    <definedName name="UAcct545">'[6]Func Study'!$AB$592</definedName>
    <definedName name="UAcct546">'[6]Func Study'!$AB$606</definedName>
    <definedName name="UAcct546CAGE">'[6]Func Study'!$AB$605</definedName>
    <definedName name="UAcct547CAEW">'[6]Func Study'!$AB$610</definedName>
    <definedName name="UACCT547NPCCAEW">'[6]Func Study'!$AB$613</definedName>
    <definedName name="UAcct547Se">'[6]Func Study'!$AB$609</definedName>
    <definedName name="UAcct548">'[6]Func Study'!$AB$621</definedName>
    <definedName name="UACCT548CAGE">'[6]Func Study'!$AB$620</definedName>
    <definedName name="UAcct549">'[6]Func Study'!$AB$626</definedName>
    <definedName name="Uacct549CAGE">'[6]Func Study'!$AB$625</definedName>
    <definedName name="UAcct551CAGE">'[6]Func Study'!$AB$634</definedName>
    <definedName name="UACCT551SG">'[6]Func Study'!$AB$635</definedName>
    <definedName name="UACCT552CAGE">'[6]Func Study'!$AB$640</definedName>
    <definedName name="UAcct552SG">'[6]Func Study'!$AB$639</definedName>
    <definedName name="UACCT553CAGE">'[6]Func Study'!$AB$646</definedName>
    <definedName name="UAcct553SG">'[6]Func Study'!$AB$645</definedName>
    <definedName name="UACCT554CAGE">'[6]Func Study'!$AB$651</definedName>
    <definedName name="UAcct554SG">'[6]Func Study'!$AB$650</definedName>
    <definedName name="UAcct555CAEW">'[6]Func Study'!$AB$665</definedName>
    <definedName name="UAcct555CAGW">'[6]Func Study'!$AB$664</definedName>
    <definedName name="UACCT555DGP">'[6]Func Study'!$AB$670</definedName>
    <definedName name="UACCT555NPCCAEW">'[6]Func Study'!$AB$669</definedName>
    <definedName name="UACCT555NPCCAGW">'[6]Func Study'!$AB$668</definedName>
    <definedName name="UAcct555S">'[6]Func Study'!$AB$663</definedName>
    <definedName name="UAcct555Se">'[6]Func Study'!$AB$665</definedName>
    <definedName name="UACCT555SG">'[6]Func Study'!$AB$664</definedName>
    <definedName name="UAcct556">'[6]Func Study'!$AB$676</definedName>
    <definedName name="UAcct557">'[6]Func Study'!$AB$685</definedName>
    <definedName name="UAcct560">'[6]Func Study'!$AB$715</definedName>
    <definedName name="UAcct561">'[6]Func Study'!$AB$720</definedName>
    <definedName name="UAcct562">'[6]Func Study'!$AB$726</definedName>
    <definedName name="UAcct563">'[6]Func Study'!$AB$731</definedName>
    <definedName name="UAcct564">'[6]Func Study'!$AB$735</definedName>
    <definedName name="UAcct565">'[6]Func Study'!$AB$739</definedName>
    <definedName name="UACCT565NPC">'[6]Func Study'!$AB$744</definedName>
    <definedName name="UACCT565NPCCAGW">'[6]Func Study'!$AB$742</definedName>
    <definedName name="UAcct566">'[6]Func Study'!$AB$748</definedName>
    <definedName name="UAcct567">'[6]Func Study'!$AB$752</definedName>
    <definedName name="UAcct568">'[6]Func Study'!$AB$756</definedName>
    <definedName name="UAcct569">'[6]Func Study'!$AB$760</definedName>
    <definedName name="UAcct570">'[6]Func Study'!$AB$765</definedName>
    <definedName name="UAcct571">'[6]Func Study'!$AB$770</definedName>
    <definedName name="UAcct572">'[6]Func Study'!$AB$774</definedName>
    <definedName name="UAcct573">'[6]Func Study'!$AB$778</definedName>
    <definedName name="UAcct580">'[6]Func Study'!$AB$791</definedName>
    <definedName name="UAcct581">'[6]Func Study'!$AB$796</definedName>
    <definedName name="UAcct582">'[6]Func Study'!$AB$801</definedName>
    <definedName name="UAcct583">'[6]Func Study'!$AB$806</definedName>
    <definedName name="UAcct584">'[6]Func Study'!$AB$811</definedName>
    <definedName name="UAcct585">'[6]Func Study'!$AB$816</definedName>
    <definedName name="UAcct586">'[6]Func Study'!$AB$821</definedName>
    <definedName name="UAcct587">'[6]Func Study'!$AB$826</definedName>
    <definedName name="UAcct588">'[6]Func Study'!$AB$831</definedName>
    <definedName name="UAcct589">'[6]Func Study'!$AB$836</definedName>
    <definedName name="UAcct590">'[6]Func Study'!$AB$841</definedName>
    <definedName name="UAcct591">'[6]Func Study'!$AB$846</definedName>
    <definedName name="UAcct592">'[6]Func Study'!$AB$851</definedName>
    <definedName name="UAcct593">'[6]Func Study'!$AB$856</definedName>
    <definedName name="UAcct594">'[6]Func Study'!$AB$861</definedName>
    <definedName name="UAcct595">'[6]Func Study'!$AB$866</definedName>
    <definedName name="UAcct596">'[6]Func Study'!$AB$876</definedName>
    <definedName name="UAcct597">'[6]Func Study'!$AB$881</definedName>
    <definedName name="UAcct598">'[6]Func Study'!$AB$886</definedName>
    <definedName name="UAcct901">'[6]Func Study'!$AB$898</definedName>
    <definedName name="UAcct902">'[6]Func Study'!$AB$903</definedName>
    <definedName name="UAcct903">'[6]Func Study'!$AB$908</definedName>
    <definedName name="UAcct904">'[6]Func Study'!$AB$914</definedName>
    <definedName name="UAcct905">'[6]Func Study'!$AB$919</definedName>
    <definedName name="UAcct907">'[6]Func Study'!$AB$933</definedName>
    <definedName name="UAcct908">'[6]Func Study'!$AB$938</definedName>
    <definedName name="UAcct909">'[6]Func Study'!$AB$943</definedName>
    <definedName name="UAcct910">'[6]Func Study'!$AB$948</definedName>
    <definedName name="UAcct911">'[6]Func Study'!$AB$959</definedName>
    <definedName name="UAcct912">'[6]Func Study'!$AB$964</definedName>
    <definedName name="UAcct913">'[6]Func Study'!$AB$969</definedName>
    <definedName name="UAcct916">'[6]Func Study'!$AB$974</definedName>
    <definedName name="UAcct920">'[6]Func Study'!$AB$985</definedName>
    <definedName name="UAcct920Cn">'[6]Func Study'!$AB$983</definedName>
    <definedName name="UAcct921">'[6]Func Study'!$AB$991</definedName>
    <definedName name="UAcct921Cn">'[6]Func Study'!$AB$989</definedName>
    <definedName name="UAcct923">'[6]Func Study'!$AB$997</definedName>
    <definedName name="UAcct923CAGW">'[6]Func Study'!$AB$995</definedName>
    <definedName name="UAcct924">'[6]Func Study'!$AB$1001</definedName>
    <definedName name="UAcct925">'[6]Func Study'!$AB$1005</definedName>
    <definedName name="UAcct926">'[6]Func Study'!$AB$1011</definedName>
    <definedName name="UAcct927">'[6]Func Study'!$AB$1016</definedName>
    <definedName name="UAcct928">'[6]Func Study'!$AB$1023</definedName>
    <definedName name="UAcct929">'[6]Func Study'!$AB$1028</definedName>
    <definedName name="UAcct930">'[6]Func Study'!$AB$1034</definedName>
    <definedName name="UAcct931">'[6]Func Study'!$AB$1039</definedName>
    <definedName name="UAcct935">'[6]Func Study'!$AB$1045</definedName>
    <definedName name="UAcctAGA">'[6]Func Study'!$AB$296</definedName>
    <definedName name="UAcctcwc">'[6]Func Study'!$AB$2136</definedName>
    <definedName name="UAcctd00">'[6]Func Study'!$AB$1786</definedName>
    <definedName name="UAcctds0">'[6]Func Study'!$AB$1790</definedName>
    <definedName name="UACCTECDDGP">'[6]Func Study'!$AB$687</definedName>
    <definedName name="UACCTECDMC">'[6]Func Study'!$AB$689</definedName>
    <definedName name="UACCTECDS">'[6]Func Study'!$AB$691</definedName>
    <definedName name="UACCTECDSG1">'[6]Func Study'!$AB$688</definedName>
    <definedName name="UACCTECDSG2">'[6]Func Study'!$AB$690</definedName>
    <definedName name="UACCTECDSG3">'[6]Func Study'!$AB$692</definedName>
    <definedName name="UAcctfit">'[6]Func Study'!$AB$1395</definedName>
    <definedName name="UAcctg00">'[6]Func Study'!$AB$1947</definedName>
    <definedName name="UAccth00">'[6]Func Study'!$AB$1545</definedName>
    <definedName name="UAccti00">'[6]Func Study'!$AB$1993</definedName>
    <definedName name="UAcctn00">'[6]Func Study'!$AB$1496</definedName>
    <definedName name="UAccto00">'[6]Func Study'!$AB$1606</definedName>
    <definedName name="UAcctowc">'[6]Func Study'!$AB$2149</definedName>
    <definedName name="UACCTOWCSSECH">'[6]Func Study'!$AB$2148</definedName>
    <definedName name="UAccts00">'[6]Func Study'!$AB$1455</definedName>
    <definedName name="UAcctsttax">'[6]Func Study'!$AB$1377</definedName>
    <definedName name="UAcctt00">'[6]Func Study'!$AB$1682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collectibleAccounts">[10]Variables!$D$25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[10]Variables!$D$29</definedName>
    <definedName name="ValidAccount">[7]Variables!$AK$43:$AK$369</definedName>
    <definedName name="Values_Entered" localSheetId="11">IF(Loan_Amount*Interest_Rate*Loan_Years*Loan_Start&gt;0,1,0)</definedName>
    <definedName name="Values_Entered">IF(Loan_Amount*Interest_Rate*Loan_Years*Loan_Start&gt;0,1,0)</definedName>
    <definedName name="VOMEsc">[8]Assumptions!$C$21</definedName>
    <definedName name="WACC">[8]Assumptions!$I$61</definedName>
    <definedName name="WaRevenueTax">[10]Variables!$D$27</definedName>
    <definedName name="Winter" localSheetId="11">'[49]Input Tab'!$B$11</definedName>
    <definedName name="Winter">'[50]Input Tab'!$B$11</definedName>
    <definedName name="WinterPeak">'[51]Load Data'!$D$9:$H$12,'[51]Load Data'!$D$20:$H$22</definedName>
    <definedName name="x">'[52]Weather Present'!$K$7</definedName>
    <definedName name="y">'[53]DSM Output'!$B$21:$B$23</definedName>
    <definedName name="Years_evaluated">'[54]Revison Inputs'!$B$6</definedName>
    <definedName name="YEFactors">[7]Factors!$S$3:$AG$99</definedName>
    <definedName name="YTD_Format">[36]YTD!$B$13:$D$13,[36]YTD!$B$36:$D$36</definedName>
    <definedName name="z">'[53]DSM Output'!$G$21:$G$23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L56" i="307" l="1"/>
  <c r="L33" i="307"/>
  <c r="L83" i="306"/>
  <c r="L49" i="306"/>
  <c r="M27" i="306"/>
  <c r="L27" i="306"/>
  <c r="G18" i="305"/>
  <c r="C16" i="313" l="1"/>
  <c r="C15" i="313"/>
  <c r="C13" i="313"/>
  <c r="E59" i="308" l="1"/>
  <c r="E55" i="308"/>
  <c r="H35" i="308"/>
  <c r="H16" i="308"/>
  <c r="H15" i="308"/>
  <c r="H36" i="308"/>
  <c r="H17" i="308"/>
  <c r="L108" i="306"/>
  <c r="G74" i="306"/>
  <c r="G73" i="306"/>
  <c r="G67" i="306"/>
  <c r="G9" i="309"/>
  <c r="H9" i="308"/>
  <c r="G9" i="307"/>
  <c r="G9" i="306"/>
  <c r="L37" i="309"/>
  <c r="J43" i="308"/>
  <c r="L77" i="307"/>
  <c r="L52" i="307"/>
  <c r="L31" i="307"/>
  <c r="L81" i="306"/>
  <c r="L50" i="306"/>
  <c r="L47" i="306"/>
  <c r="L25" i="306"/>
  <c r="L23" i="305"/>
  <c r="D35" i="309"/>
  <c r="D31" i="309"/>
  <c r="D20" i="309"/>
  <c r="D16" i="309"/>
  <c r="C61" i="308"/>
  <c r="C60" i="308"/>
  <c r="C59" i="308"/>
  <c r="C57" i="308"/>
  <c r="C56" i="308"/>
  <c r="C55" i="308"/>
  <c r="E36" i="308"/>
  <c r="E31" i="308"/>
  <c r="E30" i="308"/>
  <c r="E22" i="308"/>
  <c r="E21" i="308"/>
  <c r="E17" i="308"/>
  <c r="E16" i="308"/>
  <c r="E15" i="308"/>
  <c r="D73" i="307"/>
  <c r="D68" i="307"/>
  <c r="D62" i="307"/>
  <c r="D60" i="307"/>
  <c r="D49" i="307"/>
  <c r="D46" i="307"/>
  <c r="D45" i="307"/>
  <c r="D39" i="307"/>
  <c r="D37" i="307"/>
  <c r="D27" i="307"/>
  <c r="D24" i="307"/>
  <c r="D23" i="307"/>
  <c r="D17" i="307"/>
  <c r="D15" i="307"/>
  <c r="D134" i="306"/>
  <c r="D131" i="306"/>
  <c r="D130" i="306"/>
  <c r="D123" i="306"/>
  <c r="D122" i="306"/>
  <c r="D121" i="306"/>
  <c r="D120" i="306"/>
  <c r="D117" i="306"/>
  <c r="D116" i="306"/>
  <c r="D102" i="306"/>
  <c r="D98" i="306"/>
  <c r="D86" i="306"/>
  <c r="D77" i="306"/>
  <c r="D74" i="306"/>
  <c r="D73" i="306"/>
  <c r="D67" i="306"/>
  <c r="D65" i="306"/>
  <c r="D45" i="306"/>
  <c r="D42" i="306"/>
  <c r="D41" i="306"/>
  <c r="D35" i="306"/>
  <c r="D34" i="306"/>
  <c r="D33" i="306"/>
  <c r="D31" i="306"/>
  <c r="D20" i="306"/>
  <c r="D19" i="306"/>
  <c r="D16" i="306"/>
  <c r="D15" i="306"/>
  <c r="D19" i="305"/>
  <c r="D18" i="305"/>
  <c r="D15" i="305"/>
  <c r="D14" i="305"/>
  <c r="A3" i="309"/>
  <c r="A3" i="308"/>
  <c r="A3" i="307"/>
  <c r="A3" i="306"/>
  <c r="A3" i="305"/>
  <c r="M77" i="308"/>
  <c r="L77" i="308"/>
  <c r="J77" i="308"/>
  <c r="G77" i="308"/>
  <c r="M76" i="308"/>
  <c r="L76" i="308"/>
  <c r="J76" i="308"/>
  <c r="G76" i="308"/>
  <c r="M75" i="308"/>
  <c r="L75" i="308"/>
  <c r="J75" i="308"/>
  <c r="G75" i="308"/>
  <c r="M74" i="308"/>
  <c r="L74" i="308"/>
  <c r="J74" i="308"/>
  <c r="G74" i="308"/>
  <c r="M73" i="308"/>
  <c r="L73" i="308"/>
  <c r="J73" i="308"/>
  <c r="G73" i="308"/>
  <c r="M72" i="308"/>
  <c r="L72" i="308"/>
  <c r="J72" i="308"/>
  <c r="G72" i="308"/>
  <c r="M71" i="308"/>
  <c r="L71" i="308"/>
  <c r="J71" i="308"/>
  <c r="G71" i="308"/>
  <c r="M70" i="308"/>
  <c r="L70" i="308"/>
  <c r="J70" i="308"/>
  <c r="G70" i="308"/>
  <c r="M69" i="308"/>
  <c r="L69" i="308"/>
  <c r="J69" i="308"/>
  <c r="G69" i="308"/>
  <c r="M68" i="308"/>
  <c r="L68" i="308"/>
  <c r="J68" i="308"/>
  <c r="G68" i="308"/>
  <c r="M67" i="308"/>
  <c r="L67" i="308"/>
  <c r="J67" i="308"/>
  <c r="G67" i="308"/>
  <c r="M66" i="308"/>
  <c r="L66" i="308"/>
  <c r="J66" i="308"/>
  <c r="G66" i="308"/>
  <c r="C52" i="308"/>
  <c r="C51" i="308"/>
  <c r="C50" i="308"/>
  <c r="C48" i="308"/>
  <c r="J39" i="308"/>
  <c r="P43" i="310"/>
  <c r="P42" i="310"/>
  <c r="O42" i="310"/>
  <c r="N42" i="310"/>
  <c r="M42" i="310"/>
  <c r="L42" i="310"/>
  <c r="K42" i="310"/>
  <c r="J42" i="310"/>
  <c r="I42" i="310"/>
  <c r="H42" i="310"/>
  <c r="G42" i="310"/>
  <c r="F42" i="310"/>
  <c r="E42" i="310"/>
  <c r="P40" i="310"/>
  <c r="O40" i="310"/>
  <c r="N40" i="310"/>
  <c r="M40" i="310"/>
  <c r="L40" i="310"/>
  <c r="K40" i="310"/>
  <c r="J40" i="310"/>
  <c r="I40" i="310"/>
  <c r="H40" i="310"/>
  <c r="G40" i="310"/>
  <c r="F40" i="310"/>
  <c r="E40" i="310"/>
  <c r="P39" i="310"/>
  <c r="O39" i="310"/>
  <c r="N39" i="310"/>
  <c r="M39" i="310"/>
  <c r="L39" i="310"/>
  <c r="K39" i="310"/>
  <c r="J39" i="310"/>
  <c r="I39" i="310"/>
  <c r="H39" i="310"/>
  <c r="G39" i="310"/>
  <c r="F39" i="310"/>
  <c r="E39" i="310"/>
  <c r="P35" i="310"/>
  <c r="O35" i="310"/>
  <c r="N35" i="310"/>
  <c r="M35" i="310"/>
  <c r="L35" i="310"/>
  <c r="K35" i="310"/>
  <c r="J35" i="310"/>
  <c r="I35" i="310"/>
  <c r="H35" i="310"/>
  <c r="G35" i="310"/>
  <c r="F35" i="310"/>
  <c r="E35" i="310"/>
  <c r="P31" i="310"/>
  <c r="O31" i="310"/>
  <c r="N31" i="310"/>
  <c r="M31" i="310"/>
  <c r="L31" i="310"/>
  <c r="K31" i="310"/>
  <c r="J31" i="310"/>
  <c r="I31" i="310"/>
  <c r="H31" i="310"/>
  <c r="G31" i="310"/>
  <c r="F31" i="310"/>
  <c r="E31" i="310"/>
  <c r="P29" i="310"/>
  <c r="O29" i="310"/>
  <c r="N29" i="310"/>
  <c r="M29" i="310"/>
  <c r="L29" i="310"/>
  <c r="K29" i="310"/>
  <c r="J29" i="310"/>
  <c r="I29" i="310"/>
  <c r="H29" i="310"/>
  <c r="G29" i="310"/>
  <c r="F29" i="310"/>
  <c r="E29" i="310"/>
  <c r="P26" i="310"/>
  <c r="O26" i="310"/>
  <c r="N26" i="310"/>
  <c r="M26" i="310"/>
  <c r="L26" i="310"/>
  <c r="K26" i="310"/>
  <c r="J26" i="310"/>
  <c r="I26" i="310"/>
  <c r="H26" i="310"/>
  <c r="G26" i="310"/>
  <c r="F26" i="310"/>
  <c r="E26" i="310"/>
  <c r="C35" i="309"/>
  <c r="C32" i="309"/>
  <c r="C31" i="309"/>
  <c r="P25" i="310"/>
  <c r="O25" i="310"/>
  <c r="N25" i="310"/>
  <c r="M25" i="310"/>
  <c r="L25" i="310"/>
  <c r="K25" i="310"/>
  <c r="J25" i="310"/>
  <c r="I25" i="310"/>
  <c r="H25" i="310"/>
  <c r="G25" i="310"/>
  <c r="F25" i="310"/>
  <c r="E25" i="310"/>
  <c r="C20" i="309"/>
  <c r="C17" i="309"/>
  <c r="C16" i="309"/>
  <c r="P23" i="310"/>
  <c r="O23" i="310"/>
  <c r="N23" i="310"/>
  <c r="M23" i="310"/>
  <c r="L23" i="310"/>
  <c r="K23" i="310"/>
  <c r="J23" i="310"/>
  <c r="I23" i="310"/>
  <c r="H23" i="310"/>
  <c r="G23" i="310"/>
  <c r="F23" i="310"/>
  <c r="E23" i="310"/>
  <c r="A77" i="308"/>
  <c r="A76" i="308"/>
  <c r="A75" i="308"/>
  <c r="A74" i="308"/>
  <c r="A73" i="308"/>
  <c r="A72" i="308"/>
  <c r="A71" i="308"/>
  <c r="A70" i="308"/>
  <c r="A69" i="308"/>
  <c r="A68" i="308"/>
  <c r="A67" i="308"/>
  <c r="A66" i="308"/>
  <c r="G39" i="308"/>
  <c r="C36" i="308"/>
  <c r="C35" i="308"/>
  <c r="G26" i="308"/>
  <c r="C26" i="308"/>
  <c r="C25" i="308"/>
  <c r="C24" i="308"/>
  <c r="C22" i="308"/>
  <c r="C21" i="308"/>
  <c r="C17" i="308"/>
  <c r="C16" i="308"/>
  <c r="C15" i="308"/>
  <c r="P20" i="310"/>
  <c r="O20" i="310"/>
  <c r="N20" i="310"/>
  <c r="M20" i="310"/>
  <c r="L20" i="310"/>
  <c r="K20" i="310"/>
  <c r="J20" i="310"/>
  <c r="I20" i="310"/>
  <c r="H20" i="310"/>
  <c r="G20" i="310"/>
  <c r="F20" i="310"/>
  <c r="E20" i="310"/>
  <c r="C73" i="307"/>
  <c r="C68" i="307"/>
  <c r="C65" i="307"/>
  <c r="C64" i="307"/>
  <c r="C62" i="307"/>
  <c r="C60" i="307"/>
  <c r="P19" i="310"/>
  <c r="O19" i="310"/>
  <c r="N19" i="310"/>
  <c r="M19" i="310"/>
  <c r="L19" i="310"/>
  <c r="K19" i="310"/>
  <c r="J19" i="310"/>
  <c r="I19" i="310"/>
  <c r="H19" i="310"/>
  <c r="G19" i="310"/>
  <c r="F19" i="310"/>
  <c r="E19" i="310"/>
  <c r="C49" i="307"/>
  <c r="C46" i="307"/>
  <c r="C45" i="307"/>
  <c r="C42" i="307"/>
  <c r="C41" i="307"/>
  <c r="C39" i="307"/>
  <c r="C37" i="307"/>
  <c r="P18" i="310"/>
  <c r="O18" i="310"/>
  <c r="N18" i="310"/>
  <c r="M18" i="310"/>
  <c r="L18" i="310"/>
  <c r="K18" i="310"/>
  <c r="J18" i="310"/>
  <c r="I18" i="310"/>
  <c r="H18" i="310"/>
  <c r="G18" i="310"/>
  <c r="F18" i="310"/>
  <c r="E18" i="310"/>
  <c r="C27" i="307"/>
  <c r="C24" i="307"/>
  <c r="C23" i="307"/>
  <c r="C20" i="307"/>
  <c r="C19" i="307"/>
  <c r="C17" i="307"/>
  <c r="C15" i="307"/>
  <c r="P15" i="310"/>
  <c r="O15" i="310"/>
  <c r="N15" i="310"/>
  <c r="M15" i="310"/>
  <c r="L15" i="310"/>
  <c r="K15" i="310"/>
  <c r="J15" i="310"/>
  <c r="I15" i="310"/>
  <c r="H15" i="310"/>
  <c r="G15" i="310"/>
  <c r="F15" i="310"/>
  <c r="E15" i="310"/>
  <c r="C134" i="306"/>
  <c r="C131" i="306"/>
  <c r="C130" i="306"/>
  <c r="C127" i="306"/>
  <c r="C126" i="306"/>
  <c r="C125" i="306"/>
  <c r="C123" i="306"/>
  <c r="C122" i="306"/>
  <c r="C121" i="306"/>
  <c r="C120" i="306"/>
  <c r="C117" i="306"/>
  <c r="C116" i="306"/>
  <c r="P14" i="310"/>
  <c r="O14" i="310"/>
  <c r="N14" i="310"/>
  <c r="M14" i="310"/>
  <c r="L14" i="310"/>
  <c r="K14" i="310"/>
  <c r="J14" i="310"/>
  <c r="I14" i="310"/>
  <c r="H14" i="310"/>
  <c r="G14" i="310"/>
  <c r="F14" i="310"/>
  <c r="E14" i="310"/>
  <c r="C101" i="306"/>
  <c r="C97" i="306"/>
  <c r="C96" i="306"/>
  <c r="C93" i="306"/>
  <c r="C92" i="306"/>
  <c r="C89" i="306"/>
  <c r="C85" i="306"/>
  <c r="P13" i="310"/>
  <c r="O13" i="310"/>
  <c r="N13" i="310"/>
  <c r="M13" i="310"/>
  <c r="L13" i="310"/>
  <c r="K13" i="310"/>
  <c r="J13" i="310"/>
  <c r="I13" i="310"/>
  <c r="H13" i="310"/>
  <c r="G13" i="310"/>
  <c r="F13" i="310"/>
  <c r="E13" i="310"/>
  <c r="C77" i="306"/>
  <c r="C74" i="306"/>
  <c r="C73" i="306"/>
  <c r="C70" i="306"/>
  <c r="C69" i="306"/>
  <c r="C67" i="306"/>
  <c r="C65" i="306"/>
  <c r="P12" i="310"/>
  <c r="O12" i="310"/>
  <c r="N12" i="310"/>
  <c r="M12" i="310"/>
  <c r="L12" i="310"/>
  <c r="K12" i="310"/>
  <c r="J12" i="310"/>
  <c r="I12" i="310"/>
  <c r="H12" i="310"/>
  <c r="G12" i="310"/>
  <c r="F12" i="310"/>
  <c r="E12" i="310"/>
  <c r="C45" i="306"/>
  <c r="C42" i="306"/>
  <c r="C41" i="306"/>
  <c r="F38" i="306"/>
  <c r="C38" i="306"/>
  <c r="C37" i="306"/>
  <c r="C35" i="306"/>
  <c r="C34" i="306"/>
  <c r="C33" i="306"/>
  <c r="C31" i="306"/>
  <c r="P8" i="310"/>
  <c r="O8" i="310"/>
  <c r="N8" i="310"/>
  <c r="M8" i="310"/>
  <c r="L8" i="310"/>
  <c r="K8" i="310"/>
  <c r="J8" i="310"/>
  <c r="I8" i="310"/>
  <c r="H8" i="310"/>
  <c r="G8" i="310"/>
  <c r="F8" i="310"/>
  <c r="E8" i="310"/>
  <c r="P11" i="310"/>
  <c r="O11" i="310"/>
  <c r="N11" i="310"/>
  <c r="M11" i="310"/>
  <c r="L11" i="310"/>
  <c r="K11" i="310"/>
  <c r="J11" i="310"/>
  <c r="I11" i="310"/>
  <c r="H11" i="310"/>
  <c r="G11" i="310"/>
  <c r="F11" i="310"/>
  <c r="E11" i="310"/>
  <c r="C24" i="306"/>
  <c r="C23" i="306"/>
  <c r="C22" i="306"/>
  <c r="C20" i="306"/>
  <c r="C19" i="306"/>
  <c r="C16" i="306"/>
  <c r="C15" i="306"/>
  <c r="P7" i="310"/>
  <c r="O7" i="310"/>
  <c r="N7" i="310"/>
  <c r="M7" i="310"/>
  <c r="L7" i="310"/>
  <c r="K7" i="310"/>
  <c r="J7" i="310"/>
  <c r="I7" i="310"/>
  <c r="H7" i="310"/>
  <c r="G7" i="310"/>
  <c r="F7" i="310"/>
  <c r="E7" i="310"/>
  <c r="C22" i="305"/>
  <c r="C21" i="305"/>
  <c r="C19" i="305"/>
  <c r="C18" i="305"/>
  <c r="C15" i="305"/>
  <c r="C14" i="305"/>
  <c r="D31" i="308"/>
  <c r="C31" i="308"/>
  <c r="D30" i="308"/>
  <c r="C30" i="308"/>
  <c r="Q17" i="274"/>
  <c r="P17" i="274"/>
  <c r="O17" i="274"/>
  <c r="N17" i="274"/>
  <c r="M17" i="274"/>
  <c r="L17" i="274"/>
  <c r="K17" i="274"/>
  <c r="J17" i="274"/>
  <c r="I17" i="274"/>
  <c r="H17" i="274"/>
  <c r="G17" i="274"/>
  <c r="F17" i="274"/>
  <c r="E17" i="274"/>
  <c r="Q15" i="274"/>
  <c r="P15" i="274"/>
  <c r="O15" i="274"/>
  <c r="N15" i="274"/>
  <c r="M15" i="274"/>
  <c r="L15" i="274"/>
  <c r="K15" i="274"/>
  <c r="J15" i="274"/>
  <c r="I15" i="274"/>
  <c r="H15" i="274"/>
  <c r="G15" i="274"/>
  <c r="F15" i="274"/>
  <c r="E15" i="274"/>
  <c r="Q10" i="274"/>
  <c r="P10" i="274"/>
  <c r="O10" i="274"/>
  <c r="N10" i="274"/>
  <c r="M10" i="274"/>
  <c r="L10" i="274"/>
  <c r="K10" i="274"/>
  <c r="J10" i="274"/>
  <c r="I10" i="274"/>
  <c r="H10" i="274"/>
  <c r="G10" i="274"/>
  <c r="F10" i="274"/>
  <c r="E10" i="274"/>
  <c r="C10" i="274"/>
  <c r="Q9" i="274"/>
  <c r="P9" i="274"/>
  <c r="O9" i="274"/>
  <c r="N9" i="274"/>
  <c r="M9" i="274"/>
  <c r="L9" i="274"/>
  <c r="K9" i="274"/>
  <c r="J9" i="274"/>
  <c r="I9" i="274"/>
  <c r="H9" i="274"/>
  <c r="G9" i="274"/>
  <c r="F9" i="274"/>
  <c r="E9" i="274"/>
  <c r="C9" i="274"/>
  <c r="C39" i="313"/>
  <c r="C29" i="313"/>
  <c r="C28" i="313"/>
  <c r="F48" i="313"/>
  <c r="C31" i="313"/>
  <c r="C30" i="313"/>
  <c r="C27" i="313"/>
  <c r="C26" i="313"/>
  <c r="C25" i="313"/>
  <c r="C24" i="313"/>
  <c r="C18" i="313"/>
  <c r="C17" i="313"/>
  <c r="C14" i="313"/>
  <c r="C37" i="313"/>
  <c r="C9" i="313"/>
  <c r="C33" i="313"/>
  <c r="C6" i="313"/>
  <c r="D56" i="313"/>
  <c r="D55" i="313"/>
  <c r="D54" i="313"/>
  <c r="D53" i="313"/>
  <c r="D52" i="313"/>
  <c r="D51" i="313"/>
  <c r="D50" i="313"/>
  <c r="D49" i="313"/>
  <c r="C32" i="313"/>
  <c r="C23" i="313"/>
  <c r="C22" i="313"/>
  <c r="C21" i="313"/>
  <c r="C20" i="313"/>
  <c r="C19" i="313"/>
  <c r="C7" i="313"/>
  <c r="C5" i="313"/>
  <c r="A45" i="310" l="1"/>
  <c r="A44" i="310"/>
  <c r="D43" i="310"/>
  <c r="D42" i="310"/>
  <c r="A42" i="310"/>
  <c r="J41" i="310"/>
  <c r="J44" i="310" s="1"/>
  <c r="A41" i="310"/>
  <c r="D40" i="310"/>
  <c r="A40" i="310"/>
  <c r="P41" i="310"/>
  <c r="P44" i="310" s="1"/>
  <c r="O41" i="310"/>
  <c r="O44" i="310" s="1"/>
  <c r="N41" i="310"/>
  <c r="N44" i="310" s="1"/>
  <c r="M41" i="310"/>
  <c r="M44" i="310" s="1"/>
  <c r="L41" i="310"/>
  <c r="L44" i="310" s="1"/>
  <c r="K41" i="310"/>
  <c r="K44" i="310" s="1"/>
  <c r="I41" i="310"/>
  <c r="I44" i="310" s="1"/>
  <c r="H41" i="310"/>
  <c r="H44" i="310" s="1"/>
  <c r="G41" i="310"/>
  <c r="G44" i="310" s="1"/>
  <c r="D39" i="310"/>
  <c r="E41" i="310"/>
  <c r="A39" i="310"/>
  <c r="A38" i="310"/>
  <c r="A37" i="310"/>
  <c r="A36" i="310"/>
  <c r="D35" i="310"/>
  <c r="A35" i="310"/>
  <c r="A34" i="310"/>
  <c r="A33" i="310"/>
  <c r="A32" i="310"/>
  <c r="A31" i="310"/>
  <c r="A30" i="310"/>
  <c r="A29" i="310"/>
  <c r="A28" i="310"/>
  <c r="P27" i="310"/>
  <c r="A27" i="310"/>
  <c r="D26" i="310"/>
  <c r="A26" i="310"/>
  <c r="O27" i="310"/>
  <c r="M27" i="310"/>
  <c r="L27" i="310"/>
  <c r="K27" i="310"/>
  <c r="I27" i="310"/>
  <c r="H27" i="310"/>
  <c r="G27" i="310"/>
  <c r="E27" i="310"/>
  <c r="A25" i="310"/>
  <c r="A24" i="310"/>
  <c r="D23" i="310"/>
  <c r="A23" i="310"/>
  <c r="A22" i="310"/>
  <c r="A21" i="310"/>
  <c r="D20" i="310"/>
  <c r="A20" i="310"/>
  <c r="O21" i="310"/>
  <c r="N21" i="310"/>
  <c r="K21" i="310"/>
  <c r="J21" i="310"/>
  <c r="G21" i="310"/>
  <c r="D19" i="310"/>
  <c r="A19" i="310"/>
  <c r="M21" i="310"/>
  <c r="I21" i="310"/>
  <c r="E21" i="310"/>
  <c r="D18" i="310"/>
  <c r="A18" i="310"/>
  <c r="A17" i="310"/>
  <c r="L16" i="310"/>
  <c r="A16" i="310"/>
  <c r="A15" i="310"/>
  <c r="D14" i="310"/>
  <c r="A14" i="310"/>
  <c r="D13" i="310"/>
  <c r="A13" i="310"/>
  <c r="P16" i="310"/>
  <c r="O16" i="310"/>
  <c r="K16" i="310"/>
  <c r="H16" i="310"/>
  <c r="D12" i="310"/>
  <c r="A12" i="310"/>
  <c r="A11" i="310"/>
  <c r="A10" i="310"/>
  <c r="M9" i="310"/>
  <c r="L9" i="310"/>
  <c r="E9" i="310"/>
  <c r="A9" i="310"/>
  <c r="D8" i="310"/>
  <c r="A8" i="310"/>
  <c r="P9" i="310"/>
  <c r="O9" i="310"/>
  <c r="K9" i="310"/>
  <c r="I9" i="310"/>
  <c r="H9" i="310"/>
  <c r="G9" i="310"/>
  <c r="D7" i="310"/>
  <c r="A7" i="310"/>
  <c r="D9" i="310" l="1"/>
  <c r="K33" i="310"/>
  <c r="K37" i="310" s="1"/>
  <c r="K45" i="310" s="1"/>
  <c r="O33" i="310"/>
  <c r="O37" i="310" s="1"/>
  <c r="O45" i="310" s="1"/>
  <c r="E44" i="310"/>
  <c r="M16" i="310"/>
  <c r="N16" i="310"/>
  <c r="F9" i="310"/>
  <c r="J9" i="310"/>
  <c r="N9" i="310"/>
  <c r="D15" i="310"/>
  <c r="F27" i="310"/>
  <c r="J27" i="310"/>
  <c r="N27" i="310"/>
  <c r="D29" i="310"/>
  <c r="M33" i="310"/>
  <c r="M37" i="310" s="1"/>
  <c r="M45" i="310" s="1"/>
  <c r="F41" i="310"/>
  <c r="F44" i="310" s="1"/>
  <c r="I16" i="310"/>
  <c r="I33" i="310" s="1"/>
  <c r="I37" i="310" s="1"/>
  <c r="I45" i="310" s="1"/>
  <c r="G16" i="310"/>
  <c r="G33" i="310" s="1"/>
  <c r="G37" i="310" s="1"/>
  <c r="G45" i="310" s="1"/>
  <c r="D21" i="310"/>
  <c r="H21" i="310"/>
  <c r="H33" i="310" s="1"/>
  <c r="H37" i="310" s="1"/>
  <c r="H45" i="310" s="1"/>
  <c r="L21" i="310"/>
  <c r="L33" i="310" s="1"/>
  <c r="L37" i="310" s="1"/>
  <c r="L45" i="310" s="1"/>
  <c r="P21" i="310"/>
  <c r="P33" i="310" s="1"/>
  <c r="P37" i="310" s="1"/>
  <c r="P45" i="310" s="1"/>
  <c r="D25" i="310"/>
  <c r="D27" i="310" s="1"/>
  <c r="D11" i="310"/>
  <c r="D16" i="310" s="1"/>
  <c r="E16" i="310"/>
  <c r="E33" i="310" s="1"/>
  <c r="E37" i="310" s="1"/>
  <c r="F16" i="310"/>
  <c r="J16" i="310"/>
  <c r="F21" i="310"/>
  <c r="D31" i="310"/>
  <c r="J33" i="310" l="1"/>
  <c r="J37" i="310" s="1"/>
  <c r="J45" i="310" s="1"/>
  <c r="D33" i="310"/>
  <c r="D37" i="310" s="1"/>
  <c r="N33" i="310"/>
  <c r="N37" i="310" s="1"/>
  <c r="N45" i="310" s="1"/>
  <c r="F33" i="310"/>
  <c r="F37" i="310" s="1"/>
  <c r="F45" i="310" s="1"/>
  <c r="D41" i="310"/>
  <c r="E45" i="310"/>
  <c r="D44" i="310"/>
  <c r="D45" i="310" l="1"/>
  <c r="F56" i="313" l="1"/>
  <c r="F55" i="313"/>
  <c r="F54" i="313"/>
  <c r="F53" i="313"/>
  <c r="F52" i="313"/>
  <c r="F51" i="313"/>
  <c r="F50" i="313"/>
  <c r="F49" i="313"/>
  <c r="D57" i="313"/>
  <c r="D58" i="313" s="1"/>
  <c r="D32" i="313"/>
  <c r="D37" i="313"/>
  <c r="F37" i="313" s="1"/>
  <c r="G37" i="313" s="1"/>
  <c r="A34" i="313"/>
  <c r="A35" i="313" s="1"/>
  <c r="A36" i="313" s="1"/>
  <c r="A37" i="313" s="1"/>
  <c r="A38" i="313" s="1"/>
  <c r="A39" i="313" s="1"/>
  <c r="A40" i="313" s="1"/>
  <c r="A41" i="313" s="1"/>
  <c r="A42" i="313" s="1"/>
  <c r="A43" i="313" s="1"/>
  <c r="A44" i="313" s="1"/>
  <c r="A45" i="313" s="1"/>
  <c r="F33" i="313"/>
  <c r="F32" i="313"/>
  <c r="F31" i="313"/>
  <c r="D31" i="313"/>
  <c r="D30" i="313"/>
  <c r="G29" i="313"/>
  <c r="F28" i="313"/>
  <c r="D28" i="313"/>
  <c r="F27" i="313"/>
  <c r="D27" i="313"/>
  <c r="D26" i="313"/>
  <c r="G25" i="313"/>
  <c r="G24" i="313"/>
  <c r="D24" i="313"/>
  <c r="F23" i="313"/>
  <c r="D23" i="313"/>
  <c r="D22" i="313"/>
  <c r="F21" i="313"/>
  <c r="F20" i="313"/>
  <c r="D20" i="313"/>
  <c r="F19" i="313"/>
  <c r="D19" i="313"/>
  <c r="D18" i="313"/>
  <c r="G17" i="313"/>
  <c r="D14" i="313"/>
  <c r="C8" i="313"/>
  <c r="F57" i="313" l="1"/>
  <c r="G57" i="313" s="1"/>
  <c r="F15" i="313"/>
  <c r="D15" i="313"/>
  <c r="D16" i="313"/>
  <c r="F16" i="313"/>
  <c r="G14" i="313"/>
  <c r="D17" i="313"/>
  <c r="G18" i="313"/>
  <c r="D21" i="313"/>
  <c r="G22" i="313"/>
  <c r="D25" i="313"/>
  <c r="G26" i="313"/>
  <c r="D29" i="313"/>
  <c r="G30" i="313"/>
  <c r="D33" i="313"/>
  <c r="F13" i="313" l="1"/>
  <c r="D13" i="313"/>
  <c r="G36" i="313"/>
  <c r="F58" i="313"/>
  <c r="C34" i="313"/>
  <c r="G42" i="313" l="1"/>
  <c r="G38" i="313"/>
  <c r="D36" i="313"/>
  <c r="D38" i="313" s="1"/>
  <c r="F34" i="313"/>
  <c r="F36" i="313" s="1"/>
  <c r="D34" i="313"/>
  <c r="C36" i="313"/>
  <c r="C38" i="313" s="1"/>
  <c r="G43" i="313" l="1"/>
  <c r="C21" i="274"/>
  <c r="F42" i="313"/>
  <c r="D42" i="313" s="1"/>
  <c r="F38" i="313"/>
  <c r="F43" i="313" l="1"/>
  <c r="D43" i="313" s="1"/>
  <c r="C19" i="274"/>
  <c r="G35" i="309" l="1"/>
  <c r="F35" i="309"/>
  <c r="C33" i="309"/>
  <c r="G25" i="309"/>
  <c r="E25" i="309"/>
  <c r="D25" i="309"/>
  <c r="E24" i="309"/>
  <c r="I20" i="309"/>
  <c r="D24" i="309"/>
  <c r="C18" i="309"/>
  <c r="H77" i="308"/>
  <c r="E77" i="308" s="1"/>
  <c r="D77" i="308"/>
  <c r="H76" i="308"/>
  <c r="E76" i="308" s="1"/>
  <c r="D76" i="308"/>
  <c r="H75" i="308"/>
  <c r="E75" i="308" s="1"/>
  <c r="D75" i="308"/>
  <c r="H74" i="308"/>
  <c r="E74" i="308" s="1"/>
  <c r="D74" i="308"/>
  <c r="H73" i="308"/>
  <c r="E73" i="308" s="1"/>
  <c r="D73" i="308"/>
  <c r="H72" i="308"/>
  <c r="E72" i="308" s="1"/>
  <c r="D72" i="308"/>
  <c r="H71" i="308"/>
  <c r="E71" i="308" s="1"/>
  <c r="D71" i="308"/>
  <c r="H70" i="308"/>
  <c r="E70" i="308" s="1"/>
  <c r="D70" i="308"/>
  <c r="H69" i="308"/>
  <c r="E69" i="308" s="1"/>
  <c r="D69" i="308"/>
  <c r="H68" i="308"/>
  <c r="E68" i="308" s="1"/>
  <c r="D68" i="308"/>
  <c r="H67" i="308"/>
  <c r="E67" i="308" s="1"/>
  <c r="D67" i="308"/>
  <c r="H66" i="308"/>
  <c r="E66" i="308" s="1"/>
  <c r="D66" i="308"/>
  <c r="G59" i="308"/>
  <c r="D57" i="308"/>
  <c r="D56" i="308"/>
  <c r="G55" i="308"/>
  <c r="D55" i="308"/>
  <c r="D51" i="308"/>
  <c r="G36" i="308"/>
  <c r="J35" i="308"/>
  <c r="C76" i="308"/>
  <c r="D32" i="308"/>
  <c r="G30" i="308"/>
  <c r="E25" i="308"/>
  <c r="E24" i="308"/>
  <c r="G24" i="308" s="1"/>
  <c r="C23" i="308"/>
  <c r="C27" i="308" s="1"/>
  <c r="G22" i="308"/>
  <c r="G21" i="308"/>
  <c r="J17" i="308"/>
  <c r="G17" i="308"/>
  <c r="J15" i="308"/>
  <c r="F73" i="307"/>
  <c r="C69" i="307"/>
  <c r="F68" i="307"/>
  <c r="F69" i="307" s="1"/>
  <c r="D64" i="307"/>
  <c r="C63" i="307"/>
  <c r="F60" i="307"/>
  <c r="F49" i="307"/>
  <c r="F46" i="307"/>
  <c r="C47" i="307"/>
  <c r="D41" i="307"/>
  <c r="F39" i="307"/>
  <c r="F40" i="307" s="1"/>
  <c r="F27" i="307"/>
  <c r="C25" i="307"/>
  <c r="F24" i="307"/>
  <c r="F23" i="307"/>
  <c r="D71" i="307"/>
  <c r="F71" i="307" s="1"/>
  <c r="D19" i="307"/>
  <c r="F17" i="307"/>
  <c r="F18" i="307" s="1"/>
  <c r="F134" i="306"/>
  <c r="F131" i="306"/>
  <c r="D125" i="306"/>
  <c r="F125" i="306" s="1"/>
  <c r="F122" i="306"/>
  <c r="F121" i="306"/>
  <c r="F120" i="306"/>
  <c r="L111" i="306"/>
  <c r="M110" i="306"/>
  <c r="G90" i="306" s="1"/>
  <c r="L110" i="306"/>
  <c r="D101" i="306"/>
  <c r="C102" i="306"/>
  <c r="D97" i="306"/>
  <c r="F97" i="306" s="1"/>
  <c r="G96" i="306"/>
  <c r="I92" i="306"/>
  <c r="G89" i="306"/>
  <c r="I89" i="306" s="1"/>
  <c r="G86" i="306"/>
  <c r="D85" i="306"/>
  <c r="C86" i="306"/>
  <c r="A81" i="306"/>
  <c r="F77" i="306"/>
  <c r="I74" i="306"/>
  <c r="G97" i="306"/>
  <c r="F74" i="306"/>
  <c r="I73" i="306"/>
  <c r="C75" i="306"/>
  <c r="G69" i="306"/>
  <c r="I69" i="306" s="1"/>
  <c r="D89" i="306"/>
  <c r="D90" i="306" s="1"/>
  <c r="I67" i="306"/>
  <c r="I68" i="306" s="1"/>
  <c r="F65" i="306"/>
  <c r="F45" i="306"/>
  <c r="C43" i="306"/>
  <c r="D38" i="306"/>
  <c r="C36" i="306"/>
  <c r="C39" i="306" s="1"/>
  <c r="G35" i="306"/>
  <c r="G37" i="306" s="1"/>
  <c r="F34" i="306"/>
  <c r="F54" i="306"/>
  <c r="G54" i="306" s="1"/>
  <c r="C21" i="306"/>
  <c r="F16" i="306"/>
  <c r="C17" i="306"/>
  <c r="F18" i="305"/>
  <c r="I18" i="305"/>
  <c r="G15" i="305"/>
  <c r="F14" i="305"/>
  <c r="I75" i="306" l="1"/>
  <c r="F25" i="307"/>
  <c r="D31" i="307" s="1"/>
  <c r="G23" i="308"/>
  <c r="C99" i="306"/>
  <c r="C18" i="308"/>
  <c r="I97" i="306"/>
  <c r="I15" i="305"/>
  <c r="F19" i="305"/>
  <c r="F20" i="305" s="1"/>
  <c r="F15" i="306"/>
  <c r="F17" i="306" s="1"/>
  <c r="F67" i="306"/>
  <c r="F68" i="306" s="1"/>
  <c r="C98" i="306"/>
  <c r="F98" i="306" s="1"/>
  <c r="F101" i="306"/>
  <c r="F103" i="306" s="1"/>
  <c r="C124" i="306"/>
  <c r="C128" i="306" s="1"/>
  <c r="F45" i="307"/>
  <c r="F64" i="307"/>
  <c r="G25" i="308"/>
  <c r="C68" i="306"/>
  <c r="C71" i="306" s="1"/>
  <c r="C25" i="306"/>
  <c r="F47" i="307"/>
  <c r="C66" i="307"/>
  <c r="G15" i="308"/>
  <c r="C16" i="305"/>
  <c r="F42" i="306"/>
  <c r="I96" i="306"/>
  <c r="C118" i="306"/>
  <c r="C132" i="306"/>
  <c r="F37" i="307"/>
  <c r="F62" i="307"/>
  <c r="F63" i="307" s="1"/>
  <c r="I35" i="309"/>
  <c r="F16" i="309"/>
  <c r="F31" i="309"/>
  <c r="F20" i="309"/>
  <c r="E56" i="308"/>
  <c r="G56" i="308" s="1"/>
  <c r="H31" i="308" s="1"/>
  <c r="J31" i="308" s="1"/>
  <c r="G60" i="308"/>
  <c r="H22" i="308" s="1"/>
  <c r="J16" i="308"/>
  <c r="J18" i="308" s="1"/>
  <c r="C32" i="308"/>
  <c r="J36" i="308"/>
  <c r="J37" i="308" s="1"/>
  <c r="C69" i="308"/>
  <c r="C73" i="308"/>
  <c r="C77" i="308"/>
  <c r="E26" i="308"/>
  <c r="G31" i="308"/>
  <c r="G32" i="308" s="1"/>
  <c r="G35" i="308"/>
  <c r="G37" i="308" s="1"/>
  <c r="C37" i="308"/>
  <c r="C66" i="308"/>
  <c r="C70" i="308"/>
  <c r="C74" i="308"/>
  <c r="D52" i="308"/>
  <c r="G16" i="308"/>
  <c r="C67" i="308"/>
  <c r="C71" i="308"/>
  <c r="C75" i="308"/>
  <c r="C68" i="308"/>
  <c r="C72" i="308"/>
  <c r="F15" i="307"/>
  <c r="C18" i="307"/>
  <c r="C21" i="307" s="1"/>
  <c r="C40" i="307"/>
  <c r="F19" i="307"/>
  <c r="F41" i="307"/>
  <c r="M109" i="306"/>
  <c r="G98" i="306" s="1"/>
  <c r="I98" i="306" s="1"/>
  <c r="G81" i="306"/>
  <c r="F86" i="306"/>
  <c r="I86" i="306"/>
  <c r="I37" i="306"/>
  <c r="F52" i="306"/>
  <c r="D96" i="306"/>
  <c r="F96" i="306" s="1"/>
  <c r="F73" i="306"/>
  <c r="F75" i="306" s="1"/>
  <c r="D81" i="306" s="1"/>
  <c r="D23" i="306"/>
  <c r="F23" i="306" s="1"/>
  <c r="F20" i="306"/>
  <c r="D22" i="306"/>
  <c r="F22" i="306" s="1"/>
  <c r="F53" i="306"/>
  <c r="F33" i="306"/>
  <c r="I35" i="306"/>
  <c r="F51" i="306"/>
  <c r="D69" i="306"/>
  <c r="F69" i="306" s="1"/>
  <c r="C91" i="306"/>
  <c r="C94" i="306" s="1"/>
  <c r="F89" i="306"/>
  <c r="C90" i="306"/>
  <c r="F102" i="306"/>
  <c r="F116" i="306"/>
  <c r="D141" i="306"/>
  <c r="F19" i="306"/>
  <c r="F21" i="306" s="1"/>
  <c r="F31" i="306"/>
  <c r="F35" i="306"/>
  <c r="D37" i="306"/>
  <c r="F37" i="306" s="1"/>
  <c r="F41" i="306"/>
  <c r="D92" i="306"/>
  <c r="F92" i="306" s="1"/>
  <c r="F85" i="306"/>
  <c r="D126" i="306"/>
  <c r="F126" i="306" s="1"/>
  <c r="F123" i="306"/>
  <c r="D142" i="306" s="1"/>
  <c r="F117" i="306"/>
  <c r="F130" i="306"/>
  <c r="F132" i="306" s="1"/>
  <c r="C20" i="305"/>
  <c r="C23" i="305" s="1"/>
  <c r="D21" i="305"/>
  <c r="F21" i="305" s="1"/>
  <c r="G14" i="305"/>
  <c r="I14" i="305" s="1"/>
  <c r="F15" i="305"/>
  <c r="F16" i="305" s="1"/>
  <c r="G27" i="308" l="1"/>
  <c r="F43" i="306"/>
  <c r="G19" i="305"/>
  <c r="G21" i="305" s="1"/>
  <c r="I21" i="305" s="1"/>
  <c r="I99" i="306"/>
  <c r="D70" i="306"/>
  <c r="F70" i="306" s="1"/>
  <c r="D22" i="305"/>
  <c r="F22" i="305" s="1"/>
  <c r="F23" i="305" s="1"/>
  <c r="M23" i="305" s="1"/>
  <c r="G22" i="305" s="1"/>
  <c r="I22" i="305" s="1"/>
  <c r="F124" i="306"/>
  <c r="D65" i="307"/>
  <c r="F65" i="307" s="1"/>
  <c r="F66" i="307" s="1"/>
  <c r="F75" i="307" s="1"/>
  <c r="M77" i="307" s="1"/>
  <c r="G65" i="307" s="1"/>
  <c r="I65" i="307" s="1"/>
  <c r="G18" i="308"/>
  <c r="F99" i="306"/>
  <c r="I16" i="305"/>
  <c r="D143" i="306"/>
  <c r="F118" i="306"/>
  <c r="G41" i="308"/>
  <c r="J45" i="308" s="1"/>
  <c r="L38" i="309"/>
  <c r="L39" i="309"/>
  <c r="D32" i="309"/>
  <c r="D17" i="309"/>
  <c r="G61" i="308"/>
  <c r="H21" i="308" s="1"/>
  <c r="E57" i="308"/>
  <c r="G57" i="308" s="1"/>
  <c r="H30" i="308" s="1"/>
  <c r="J30" i="308" s="1"/>
  <c r="J32" i="308" s="1"/>
  <c r="H25" i="308"/>
  <c r="J25" i="308" s="1"/>
  <c r="J22" i="308"/>
  <c r="D20" i="307"/>
  <c r="C43" i="307"/>
  <c r="D42" i="307"/>
  <c r="D59" i="306"/>
  <c r="F36" i="306"/>
  <c r="F39" i="306" s="1"/>
  <c r="F47" i="306" s="1"/>
  <c r="F55" i="306"/>
  <c r="G53" i="306"/>
  <c r="D60" i="306"/>
  <c r="F56" i="306"/>
  <c r="F90" i="306"/>
  <c r="F91" i="306" s="1"/>
  <c r="I90" i="306"/>
  <c r="I91" i="306" s="1"/>
  <c r="F71" i="306"/>
  <c r="F79" i="306" s="1"/>
  <c r="F87" i="306"/>
  <c r="D24" i="306"/>
  <c r="F24" i="306" s="1"/>
  <c r="D27" i="306" s="1"/>
  <c r="I19" i="305"/>
  <c r="I20" i="305" s="1"/>
  <c r="D127" i="306" l="1"/>
  <c r="F127" i="306" s="1"/>
  <c r="F128" i="306" s="1"/>
  <c r="F136" i="306" s="1"/>
  <c r="F57" i="306"/>
  <c r="L56" i="306" s="1"/>
  <c r="M47" i="306"/>
  <c r="I138" i="306" s="1"/>
  <c r="F17" i="309"/>
  <c r="F18" i="309" s="1"/>
  <c r="F22" i="309" s="1"/>
  <c r="F32" i="309"/>
  <c r="F33" i="309" s="1"/>
  <c r="F37" i="309" s="1"/>
  <c r="H24" i="308"/>
  <c r="J24" i="308" s="1"/>
  <c r="J21" i="308"/>
  <c r="J23" i="308" s="1"/>
  <c r="F42" i="307"/>
  <c r="F43" i="307" s="1"/>
  <c r="F51" i="307" s="1"/>
  <c r="M52" i="307" s="1"/>
  <c r="G42" i="307" s="1"/>
  <c r="I42" i="307" s="1"/>
  <c r="F20" i="307"/>
  <c r="F21" i="307" s="1"/>
  <c r="F29" i="307" s="1"/>
  <c r="M31" i="307" s="1"/>
  <c r="G31" i="306"/>
  <c r="I31" i="306" s="1"/>
  <c r="F25" i="306"/>
  <c r="M25" i="306" s="1"/>
  <c r="D93" i="306"/>
  <c r="F93" i="306" s="1"/>
  <c r="F94" i="306" s="1"/>
  <c r="F105" i="306" s="1"/>
  <c r="M81" i="306" s="1"/>
  <c r="I23" i="305"/>
  <c r="L24" i="305" s="1"/>
  <c r="G38" i="306" l="1"/>
  <c r="I38" i="306" s="1"/>
  <c r="L54" i="306" s="1"/>
  <c r="M37" i="309"/>
  <c r="H26" i="308"/>
  <c r="J26" i="308" s="1"/>
  <c r="J27" i="308" s="1"/>
  <c r="J41" i="308" s="1"/>
  <c r="J44" i="308" s="1"/>
  <c r="G17" i="307"/>
  <c r="G23" i="307"/>
  <c r="G15" i="307"/>
  <c r="G24" i="307"/>
  <c r="I24" i="307" s="1"/>
  <c r="G73" i="307"/>
  <c r="I73" i="307" s="1"/>
  <c r="G27" i="307"/>
  <c r="I27" i="307" s="1"/>
  <c r="G68" i="307"/>
  <c r="I68" i="307" s="1"/>
  <c r="I69" i="307" s="1"/>
  <c r="G20" i="307"/>
  <c r="I20" i="307" s="1"/>
  <c r="G77" i="306"/>
  <c r="G65" i="306"/>
  <c r="G134" i="306"/>
  <c r="I134" i="306" s="1"/>
  <c r="G131" i="306"/>
  <c r="I131" i="306" s="1"/>
  <c r="G122" i="306"/>
  <c r="I122" i="306" s="1"/>
  <c r="G130" i="306"/>
  <c r="I130" i="306" s="1"/>
  <c r="G121" i="306"/>
  <c r="G116" i="306"/>
  <c r="I116" i="306" s="1"/>
  <c r="G120" i="306"/>
  <c r="I120" i="306" s="1"/>
  <c r="G117" i="306"/>
  <c r="I117" i="306" s="1"/>
  <c r="G123" i="306"/>
  <c r="G15" i="306"/>
  <c r="I15" i="306" s="1"/>
  <c r="G19" i="306"/>
  <c r="G16" i="306"/>
  <c r="I16" i="306" s="1"/>
  <c r="G20" i="306"/>
  <c r="L53" i="306"/>
  <c r="I17" i="306" l="1"/>
  <c r="I118" i="306"/>
  <c r="G17" i="309"/>
  <c r="I17" i="309" s="1"/>
  <c r="G32" i="309"/>
  <c r="I32" i="309" s="1"/>
  <c r="L40" i="309" s="1"/>
  <c r="L41" i="309" s="1"/>
  <c r="M41" i="309" s="1"/>
  <c r="G31" i="309" s="1"/>
  <c r="K24" i="309"/>
  <c r="K25" i="309" s="1"/>
  <c r="G60" i="307"/>
  <c r="I60" i="307" s="1"/>
  <c r="I15" i="307"/>
  <c r="G37" i="307"/>
  <c r="I37" i="307" s="1"/>
  <c r="I23" i="307"/>
  <c r="I25" i="307" s="1"/>
  <c r="G31" i="307" s="1"/>
  <c r="G71" i="307"/>
  <c r="I71" i="307" s="1"/>
  <c r="G19" i="307"/>
  <c r="I19" i="307" s="1"/>
  <c r="I17" i="307"/>
  <c r="I18" i="307" s="1"/>
  <c r="I21" i="307" s="1"/>
  <c r="I20" i="306"/>
  <c r="G23" i="306"/>
  <c r="I23" i="306" s="1"/>
  <c r="G126" i="306"/>
  <c r="I126" i="306" s="1"/>
  <c r="I123" i="306"/>
  <c r="G125" i="306"/>
  <c r="I125" i="306" s="1"/>
  <c r="I121" i="306"/>
  <c r="I132" i="306"/>
  <c r="G143" i="306" s="1"/>
  <c r="G85" i="306"/>
  <c r="I85" i="306" s="1"/>
  <c r="I87" i="306" s="1"/>
  <c r="I65" i="306"/>
  <c r="G22" i="306"/>
  <c r="I22" i="306" s="1"/>
  <c r="I19" i="306"/>
  <c r="G141" i="306"/>
  <c r="G101" i="306"/>
  <c r="I101" i="306" s="1"/>
  <c r="I77" i="306"/>
  <c r="M111" i="306"/>
  <c r="G102" i="306" s="1"/>
  <c r="I102" i="306" s="1"/>
  <c r="I124" i="306" l="1"/>
  <c r="G127" i="306" s="1"/>
  <c r="I127" i="306" s="1"/>
  <c r="I128" i="306" s="1"/>
  <c r="I136" i="306" s="1"/>
  <c r="I31" i="309"/>
  <c r="I33" i="309" s="1"/>
  <c r="I37" i="309" s="1"/>
  <c r="G16" i="309"/>
  <c r="L53" i="307"/>
  <c r="L54" i="307" s="1"/>
  <c r="M54" i="307" s="1"/>
  <c r="I29" i="307"/>
  <c r="L32" i="307" s="1"/>
  <c r="M33" i="307" s="1"/>
  <c r="G62" i="307"/>
  <c r="I21" i="306"/>
  <c r="G70" i="306"/>
  <c r="I70" i="306" s="1"/>
  <c r="I71" i="306" s="1"/>
  <c r="I79" i="306" s="1"/>
  <c r="I103" i="306"/>
  <c r="G142" i="306"/>
  <c r="I16" i="309" l="1"/>
  <c r="I18" i="309" s="1"/>
  <c r="I22" i="309" s="1"/>
  <c r="K26" i="309" s="1"/>
  <c r="G24" i="309"/>
  <c r="G64" i="307"/>
  <c r="I64" i="307" s="1"/>
  <c r="I62" i="307"/>
  <c r="I63" i="307" s="1"/>
  <c r="I66" i="307" s="1"/>
  <c r="I75" i="307" s="1"/>
  <c r="L78" i="307" s="1"/>
  <c r="G39" i="307"/>
  <c r="G45" i="307"/>
  <c r="I45" i="307" s="1"/>
  <c r="G46" i="307"/>
  <c r="I46" i="307" s="1"/>
  <c r="G49" i="307"/>
  <c r="I49" i="307" s="1"/>
  <c r="L51" i="306"/>
  <c r="L52" i="306" s="1"/>
  <c r="L55" i="306" s="1"/>
  <c r="L57" i="306" s="1"/>
  <c r="G24" i="306"/>
  <c r="I24" i="306" s="1"/>
  <c r="G27" i="306" s="1"/>
  <c r="G93" i="306"/>
  <c r="I93" i="306" s="1"/>
  <c r="I94" i="306" s="1"/>
  <c r="I105" i="306" s="1"/>
  <c r="L82" i="306" s="1"/>
  <c r="M83" i="306" s="1"/>
  <c r="I47" i="307" l="1"/>
  <c r="L42" i="309"/>
  <c r="M44" i="309" s="1"/>
  <c r="G41" i="307"/>
  <c r="I41" i="307" s="1"/>
  <c r="I39" i="307"/>
  <c r="I40" i="307" s="1"/>
  <c r="I25" i="306"/>
  <c r="L26" i="306" s="1"/>
  <c r="G42" i="306"/>
  <c r="I42" i="306" s="1"/>
  <c r="G45" i="306"/>
  <c r="I45" i="306" s="1"/>
  <c r="G41" i="306"/>
  <c r="I41" i="306" s="1"/>
  <c r="G34" i="306"/>
  <c r="G33" i="306"/>
  <c r="I43" i="307" l="1"/>
  <c r="I51" i="307" s="1"/>
  <c r="L55" i="307" s="1"/>
  <c r="M56" i="307" s="1"/>
  <c r="I43" i="306"/>
  <c r="G51" i="306"/>
  <c r="G55" i="306" s="1"/>
  <c r="I33" i="306"/>
  <c r="G52" i="306"/>
  <c r="I34" i="306"/>
  <c r="G60" i="306" l="1"/>
  <c r="G56" i="306"/>
  <c r="G57" i="306" s="1"/>
  <c r="G59" i="306"/>
  <c r="I36" i="306"/>
  <c r="I39" i="306" s="1"/>
  <c r="I47" i="306" s="1"/>
  <c r="L48" i="306" s="1"/>
  <c r="M49" i="306" s="1"/>
  <c r="O30" i="185" l="1"/>
  <c r="P30" i="185"/>
  <c r="N30" i="185"/>
  <c r="F30" i="185"/>
  <c r="G30" i="185"/>
  <c r="H30" i="185"/>
  <c r="I30" i="185"/>
  <c r="J30" i="185"/>
  <c r="K30" i="185"/>
  <c r="L30" i="185"/>
  <c r="M30" i="185"/>
  <c r="E30" i="185"/>
  <c r="O26" i="185"/>
  <c r="P26" i="185"/>
  <c r="N26" i="185"/>
  <c r="F26" i="185"/>
  <c r="G26" i="185"/>
  <c r="H26" i="185"/>
  <c r="I26" i="185"/>
  <c r="J26" i="185"/>
  <c r="K26" i="185"/>
  <c r="L26" i="185"/>
  <c r="M26" i="185"/>
  <c r="E26" i="185"/>
  <c r="O22" i="185"/>
  <c r="P22" i="185"/>
  <c r="N22" i="185"/>
  <c r="F22" i="185"/>
  <c r="G22" i="185"/>
  <c r="H22" i="185"/>
  <c r="I22" i="185"/>
  <c r="J22" i="185"/>
  <c r="K22" i="185"/>
  <c r="L22" i="185"/>
  <c r="M22" i="185"/>
  <c r="E22" i="185"/>
  <c r="O18" i="185"/>
  <c r="P18" i="185"/>
  <c r="N18" i="185"/>
  <c r="F18" i="185"/>
  <c r="G18" i="185"/>
  <c r="H18" i="185"/>
  <c r="I18" i="185"/>
  <c r="J18" i="185"/>
  <c r="K18" i="185"/>
  <c r="L18" i="185"/>
  <c r="M18" i="185"/>
  <c r="E18" i="185"/>
  <c r="O14" i="185"/>
  <c r="P14" i="185"/>
  <c r="N14" i="185"/>
  <c r="F14" i="185"/>
  <c r="G14" i="185"/>
  <c r="H14" i="185"/>
  <c r="I14" i="185"/>
  <c r="J14" i="185"/>
  <c r="K14" i="185"/>
  <c r="L14" i="185"/>
  <c r="M14" i="185"/>
  <c r="E14" i="185"/>
  <c r="O10" i="185"/>
  <c r="P10" i="185"/>
  <c r="N10" i="185"/>
  <c r="F10" i="185"/>
  <c r="G10" i="185"/>
  <c r="H10" i="185"/>
  <c r="I10" i="185"/>
  <c r="J10" i="185"/>
  <c r="K10" i="185"/>
  <c r="L10" i="185"/>
  <c r="M10" i="185"/>
  <c r="E10" i="185"/>
  <c r="E29" i="274"/>
  <c r="I12" i="189"/>
  <c r="H12" i="189"/>
  <c r="G12" i="189"/>
  <c r="F12" i="189"/>
  <c r="E12" i="189"/>
  <c r="D12" i="189"/>
  <c r="A46" i="185" l="1"/>
  <c r="C30" i="185" l="1"/>
  <c r="C26" i="185"/>
  <c r="E28" i="274" l="1"/>
  <c r="C15" i="274"/>
  <c r="A22" i="274"/>
  <c r="A23" i="274" s="1"/>
  <c r="A24" i="274" s="1"/>
  <c r="A25" i="274" s="1"/>
  <c r="A26" i="274" s="1"/>
  <c r="A27" i="274" s="1"/>
  <c r="A28" i="274" s="1"/>
  <c r="A29" i="274" s="1"/>
  <c r="A30" i="274" s="1"/>
  <c r="Q29" i="274" l="1"/>
  <c r="P29" i="274"/>
  <c r="O29" i="274"/>
  <c r="N29" i="274"/>
  <c r="M29" i="274"/>
  <c r="L29" i="274"/>
  <c r="K29" i="274"/>
  <c r="J29" i="274"/>
  <c r="I29" i="274"/>
  <c r="H29" i="274"/>
  <c r="G29" i="274"/>
  <c r="F29" i="274"/>
  <c r="Q28" i="274"/>
  <c r="P28" i="274"/>
  <c r="P30" i="274" s="1"/>
  <c r="O28" i="274"/>
  <c r="N28" i="274"/>
  <c r="M28" i="274"/>
  <c r="L28" i="274"/>
  <c r="L30" i="274" s="1"/>
  <c r="K28" i="274"/>
  <c r="J28" i="274"/>
  <c r="I28" i="274"/>
  <c r="H28" i="274"/>
  <c r="H30" i="274" s="1"/>
  <c r="G28" i="274"/>
  <c r="F28" i="274"/>
  <c r="C17" i="274"/>
  <c r="Q11" i="274"/>
  <c r="P11" i="274"/>
  <c r="O11" i="274"/>
  <c r="N11" i="274"/>
  <c r="M11" i="274"/>
  <c r="L11" i="274"/>
  <c r="K11" i="274"/>
  <c r="J11" i="274"/>
  <c r="I11" i="274"/>
  <c r="H11" i="274"/>
  <c r="G11" i="274"/>
  <c r="F11" i="274"/>
  <c r="E11" i="274"/>
  <c r="A10" i="274"/>
  <c r="A11" i="274" s="1"/>
  <c r="A12" i="274" s="1"/>
  <c r="A13" i="274" s="1"/>
  <c r="A14" i="274" s="1"/>
  <c r="A15" i="274" s="1"/>
  <c r="A16" i="274" s="1"/>
  <c r="A17" i="274" s="1"/>
  <c r="A18" i="274" s="1"/>
  <c r="A19" i="274" s="1"/>
  <c r="A20" i="274" s="1"/>
  <c r="A21" i="274" s="1"/>
  <c r="F30" i="274" l="1"/>
  <c r="J30" i="274"/>
  <c r="N30" i="274"/>
  <c r="C11" i="274"/>
  <c r="G30" i="274"/>
  <c r="K30" i="274"/>
  <c r="O30" i="274"/>
  <c r="H23" i="274"/>
  <c r="H24" i="274"/>
  <c r="H11" i="120" s="1"/>
  <c r="L23" i="274"/>
  <c r="L24" i="274"/>
  <c r="G11" i="120" s="1"/>
  <c r="E23" i="274"/>
  <c r="E24" i="274"/>
  <c r="D11" i="120" s="1"/>
  <c r="I23" i="274"/>
  <c r="I24" i="274"/>
  <c r="I11" i="120" s="1"/>
  <c r="M23" i="274"/>
  <c r="M24" i="274"/>
  <c r="Q23" i="274"/>
  <c r="Q24" i="274"/>
  <c r="C28" i="274"/>
  <c r="I30" i="274"/>
  <c r="M30" i="274"/>
  <c r="Q30" i="274"/>
  <c r="J23" i="274"/>
  <c r="J24" i="274"/>
  <c r="L11" i="120" s="1"/>
  <c r="N23" i="274"/>
  <c r="N24" i="274"/>
  <c r="K23" i="274"/>
  <c r="K24" i="274"/>
  <c r="O23" i="274"/>
  <c r="O24" i="274"/>
  <c r="C29" i="274"/>
  <c r="F23" i="274"/>
  <c r="F24" i="274"/>
  <c r="E11" i="120" s="1"/>
  <c r="G23" i="274"/>
  <c r="G24" i="274"/>
  <c r="P23" i="274"/>
  <c r="P24" i="274"/>
  <c r="E30" i="274"/>
  <c r="H25" i="274" l="1"/>
  <c r="H10" i="120" s="1"/>
  <c r="C24" i="274"/>
  <c r="J25" i="274"/>
  <c r="L10" i="120" s="1"/>
  <c r="M25" i="274"/>
  <c r="E25" i="274"/>
  <c r="D10" i="120" s="1"/>
  <c r="O25" i="274"/>
  <c r="N25" i="274"/>
  <c r="Q25" i="274"/>
  <c r="I25" i="274"/>
  <c r="C30" i="274"/>
  <c r="P25" i="274"/>
  <c r="F25" i="274"/>
  <c r="C23" i="274"/>
  <c r="M11" i="120"/>
  <c r="K25" i="274"/>
  <c r="L25" i="274"/>
  <c r="G10" i="120" s="1"/>
  <c r="G12" i="120" s="1"/>
  <c r="K11" i="120"/>
  <c r="G25" i="274"/>
  <c r="Q47" i="185" l="1"/>
  <c r="G10" i="189"/>
  <c r="I10" i="120"/>
  <c r="E10" i="120"/>
  <c r="C25" i="274"/>
  <c r="K10" i="120"/>
  <c r="M10" i="120"/>
  <c r="A10" i="120" l="1"/>
  <c r="A11" i="120" s="1"/>
  <c r="A12" i="120" s="1"/>
  <c r="A11" i="189" l="1"/>
  <c r="A12" i="189" s="1"/>
  <c r="A13" i="189" s="1"/>
  <c r="A14" i="189" s="1"/>
  <c r="C14" i="189" l="1"/>
  <c r="D55" i="185" l="1"/>
  <c r="B54" i="185"/>
  <c r="D51" i="185"/>
  <c r="B50" i="185"/>
  <c r="D47" i="185"/>
  <c r="B46" i="185"/>
  <c r="D43" i="185"/>
  <c r="B42" i="185"/>
  <c r="D39" i="185"/>
  <c r="B38" i="185"/>
  <c r="B34" i="185"/>
  <c r="C22" i="185"/>
  <c r="Q18" i="185"/>
  <c r="C18" i="185"/>
  <c r="C14" i="185"/>
  <c r="A10" i="185"/>
  <c r="A11" i="185" s="1"/>
  <c r="I19" i="185" l="1"/>
  <c r="M19" i="185"/>
  <c r="E19" i="185"/>
  <c r="F19" i="185"/>
  <c r="J19" i="185"/>
  <c r="N19" i="185"/>
  <c r="H19" i="185"/>
  <c r="Q14" i="185"/>
  <c r="I15" i="185" s="1"/>
  <c r="G19" i="185"/>
  <c r="K19" i="185"/>
  <c r="O19" i="185"/>
  <c r="L19" i="185"/>
  <c r="Q22" i="185"/>
  <c r="L23" i="185" s="1"/>
  <c r="Q26" i="185"/>
  <c r="N27" i="185" s="1"/>
  <c r="P19" i="185"/>
  <c r="A12" i="185"/>
  <c r="A13" i="185" s="1"/>
  <c r="A14" i="185" s="1"/>
  <c r="A15" i="185" s="1"/>
  <c r="Q30" i="185"/>
  <c r="N31" i="185" s="1"/>
  <c r="Q10" i="185"/>
  <c r="P11" i="185" s="1"/>
  <c r="J15" i="185" l="1"/>
  <c r="F15" i="185"/>
  <c r="M15" i="185"/>
  <c r="J31" i="185"/>
  <c r="G23" i="185"/>
  <c r="E15" i="185"/>
  <c r="N15" i="185"/>
  <c r="H11" i="185"/>
  <c r="L27" i="185"/>
  <c r="P27" i="185"/>
  <c r="H27" i="185"/>
  <c r="K27" i="185"/>
  <c r="G27" i="185"/>
  <c r="O27" i="185"/>
  <c r="O23" i="185"/>
  <c r="L11" i="185"/>
  <c r="F27" i="185"/>
  <c r="K31" i="185"/>
  <c r="I27" i="185"/>
  <c r="P23" i="185"/>
  <c r="I11" i="185"/>
  <c r="K23" i="185"/>
  <c r="G31" i="185"/>
  <c r="E27" i="185"/>
  <c r="E11" i="185"/>
  <c r="N23" i="185"/>
  <c r="F23" i="185"/>
  <c r="J23" i="185"/>
  <c r="M23" i="185"/>
  <c r="I23" i="185"/>
  <c r="E23" i="185"/>
  <c r="E48" i="185" s="1"/>
  <c r="H23" i="185"/>
  <c r="Q19" i="185"/>
  <c r="G11" i="185"/>
  <c r="O11" i="185"/>
  <c r="K11" i="185"/>
  <c r="N11" i="185"/>
  <c r="J11" i="185"/>
  <c r="F11" i="185"/>
  <c r="M31" i="185"/>
  <c r="E31" i="185"/>
  <c r="I31" i="185"/>
  <c r="P31" i="185"/>
  <c r="L31" i="185"/>
  <c r="H31" i="185"/>
  <c r="A16" i="185"/>
  <c r="A17" i="185" s="1"/>
  <c r="A18" i="185" s="1"/>
  <c r="A19" i="185" s="1"/>
  <c r="J27" i="185"/>
  <c r="O31" i="185"/>
  <c r="M27" i="185"/>
  <c r="L15" i="185"/>
  <c r="P15" i="185"/>
  <c r="H15" i="185"/>
  <c r="K15" i="185"/>
  <c r="G15" i="185"/>
  <c r="O15" i="185"/>
  <c r="F31" i="185"/>
  <c r="M11" i="185"/>
  <c r="A20" i="185" l="1"/>
  <c r="A21" i="185" s="1"/>
  <c r="Q23" i="185"/>
  <c r="Q31" i="185"/>
  <c r="Q15" i="185"/>
  <c r="Q11" i="185"/>
  <c r="Q27" i="185"/>
  <c r="A22" i="185" l="1"/>
  <c r="A23" i="185" s="1"/>
  <c r="A24" i="185" s="1"/>
  <c r="A25" i="185" s="1"/>
  <c r="A26" i="185" s="1"/>
  <c r="A27" i="185" s="1"/>
  <c r="A28" i="185" l="1"/>
  <c r="A29" i="185" s="1"/>
  <c r="A30" i="185" s="1"/>
  <c r="A31" i="185" s="1"/>
  <c r="A32" i="185" l="1"/>
  <c r="A33" i="185" s="1"/>
  <c r="A34" i="185" s="1"/>
  <c r="A35" i="185" s="1"/>
  <c r="A36" i="185" l="1"/>
  <c r="A37" i="185" s="1"/>
  <c r="A38" i="185" s="1"/>
  <c r="A39" i="185" s="1"/>
  <c r="D36" i="185"/>
  <c r="A40" i="185" l="1"/>
  <c r="A41" i="185" s="1"/>
  <c r="A42" i="185" s="1"/>
  <c r="A43" i="185" s="1"/>
  <c r="D44" i="185" s="1"/>
  <c r="D40" i="185"/>
  <c r="A44" i="185" l="1"/>
  <c r="A45" i="185" s="1"/>
  <c r="A47" i="185" l="1"/>
  <c r="A48" i="185" s="1"/>
  <c r="A49" i="185" s="1"/>
  <c r="A50" i="185" s="1"/>
  <c r="A51" i="185" s="1"/>
  <c r="A52" i="185" s="1"/>
  <c r="A53" i="185" s="1"/>
  <c r="A54" i="185" s="1"/>
  <c r="A55" i="185" s="1"/>
  <c r="A56" i="185" s="1"/>
  <c r="D48" i="185" l="1"/>
  <c r="D52" i="185"/>
  <c r="D56" i="185" l="1"/>
  <c r="F11" i="120" l="1"/>
  <c r="F10" i="120"/>
  <c r="E12" i="120"/>
  <c r="H12" i="120"/>
  <c r="I12" i="120"/>
  <c r="K12" i="120"/>
  <c r="L12" i="120"/>
  <c r="M12" i="120"/>
  <c r="D12" i="120"/>
  <c r="D10" i="189" l="1"/>
  <c r="D14" i="189" s="1"/>
  <c r="Q35" i="185"/>
  <c r="E10" i="189"/>
  <c r="E14" i="189" s="1"/>
  <c r="Q39" i="185"/>
  <c r="I10" i="189"/>
  <c r="I14" i="189" s="1"/>
  <c r="Q55" i="185"/>
  <c r="H10" i="189"/>
  <c r="H14" i="189" s="1"/>
  <c r="Q51" i="185"/>
  <c r="F12" i="120"/>
  <c r="F10" i="189" l="1"/>
  <c r="F14" i="189" s="1"/>
  <c r="Q43" i="185"/>
  <c r="G14" i="189"/>
  <c r="P36" i="185"/>
  <c r="H36" i="185"/>
  <c r="G36" i="185"/>
  <c r="I36" i="185"/>
  <c r="N36" i="185"/>
  <c r="F36" i="185"/>
  <c r="M36" i="185"/>
  <c r="J36" i="185"/>
  <c r="O36" i="185"/>
  <c r="L36" i="185"/>
  <c r="K36" i="185"/>
  <c r="E36" i="185"/>
  <c r="Q36" i="185" l="1"/>
  <c r="O52" i="185" l="1"/>
  <c r="J56" i="185"/>
  <c r="J52" i="185"/>
  <c r="E52" i="185"/>
  <c r="L52" i="185"/>
  <c r="N56" i="185"/>
  <c r="O56" i="185"/>
  <c r="M56" i="185"/>
  <c r="G56" i="185"/>
  <c r="F56" i="185"/>
  <c r="E56" i="185"/>
  <c r="K56" i="185"/>
  <c r="L56" i="185"/>
  <c r="H56" i="185"/>
  <c r="P56" i="185"/>
  <c r="I56" i="185"/>
  <c r="P52" i="185" l="1"/>
  <c r="K52" i="185"/>
  <c r="N52" i="185"/>
  <c r="H52" i="185"/>
  <c r="F52" i="185"/>
  <c r="G52" i="185"/>
  <c r="M52" i="185"/>
  <c r="I52" i="185"/>
  <c r="Q56" i="185"/>
  <c r="K44" i="185"/>
  <c r="H44" i="185"/>
  <c r="P44" i="185"/>
  <c r="F44" i="185"/>
  <c r="N44" i="185"/>
  <c r="O44" i="185"/>
  <c r="J44" i="185"/>
  <c r="M44" i="185"/>
  <c r="G44" i="185"/>
  <c r="L44" i="185"/>
  <c r="E44" i="185"/>
  <c r="I44" i="185"/>
  <c r="N40" i="185"/>
  <c r="J40" i="185"/>
  <c r="E40" i="185"/>
  <c r="I40" i="185"/>
  <c r="F40" i="185"/>
  <c r="M40" i="185"/>
  <c r="K40" i="185"/>
  <c r="P40" i="185"/>
  <c r="G40" i="185"/>
  <c r="H40" i="185"/>
  <c r="L40" i="185"/>
  <c r="O40" i="185"/>
  <c r="G48" i="185"/>
  <c r="L48" i="185"/>
  <c r="O48" i="185"/>
  <c r="K48" i="185"/>
  <c r="H48" i="185"/>
  <c r="M48" i="185"/>
  <c r="P48" i="185"/>
  <c r="N48" i="185"/>
  <c r="F48" i="185"/>
  <c r="J48" i="185"/>
  <c r="I48" i="185"/>
  <c r="Q52" i="185" l="1"/>
  <c r="Q40" i="185"/>
  <c r="Q44" i="185"/>
  <c r="Q48" i="185"/>
  <c r="C12" i="120"/>
</calcChain>
</file>

<file path=xl/sharedStrings.xml><?xml version="1.0" encoding="utf-8"?>
<sst xmlns="http://schemas.openxmlformats.org/spreadsheetml/2006/main" count="819" uniqueCount="413">
  <si>
    <t>Residential</t>
  </si>
  <si>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</si>
  <si>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</si>
  <si>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</si>
  <si>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</si>
  <si>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</si>
  <si>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</si>
  <si>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</si>
  <si>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</si>
  <si>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</si>
  <si>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</si>
  <si>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</si>
  <si>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</si>
  <si>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</si>
  <si>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</si>
  <si>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Source</t>
  </si>
  <si>
    <t>Line No.</t>
  </si>
  <si>
    <t>Puget Sound Energy</t>
  </si>
  <si>
    <t>Schedule 31</t>
  </si>
  <si>
    <t>Description</t>
  </si>
  <si>
    <t>Basic Charge</t>
  </si>
  <si>
    <t>Total</t>
  </si>
  <si>
    <t>(o)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</si>
  <si>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</si>
  <si>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</si>
  <si>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</si>
  <si>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</si>
  <si>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</si>
  <si>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</si>
  <si>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</si>
  <si>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</si>
  <si>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</si>
  <si>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</si>
  <si>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</si>
  <si>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</si>
  <si>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</si>
  <si>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Proposed</t>
  </si>
  <si>
    <t>Schedule</t>
  </si>
  <si>
    <t>% of Annual Total</t>
  </si>
  <si>
    <t>Sales</t>
  </si>
  <si>
    <t>Difference</t>
  </si>
  <si>
    <t>Electric Decoupling Mechanism</t>
  </si>
  <si>
    <t>Total Residential</t>
  </si>
  <si>
    <t>Secondary Voltage</t>
  </si>
  <si>
    <t>26P</t>
  </si>
  <si>
    <t>Total Secondary Voltage</t>
  </si>
  <si>
    <t>Primary Voltage</t>
  </si>
  <si>
    <t>Total Primary Voltage</t>
  </si>
  <si>
    <t>Total High Voltage</t>
  </si>
  <si>
    <t>50-59</t>
  </si>
  <si>
    <t>Schedule 7</t>
  </si>
  <si>
    <t>7A</t>
  </si>
  <si>
    <t>Schedules 8 &amp; 24</t>
  </si>
  <si>
    <t>All kWh</t>
  </si>
  <si>
    <t>Reactive Power</t>
  </si>
  <si>
    <t>Primary Adder</t>
  </si>
  <si>
    <t>Schedules 12 &amp; 26</t>
  </si>
  <si>
    <t>Schedules 10 &amp; 31</t>
  </si>
  <si>
    <t>kWh</t>
  </si>
  <si>
    <t>8 &amp; 24</t>
  </si>
  <si>
    <t>12 &amp; 26</t>
  </si>
  <si>
    <t>10 &amp; 31</t>
  </si>
  <si>
    <t>Total Allocated Power Costs</t>
  </si>
  <si>
    <t xml:space="preserve">   Allocated Variable Power Costs</t>
  </si>
  <si>
    <t>Basic Charges</t>
  </si>
  <si>
    <t>Class Average % Increase</t>
  </si>
  <si>
    <t>Energy Charges</t>
  </si>
  <si>
    <t>Sch 31 Equal % and Adjust for Losses &amp; Residual</t>
  </si>
  <si>
    <t>Temperature Adjustment</t>
  </si>
  <si>
    <t>Unbilled</t>
  </si>
  <si>
    <t>Demand Charges</t>
  </si>
  <si>
    <t>Sch 31 Equal % and Adjust for Losses</t>
  </si>
  <si>
    <t>Adjustments to Secondary Voltage Rates for Delivery at Primary Voltage</t>
  </si>
  <si>
    <t>Basic Charge Addition Sec Voltage Rate:</t>
  </si>
  <si>
    <t>Demand Credit per kW to all Demand:</t>
  </si>
  <si>
    <t>Energy Charge Reduction to Base Rates:</t>
  </si>
  <si>
    <t>Class Average % Increase Adjust For Residual</t>
  </si>
  <si>
    <t>First 600 kWh</t>
  </si>
  <si>
    <t>Average Increase</t>
  </si>
  <si>
    <t>Class Average % Increase,
Adjust for Residual</t>
  </si>
  <si>
    <t>Temperature Adjustment - Winter</t>
  </si>
  <si>
    <t>Temperature Adjustment - Summer</t>
  </si>
  <si>
    <t>Same as Sch 31</t>
  </si>
  <si>
    <t>Apply Residual &amp; Adjust for Rounding</t>
  </si>
  <si>
    <t>Demand Charge Calculation</t>
  </si>
  <si>
    <t>Energy Charge Calculation</t>
  </si>
  <si>
    <t>Subtotal</t>
  </si>
  <si>
    <t>ELECTRIC COST OF SERVICE SUMMARY</t>
  </si>
  <si>
    <t>Delivery Costs</t>
  </si>
  <si>
    <t>Total Company</t>
  </si>
  <si>
    <t>Residential Sch 7</t>
  </si>
  <si>
    <t>Sec Volt Sch 24 (kW&lt; 50)</t>
  </si>
  <si>
    <t>Sec Volt Sch 25 (kW &gt; 50 &amp; &lt; 350)</t>
  </si>
  <si>
    <t>Sec Volt Sch 26 (kW &gt; 350)</t>
  </si>
  <si>
    <t>Pri Volt Sch 31 (General Service)</t>
  </si>
  <si>
    <t>Pri Volt Sch 35 (Irrigation)</t>
  </si>
  <si>
    <t>Pri Svc 43</t>
  </si>
  <si>
    <t>Campus 40</t>
  </si>
  <si>
    <t>High Volt 46/49</t>
  </si>
  <si>
    <t>Choice/Retail Wheeling PV</t>
  </si>
  <si>
    <t>Choice/Retail Wheeling HV</t>
  </si>
  <si>
    <t>Lighting 50-59</t>
  </si>
  <si>
    <t>Firm Resale Small</t>
  </si>
  <si>
    <t>(p)</t>
  </si>
  <si>
    <t>Demand</t>
  </si>
  <si>
    <t>PC-3</t>
  </si>
  <si>
    <t>NRG</t>
  </si>
  <si>
    <t>DEM</t>
  </si>
  <si>
    <t>Total Revenue Requirement</t>
  </si>
  <si>
    <t>Revenues Other Than Rate Sch. Rev.</t>
  </si>
  <si>
    <t>Row</t>
  </si>
  <si>
    <t xml:space="preserve"> </t>
  </si>
  <si>
    <t>Power Cost Revenue:</t>
  </si>
  <si>
    <t>Weather-Normalized kWh Sales (Oct15-Sep16)</t>
  </si>
  <si>
    <t>Test Year Base Sales (kWh)</t>
  </si>
  <si>
    <t>Line</t>
  </si>
  <si>
    <t>No.</t>
  </si>
  <si>
    <t xml:space="preserve">Schedule  </t>
  </si>
  <si>
    <t>Schedules</t>
  </si>
  <si>
    <t>7A, 11, 25, 29, 35 &amp; 43</t>
  </si>
  <si>
    <t>7A, 11, 25 &amp; 29</t>
  </si>
  <si>
    <t>Schedules 7A, 11, 25, 29, 35 &amp; 43</t>
  </si>
  <si>
    <t>Units</t>
  </si>
  <si>
    <t>Energy Charge</t>
  </si>
  <si>
    <t>Present</t>
  </si>
  <si>
    <t>Adjusted Test Year Twelve Months ended September 2016 @ Proforma Rev Requirement</t>
  </si>
  <si>
    <t>Peak Credit Allocation</t>
  </si>
  <si>
    <t>% Applicable to Energy</t>
  </si>
  <si>
    <t>% Applicable to Demand</t>
  </si>
  <si>
    <t>Total Allocation to Class</t>
  </si>
  <si>
    <t>Variable PCA Costs</t>
  </si>
  <si>
    <t>Allocate Fixed PCA Costs on PC-3</t>
  </si>
  <si>
    <t>Allocate Variable PCA Costs on PC-3</t>
  </si>
  <si>
    <t>PUGET SOUND ENERGY</t>
  </si>
  <si>
    <t>STATE OF WASHINGTON</t>
  </si>
  <si>
    <t>(Including Effects of Unbilled Revenue, Unbilled MWh and Weather Normalization)</t>
  </si>
  <si>
    <t>Residential Rate Design</t>
  </si>
  <si>
    <t>Proposed Effective December 2017</t>
  </si>
  <si>
    <t>Actual</t>
  </si>
  <si>
    <t>Price</t>
  </si>
  <si>
    <t>Dollars</t>
  </si>
  <si>
    <t xml:space="preserve">SCHEDULE 7 </t>
  </si>
  <si>
    <t>Residential Service</t>
  </si>
  <si>
    <t xml:space="preserve">  Single Phase</t>
  </si>
  <si>
    <t xml:space="preserve">  Three Phase</t>
  </si>
  <si>
    <t>Adjust for residual</t>
  </si>
  <si>
    <t>Over 600 kWh</t>
  </si>
  <si>
    <t>Retain Block 1/ Block 2 Relationship</t>
  </si>
  <si>
    <t>Target Dollars</t>
  </si>
  <si>
    <t>Secondary Voltage Rate Design</t>
  </si>
  <si>
    <t>SCHEDULES 8 &amp; 24</t>
  </si>
  <si>
    <t>Secondary Voltage General Service</t>
  </si>
  <si>
    <t>Winter (October to March) kWh</t>
  </si>
  <si>
    <t>Summer (April to September) kWh</t>
  </si>
  <si>
    <t xml:space="preserve">  Total</t>
  </si>
  <si>
    <t>Target</t>
  </si>
  <si>
    <t>SCHEDULES 7A, 11 &amp; 25</t>
  </si>
  <si>
    <t>Secondary Voltage Small Demand General Service</t>
  </si>
  <si>
    <t>First 20,000 kWh (Winter Oct to Mar)</t>
  </si>
  <si>
    <t>First 20,000 kWh (Summer Apr to Sep)</t>
  </si>
  <si>
    <t>All additional kWh</t>
  </si>
  <si>
    <t>Winter Demand over 50 kW</t>
  </si>
  <si>
    <t>Summer Demand over 50 kW</t>
  </si>
  <si>
    <t>Target Dollars Sch 25/29</t>
  </si>
  <si>
    <t>SCHEDULES 12 &amp; 26</t>
  </si>
  <si>
    <t>Secondary Voltage Large Demand General Service</t>
  </si>
  <si>
    <t>Winter Demand (Oct to Mar)</t>
  </si>
  <si>
    <t>Summer Demand (Apr to Sep)</t>
  </si>
  <si>
    <t>Target Dollars Sch 26/26P</t>
  </si>
  <si>
    <t>SCHEDULE 26P</t>
  </si>
  <si>
    <t>Same as Sch 26</t>
  </si>
  <si>
    <t>Primary Discount</t>
  </si>
  <si>
    <t>Loss Adj</t>
  </si>
  <si>
    <t>Reactive Power Charge Reduction to Base Rates:</t>
  </si>
  <si>
    <t>SCHEDULE 29</t>
  </si>
  <si>
    <t>Secondary Voltage Irrigation &amp; Pumping Service</t>
  </si>
  <si>
    <t>Over 20,000 kWh (Winter Oct to Mar)</t>
  </si>
  <si>
    <t>Over 20,000 kWh (Summer Apr to Sep)</t>
  </si>
  <si>
    <t>Primary Voltage Rate Design</t>
  </si>
  <si>
    <t>SCHEDULES 10 &amp; 31</t>
  </si>
  <si>
    <t>Primary Voltage General Service</t>
  </si>
  <si>
    <t>SCHEDULE 35</t>
  </si>
  <si>
    <t>SCHEDULE 43</t>
  </si>
  <si>
    <t>Primary Voltage Interruptible Schools</t>
  </si>
  <si>
    <t>All Demand</t>
  </si>
  <si>
    <t>Critical Demand</t>
  </si>
  <si>
    <t>Sch 43 vs Sch 31 Winter Demand</t>
  </si>
  <si>
    <t>Target Dollars Sch 43</t>
  </si>
  <si>
    <t>Campus Rate Design</t>
  </si>
  <si>
    <t>SCHEDULE 40</t>
  </si>
  <si>
    <t>Campus Service Demand &gt; 3aMW</t>
  </si>
  <si>
    <t>Secondary Voltage Demand &lt;= 350 kW</t>
  </si>
  <si>
    <t xml:space="preserve"> = Sch 25</t>
  </si>
  <si>
    <t>Secondary Voltage Demand &gt; 350 kW</t>
  </si>
  <si>
    <t xml:space="preserve"> = Sch 26</t>
  </si>
  <si>
    <t xml:space="preserve"> = Sch 31</t>
  </si>
  <si>
    <t xml:space="preserve"> = Sch 49 Adjusted for Losses</t>
  </si>
  <si>
    <t>Temperature Adjustment - Secondary Voltage</t>
  </si>
  <si>
    <t>Temperature Adjustment - Primary Voltage</t>
  </si>
  <si>
    <t>Average Class Increase</t>
  </si>
  <si>
    <t>Secondary Voltage (Coincident)</t>
  </si>
  <si>
    <t xml:space="preserve"> = Sch 49 Adjusted for Losses &amp; Power Factor</t>
  </si>
  <si>
    <t>Primary Voltage (Coincident)</t>
  </si>
  <si>
    <t>Reactive Power Charge</t>
  </si>
  <si>
    <t>Distribution Demand Charge</t>
  </si>
  <si>
    <t>Direct Assignment</t>
  </si>
  <si>
    <t>Target Dollars Sch 40</t>
  </si>
  <si>
    <t>Difference (Set to zero in goal seek for rate spread)</t>
  </si>
  <si>
    <t>Demand and Energy Rate Calculation:</t>
  </si>
  <si>
    <t>Power Factor Calculation:</t>
  </si>
  <si>
    <t>HV Power Factor</t>
  </si>
  <si>
    <t>Load Research Loss Factors:</t>
  </si>
  <si>
    <t>Schedule 49</t>
  </si>
  <si>
    <t>Schedule 26</t>
  </si>
  <si>
    <t>Present Sch 40</t>
  </si>
  <si>
    <t>$/kVa</t>
  </si>
  <si>
    <t>Proposed Sch 49</t>
  </si>
  <si>
    <t>Proposed Sch 40</t>
  </si>
  <si>
    <t>HV Demand</t>
  </si>
  <si>
    <t>PV Demand</t>
  </si>
  <si>
    <t>SV Demand</t>
  </si>
  <si>
    <t>Customer Specific Demand Charges</t>
  </si>
  <si>
    <t>Coincident Primary Voltage Production &amp; Transmission Charge</t>
  </si>
  <si>
    <t>Coincident Secondary Voltage Production &amp; Transmission Charge</t>
  </si>
  <si>
    <t>Coincident Distribution Charge</t>
  </si>
  <si>
    <t>Coincident
Rate</t>
  </si>
  <si>
    <t>Total Non-Coincident 
Distribution Charge</t>
  </si>
  <si>
    <t>Non-Coincident Transformer
Charge</t>
  </si>
  <si>
    <t>Non-Coincident Feeder
Charge</t>
  </si>
  <si>
    <t>Non-Coincident Substation
Charge</t>
  </si>
  <si>
    <t>High Voltage Rate Design</t>
  </si>
  <si>
    <t>SCHEDULE 46</t>
  </si>
  <si>
    <t>High Voltage Interruptible Service</t>
  </si>
  <si>
    <t>Annual Customer Count</t>
  </si>
  <si>
    <t xml:space="preserve"> = Sch 49</t>
  </si>
  <si>
    <t>Demand Charge (kVa)</t>
  </si>
  <si>
    <t>Annual Energy Minimum Charge</t>
  </si>
  <si>
    <t>Annual Demand Charge</t>
  </si>
  <si>
    <t>SCHEDULE 49</t>
  </si>
  <si>
    <t>High Voltage General Service</t>
  </si>
  <si>
    <t>Total
YE 9-2016</t>
  </si>
  <si>
    <t>Volumetric Fixed Power Cost Revenue Per Unit ($/kWh)</t>
  </si>
  <si>
    <t>% of (C(o):R(2))</t>
  </si>
  <si>
    <t>% of (C(o):R(6))</t>
  </si>
  <si>
    <t>% of (C(o):R(10))</t>
  </si>
  <si>
    <t>% of (C(o):R(14))</t>
  </si>
  <si>
    <t>% of (C(o):R(18))</t>
  </si>
  <si>
    <t>% of (C(o):R(22))</t>
  </si>
  <si>
    <t>Delivered kWh</t>
  </si>
  <si>
    <t>Twelve Months ended September 2016</t>
  </si>
  <si>
    <t>Summary</t>
  </si>
  <si>
    <t>Rate Sch</t>
  </si>
  <si>
    <t>Residential Master Meters</t>
  </si>
  <si>
    <t>8 / 24</t>
  </si>
  <si>
    <t>Gen Svc &lt; 50kW</t>
  </si>
  <si>
    <t>11 / 25</t>
  </si>
  <si>
    <t>Gen Svc &gt;50 &amp; &lt; 350kW</t>
  </si>
  <si>
    <t>12 / 26</t>
  </si>
  <si>
    <t>Gen Svc &gt; 350kW</t>
  </si>
  <si>
    <t>Gen Svc &gt; 350kW (pv)</t>
  </si>
  <si>
    <t>Irrigation Service</t>
  </si>
  <si>
    <t>10 / 31</t>
  </si>
  <si>
    <t>General Service</t>
  </si>
  <si>
    <t>Interruptible Elec Schools</t>
  </si>
  <si>
    <t>Campus</t>
  </si>
  <si>
    <t>Interruptible Service</t>
  </si>
  <si>
    <t>Street &amp; Area Lighting</t>
  </si>
  <si>
    <t>449 / 459</t>
  </si>
  <si>
    <t>Retail Wheeling</t>
  </si>
  <si>
    <t>Total Retail Delivered Sales</t>
  </si>
  <si>
    <t>005</t>
  </si>
  <si>
    <t>Firm Resale</t>
  </si>
  <si>
    <t>Total Delivered Sales</t>
  </si>
  <si>
    <t>SOE</t>
  </si>
  <si>
    <t>Retail Sales</t>
  </si>
  <si>
    <t>Transportation</t>
  </si>
  <si>
    <t>Subtotal SOE</t>
  </si>
  <si>
    <t>Meter Adjustment</t>
  </si>
  <si>
    <t>Total Delivered</t>
  </si>
  <si>
    <t>Allowed Fixed Power Cost Revenue</t>
  </si>
  <si>
    <t>Total PCA Costs Net of Other Revenue</t>
  </si>
  <si>
    <t>UE-170033 WP</t>
  </si>
  <si>
    <t>Exhibit JAP-39</t>
  </si>
  <si>
    <t>Annual Allowed Fixed Power Cost Revenue</t>
  </si>
  <si>
    <t>Development of Fixed Power Cost Revenue Per Unit Rates ($/kWh)</t>
  </si>
  <si>
    <t>Development of Monthly Allowed Fixed Power Cost Revenue</t>
  </si>
  <si>
    <t>Monthly Allowed Fixed Power Cost (FPC) Revenue</t>
  </si>
  <si>
    <t>Monthly Allowed FPC Revenue</t>
  </si>
  <si>
    <t>Rate Year Fixed PCA Costs</t>
  </si>
  <si>
    <t xml:space="preserve">Test Year </t>
  </si>
  <si>
    <t>Regulatory Assets (1) (Fixed)</t>
  </si>
  <si>
    <t>Transmission Rate Base (Fixed)</t>
  </si>
  <si>
    <t>Production Rate Base (Fixed)</t>
  </si>
  <si>
    <t>Net of tax rate of return</t>
  </si>
  <si>
    <t xml:space="preserve">Fixed </t>
  </si>
  <si>
    <t xml:space="preserve">Variable </t>
  </si>
  <si>
    <t>Test Yr</t>
  </si>
  <si>
    <t>Prod Cost</t>
  </si>
  <si>
    <t>$/MWh</t>
  </si>
  <si>
    <t>F/V</t>
  </si>
  <si>
    <t>In Decoupling</t>
  </si>
  <si>
    <t>In PCA</t>
  </si>
  <si>
    <t>9A</t>
  </si>
  <si>
    <t>(I)</t>
  </si>
  <si>
    <t>(II)</t>
  </si>
  <si>
    <t>(III)</t>
  </si>
  <si>
    <t>(IV)</t>
  </si>
  <si>
    <t>(V)</t>
  </si>
  <si>
    <t>Regulatory Asset Recovery (on Row 3)</t>
  </si>
  <si>
    <t>F</t>
  </si>
  <si>
    <t>10a</t>
  </si>
  <si>
    <t>Equity Adder Centralia Coal Transition PPA</t>
  </si>
  <si>
    <t>V</t>
  </si>
  <si>
    <t>Fixed Asset Recovery Other (on Row 4)</t>
  </si>
  <si>
    <t>Fixed Asset Recovery-Prod Factored (on Row 5)</t>
  </si>
  <si>
    <t>501-Steam Fuel Incl PC Reg Amort</t>
  </si>
  <si>
    <t>555-Purchased power Incl PC Reg Amort</t>
  </si>
  <si>
    <t>557-Other Power Exp</t>
  </si>
  <si>
    <t>15a</t>
  </si>
  <si>
    <t>Payroll Overheads - Benefits (Inc. Worker's Comp)</t>
  </si>
  <si>
    <t>15b</t>
  </si>
  <si>
    <t>Property Insurance</t>
  </si>
  <si>
    <t>15c</t>
  </si>
  <si>
    <t>Montana Electric Energy Tax</t>
  </si>
  <si>
    <t>15d</t>
  </si>
  <si>
    <t>Payroll Taxes on Production Wages</t>
  </si>
  <si>
    <t>15e</t>
  </si>
  <si>
    <t>Brokerage Fees 55700003</t>
  </si>
  <si>
    <t>547-Fuel Incl PC Reg Amort</t>
  </si>
  <si>
    <t>565-Wheeling Incl PC Reg Amort</t>
  </si>
  <si>
    <t>Transmission Revenue 456.1</t>
  </si>
  <si>
    <t>Production O&amp;M</t>
  </si>
  <si>
    <t>447-Sales to Others</t>
  </si>
  <si>
    <t>456-Purch/Sales Non-Core Gas</t>
  </si>
  <si>
    <t>Transmission Exp - 500KV</t>
  </si>
  <si>
    <t>Depreciation-Production (FERC 403)</t>
  </si>
  <si>
    <t>Depreciation-Transmission</t>
  </si>
  <si>
    <t>Amortization  - Regulatory Assets &amp; Liab - Non PC Only (1)</t>
  </si>
  <si>
    <t>N/A (formerly hedging line of credit)</t>
  </si>
  <si>
    <t>Subtotal &amp; Baseline Rate</t>
  </si>
  <si>
    <t>Revenue Sensitive Items</t>
  </si>
  <si>
    <t>Grossed up for RSI</t>
  </si>
  <si>
    <t>Test Year DELIVERED Load (MWH's)</t>
  </si>
  <si>
    <t xml:space="preserve"> &lt;-- includes Firm Wholesale</t>
  </si>
  <si>
    <t>Variable</t>
  </si>
  <si>
    <t>Baseline Rate Summarized</t>
  </si>
  <si>
    <t>BLR Net of RSI</t>
  </si>
  <si>
    <t>(1) - Amortization is picked up in Regulatory Assets and Liabilities Adjustment and White River Adjustment.</t>
  </si>
  <si>
    <t>Development of Fixed Power Cost Allowed Revenue by Decoupling Group</t>
  </si>
  <si>
    <t>(e) = Σ (i thru k)</t>
  </si>
  <si>
    <t>Schedule 40</t>
  </si>
  <si>
    <t>No increase</t>
  </si>
  <si>
    <t>Same as Tail Block</t>
  </si>
  <si>
    <t>Winter Energy Block Rounding Adjustment =</t>
  </si>
  <si>
    <t>Increase Demand portion of energy by demand increase over tail block</t>
  </si>
  <si>
    <t>No Increase</t>
  </si>
  <si>
    <t>Remaining Increase %</t>
  </si>
  <si>
    <t>Demand Related Revenue</t>
  </si>
  <si>
    <t>First Energy Block Rounding Adjustment =</t>
  </si>
  <si>
    <t>Schedule 25 &amp; 29 Increase</t>
  </si>
  <si>
    <t>Winter Difference First Block vs. Second Block</t>
  </si>
  <si>
    <t>Sch 29 Increase</t>
  </si>
  <si>
    <t>Summer Difference First Block vs. Second Block</t>
  </si>
  <si>
    <t>Difference = Sch 25 Increase</t>
  </si>
  <si>
    <t>Winter First Block Billed kWh</t>
  </si>
  <si>
    <t>Remove Sch 25 Cust Revenue</t>
  </si>
  <si>
    <t>Summer First Block Billed kWh</t>
  </si>
  <si>
    <t>Remove Sch 25 Change in Unbilled Revenue</t>
  </si>
  <si>
    <t>Demand Related Rev Incl in Energy Rev</t>
  </si>
  <si>
    <t>Schedule 25 Net Increase to be applied to Demand</t>
  </si>
  <si>
    <t>kW &amp; Reactive Rev</t>
  </si>
  <si>
    <t>Present Demand Revenue</t>
  </si>
  <si>
    <t>Total Demand Revenue</t>
  </si>
  <si>
    <t>Remaining Increase to allocate to Demand &amp; Reactive Charge</t>
  </si>
  <si>
    <t>Avg Energy Block 1</t>
  </si>
  <si>
    <t>Avg Demand</t>
  </si>
  <si>
    <t>Energy Rounding Adjustment =</t>
  </si>
  <si>
    <t>Schedule 25 &amp; 29 Class Average Increase</t>
  </si>
  <si>
    <t>Avg Energy Block 2</t>
  </si>
  <si>
    <t>Target Dollars Sch 10/31</t>
  </si>
  <si>
    <t>Class Adjusted Average % Increase</t>
  </si>
  <si>
    <t>Target Dollars Sch 35</t>
  </si>
  <si>
    <t>Basic Charge Increase</t>
  </si>
  <si>
    <t>Net Increase</t>
  </si>
  <si>
    <t>Note:  Distribution Charge FCR at 7.60% ROR</t>
  </si>
  <si>
    <t>Remaining Difference</t>
  </si>
  <si>
    <t>Target $ Average Increase</t>
  </si>
  <si>
    <t>Target $ - Proposed Sch 46</t>
  </si>
  <si>
    <t>Rounding</t>
  </si>
  <si>
    <t>Remaining Difference %</t>
  </si>
  <si>
    <t>Increase by 48% per Settlement Stipulation</t>
  </si>
  <si>
    <t>Demand Charge Revenue</t>
  </si>
  <si>
    <t>Current Energy Revenue</t>
  </si>
  <si>
    <t>Unbilled Change Revenue</t>
  </si>
  <si>
    <t>Change to Energy Charge</t>
  </si>
  <si>
    <t>JAP-47 Page 1</t>
  </si>
  <si>
    <t>Exhibit A-1 Power Cost Baseline Rate</t>
  </si>
  <si>
    <t>Exhibit H to Settlement Agreement</t>
  </si>
  <si>
    <t>2017 GRC (Per Settlement)</t>
  </si>
  <si>
    <t>Rate Year</t>
  </si>
  <si>
    <t>PF'd</t>
  </si>
  <si>
    <t>NON POWER COST RELATED REG ASSETS &amp; LIAB</t>
  </si>
  <si>
    <t>(Pre-PF)</t>
  </si>
  <si>
    <t>WHITE RIVER PLANT COSTS</t>
  </si>
  <si>
    <t>CARRYING CHARGES ON LSR PREPAID TRANSM</t>
  </si>
  <si>
    <t>MINT FARM DEFFRED - UE-090704 (ends Mar 2025)</t>
  </si>
  <si>
    <t>FERNDALE PLANT DEFERRAL (ends Oct 2019)</t>
  </si>
  <si>
    <t>SNOQUALMIE UPGRADE PLANT DEFERRAL (ends Oct 2019)</t>
  </si>
  <si>
    <t>BAKER UPGRADE PLANT DEFERRAL (ends Oct 2019)</t>
  </si>
  <si>
    <t>TREASURY GRANT DEFERRAL SNOQ &amp; BAKER (ends Dec 2018)</t>
  </si>
  <si>
    <t>ELECTRON UNRECOVERED COSTS</t>
  </si>
  <si>
    <t>TOTAL NON-POWER COST RELATED</t>
  </si>
  <si>
    <t>Check=&gt;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</si>
</sst>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0.000%"/>
    <numFmt numFmtId="168" formatCode="_(&quot;$&quot;* #,##0.00000_);_(&quot;$&quot;* \(#,##0.00000\);_(&quot;$&quot;* &quot;-&quot;??_);_(@_)"/>
    <numFmt numFmtId="169" formatCode="0.0%"/>
    <numFmt numFmtId="170" formatCode="&quot;$&quot;#,##0"/>
    <numFmt numFmtId="171" formatCode="_(&quot;$&quot;* #,##0.000000_);_(&quot;$&quot;* \(#,##0.000000\);_(&quot;$&quot;* &quot;-&quot;??_);_(@_)"/>
    <numFmt numFmtId="172" formatCode="_(* #,##0.000000_);_(* \(#,##0.000000\);_(* &quot;-&quot;??_);_(@_)"/>
    <numFmt numFmtId="173" formatCode="0.000000"/>
    <numFmt numFmtId="174" formatCode="0.00_)"/>
    <numFmt numFmtId="175" formatCode="0.000000_)"/>
    <numFmt numFmtId="176" formatCode="0.000000000_)"/>
    <numFmt numFmtId="177" formatCode="0.0000%"/>
    <numFmt numFmtId="178" formatCode="_(&quot;$&quot;* #,##0.000_);_(&quot;$&quot;* \(#,##0.000\);_(&quot;$&quot;* &quot;-&quot;??_);_(@_)"/>
    <numFmt numFmtId="179" formatCode="_(* #,##0.0000000_);_(* \(#,##0.0000000\);_(* &quot;-&quot;??_);_(@_)"/>
    <numFmt numFmtId="180" formatCode="&quot;Adj.&quot;\ 0.00"/>
    <numFmt numFmtId="181" formatCode="0.00000"/>
  </numFmts>
  <fonts count="4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808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sz val="12"/>
      <color theme="1"/>
      <name val="Times New Roman"/>
      <family val="1"/>
    </font>
    <font>
      <b/>
      <sz val="14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</font>
    <font>
      <b/>
      <sz val="11"/>
      <name val="Arial"/>
      <family val="2"/>
    </font>
    <font>
      <b/>
      <sz val="11"/>
      <name val="Times New Roman"/>
      <family val="1"/>
    </font>
    <font>
      <sz val="12"/>
      <color indexed="10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indexed="12"/>
      <name val="Times New Roman"/>
      <family val="1"/>
    </font>
    <font>
      <sz val="12"/>
      <color rgb="FF00B05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2"/>
      <color indexed="56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name val="Arial"/>
      <family val="2"/>
    </font>
    <font>
      <sz val="12"/>
      <color indexed="56"/>
      <name val="Arial"/>
      <family val="2"/>
    </font>
    <font>
      <u/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1" fillId="0" borderId="0"/>
    <xf numFmtId="0" fontId="1" fillId="0" borderId="0"/>
  </cellStyleXfs>
  <cellXfs count="437">
    <xf numFmtId="0" fontId="0" fillId="0" borderId="0" xfId="0"/>
    <xf numFmtId="44" fontId="3" fillId="0" borderId="0" xfId="0" applyNumberFormat="1" applyFont="1"/>
    <xf numFmtId="44" fontId="3" fillId="0" borderId="0" xfId="0" applyNumberFormat="1" applyFont="1" applyFill="1"/>
    <xf numFmtId="43" fontId="3" fillId="0" borderId="0" xfId="0" applyNumberFormat="1" applyFont="1" applyFill="1"/>
    <xf numFmtId="166" fontId="2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3" fontId="1" fillId="0" borderId="0" xfId="0" applyNumberFormat="1" applyFont="1" applyFill="1"/>
    <xf numFmtId="164" fontId="4" fillId="0" borderId="0" xfId="0" applyNumberFormat="1" applyFont="1" applyFill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 applyBorder="1"/>
    <xf numFmtId="165" fontId="4" fillId="0" borderId="0" xfId="0" applyNumberFormat="1" applyFont="1" applyFill="1" applyBorder="1"/>
    <xf numFmtId="0" fontId="0" fillId="0" borderId="0" xfId="0" applyFill="1"/>
    <xf numFmtId="10" fontId="4" fillId="0" borderId="0" xfId="0" applyNumberFormat="1" applyFont="1" applyFill="1"/>
    <xf numFmtId="0" fontId="2" fillId="0" borderId="0" xfId="0" applyFont="1" applyAlignment="1"/>
    <xf numFmtId="0" fontId="4" fillId="0" borderId="0" xfId="0" applyFont="1" applyFill="1"/>
    <xf numFmtId="0" fontId="2" fillId="0" borderId="0" xfId="0" applyFont="1" applyFill="1" applyAlignment="1"/>
    <xf numFmtId="165" fontId="4" fillId="0" borderId="0" xfId="0" applyNumberFormat="1" applyFont="1" applyFill="1"/>
    <xf numFmtId="0" fontId="4" fillId="0" borderId="4" xfId="0" applyFont="1" applyFill="1" applyBorder="1"/>
    <xf numFmtId="0" fontId="5" fillId="0" borderId="0" xfId="0" applyFont="1" applyFill="1" applyAlignment="1">
      <alignment horizontal="left"/>
    </xf>
    <xf numFmtId="0" fontId="4" fillId="0" borderId="0" xfId="0" quotePrefix="1" applyFont="1" applyFill="1" applyAlignment="1">
      <alignment horizontal="center"/>
    </xf>
    <xf numFmtId="165" fontId="7" fillId="0" borderId="0" xfId="0" applyNumberFormat="1" applyFont="1" applyFill="1"/>
    <xf numFmtId="0" fontId="3" fillId="0" borderId="0" xfId="0" applyFont="1"/>
    <xf numFmtId="0" fontId="3" fillId="0" borderId="0" xfId="0" applyFont="1" applyFill="1"/>
    <xf numFmtId="3" fontId="4" fillId="0" borderId="0" xfId="0" applyNumberFormat="1" applyFont="1" applyFill="1"/>
    <xf numFmtId="0" fontId="9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0" xfId="0" applyFont="1" applyFill="1"/>
    <xf numFmtId="41" fontId="2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44" fontId="4" fillId="0" borderId="0" xfId="0" applyNumberFormat="1" applyFont="1" applyFill="1" applyAlignment="1">
      <alignment horizontal="center"/>
    </xf>
    <xf numFmtId="44" fontId="4" fillId="0" borderId="0" xfId="0" applyNumberFormat="1" applyFont="1" applyFill="1"/>
    <xf numFmtId="171" fontId="0" fillId="0" borderId="0" xfId="0" applyNumberFormat="1" applyFont="1" applyFill="1"/>
    <xf numFmtId="3" fontId="0" fillId="0" borderId="0" xfId="0" applyNumberFormat="1" applyFill="1"/>
    <xf numFmtId="164" fontId="7" fillId="0" borderId="0" xfId="0" applyNumberFormat="1" applyFont="1" applyFill="1" applyBorder="1"/>
    <xf numFmtId="0" fontId="1" fillId="0" borderId="0" xfId="0" applyFont="1" applyFill="1"/>
    <xf numFmtId="10" fontId="1" fillId="0" borderId="0" xfId="0" applyNumberFormat="1" applyFont="1" applyFill="1"/>
    <xf numFmtId="0" fontId="2" fillId="0" borderId="4" xfId="0" applyNumberFormat="1" applyFont="1" applyFill="1" applyBorder="1" applyAlignment="1">
      <alignment horizontal="center"/>
    </xf>
    <xf numFmtId="165" fontId="7" fillId="0" borderId="0" xfId="0" applyNumberFormat="1" applyFont="1" applyFill="1" applyBorder="1"/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71" fontId="4" fillId="0" borderId="1" xfId="0" applyNumberFormat="1" applyFont="1" applyFill="1" applyBorder="1"/>
    <xf numFmtId="44" fontId="7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1" fontId="2" fillId="0" borderId="0" xfId="0" applyNumberFormat="1" applyFont="1" applyFill="1" applyBorder="1" applyAlignment="1">
      <alignment horizontal="center" vertical="center"/>
    </xf>
    <xf numFmtId="41" fontId="2" fillId="0" borderId="4" xfId="0" applyNumberFormat="1" applyFont="1" applyFill="1" applyBorder="1" applyAlignment="1">
      <alignment horizontal="center" wrapText="1"/>
    </xf>
    <xf numFmtId="41" fontId="2" fillId="0" borderId="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wrapText="1"/>
    </xf>
    <xf numFmtId="0" fontId="4" fillId="0" borderId="4" xfId="0" applyFont="1" applyFill="1" applyBorder="1" applyAlignment="1"/>
    <xf numFmtId="41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11" fillId="0" borderId="0" xfId="0" applyFont="1"/>
    <xf numFmtId="0" fontId="2" fillId="0" borderId="4" xfId="0" quotePrefix="1" applyFont="1" applyBorder="1" applyAlignment="1">
      <alignment horizontal="center" wrapText="1"/>
    </xf>
    <xf numFmtId="17" fontId="2" fillId="0" borderId="4" xfId="0" applyNumberFormat="1" applyFont="1" applyBorder="1" applyAlignment="1">
      <alignment horizontal="center" wrapText="1"/>
    </xf>
    <xf numFmtId="0" fontId="12" fillId="2" borderId="0" xfId="0" applyNumberFormat="1" applyFont="1" applyFill="1" applyAlignment="1"/>
    <xf numFmtId="0" fontId="2" fillId="2" borderId="4" xfId="0" applyNumberFormat="1" applyFont="1" applyFill="1" applyBorder="1" applyAlignment="1">
      <alignment horizontal="center" wrapText="1"/>
    </xf>
    <xf numFmtId="0" fontId="2" fillId="2" borderId="0" xfId="0" applyNumberFormat="1" applyFont="1" applyFill="1" applyAlignment="1">
      <alignment wrapText="1"/>
    </xf>
    <xf numFmtId="0" fontId="2" fillId="2" borderId="0" xfId="0" applyNumberFormat="1" applyFont="1" applyFill="1" applyAlignment="1">
      <alignment horizontal="center" wrapText="1"/>
    </xf>
    <xf numFmtId="165" fontId="6" fillId="0" borderId="0" xfId="0" quotePrefix="1" applyNumberFormat="1" applyFont="1" applyFill="1" applyAlignment="1">
      <alignment horizontal="left"/>
    </xf>
    <xf numFmtId="0" fontId="2" fillId="2" borderId="0" xfId="0" applyNumberFormat="1" applyFont="1" applyFill="1" applyAlignment="1">
      <alignment horizontal="center"/>
    </xf>
    <xf numFmtId="0" fontId="2" fillId="2" borderId="0" xfId="0" applyNumberFormat="1" applyFont="1" applyFill="1" applyAlignment="1"/>
    <xf numFmtId="164" fontId="4" fillId="0" borderId="0" xfId="0" quotePrefix="1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left" wrapText="1"/>
    </xf>
    <xf numFmtId="0" fontId="1" fillId="2" borderId="0" xfId="0" applyNumberFormat="1" applyFont="1" applyFill="1" applyAlignment="1"/>
    <xf numFmtId="0" fontId="2" fillId="2" borderId="0" xfId="0" quotePrefix="1" applyNumberFormat="1" applyFont="1" applyFill="1" applyAlignment="1">
      <alignment horizontal="left"/>
    </xf>
    <xf numFmtId="172" fontId="4" fillId="0" borderId="0" xfId="0" quotePrefix="1" applyNumberFormat="1" applyFont="1" applyFill="1" applyAlignment="1">
      <alignment horizontal="left"/>
    </xf>
    <xf numFmtId="172" fontId="1" fillId="2" borderId="0" xfId="0" applyNumberFormat="1" applyFont="1" applyFill="1" applyAlignment="1"/>
    <xf numFmtId="0" fontId="2" fillId="2" borderId="0" xfId="0" quotePrefix="1" applyNumberFormat="1" applyFont="1" applyFill="1" applyAlignment="1">
      <alignment horizontal="left" indent="1"/>
    </xf>
    <xf numFmtId="9" fontId="12" fillId="0" borderId="12" xfId="0" quotePrefix="1" applyNumberFormat="1" applyFont="1" applyBorder="1"/>
    <xf numFmtId="165" fontId="4" fillId="0" borderId="0" xfId="0" quotePrefix="1" applyNumberFormat="1" applyFont="1" applyFill="1" applyAlignment="1">
      <alignment horizontal="left"/>
    </xf>
    <xf numFmtId="0" fontId="2" fillId="0" borderId="0" xfId="0" applyNumberFormat="1" applyFont="1" applyFill="1" applyAlignment="1"/>
    <xf numFmtId="0" fontId="1" fillId="0" borderId="0" xfId="0" applyNumberFormat="1" applyFont="1" applyFill="1" applyAlignment="1"/>
    <xf numFmtId="0" fontId="12" fillId="0" borderId="0" xfId="0" applyNumberFormat="1" applyFont="1" applyFill="1" applyAlignment="1"/>
    <xf numFmtId="172" fontId="1" fillId="0" borderId="0" xfId="0" applyNumberFormat="1" applyFont="1" applyFill="1" applyAlignment="1"/>
    <xf numFmtId="172" fontId="1" fillId="0" borderId="0" xfId="0" applyNumberFormat="1" applyFont="1" applyFill="1" applyAlignment="1"/>
    <xf numFmtId="0" fontId="12" fillId="2" borderId="0" xfId="0" applyNumberFormat="1" applyFont="1" applyFill="1" applyAlignment="1">
      <alignment horizontal="center"/>
    </xf>
    <xf numFmtId="0" fontId="2" fillId="2" borderId="0" xfId="0" applyNumberFormat="1" applyFont="1" applyFill="1" applyAlignment="1">
      <alignment horizontal="center"/>
    </xf>
    <xf numFmtId="0" fontId="13" fillId="0" borderId="0" xfId="0" applyFont="1" applyFill="1" applyBorder="1"/>
    <xf numFmtId="3" fontId="13" fillId="0" borderId="0" xfId="0" applyNumberFormat="1" applyFont="1" applyFill="1" applyBorder="1"/>
    <xf numFmtId="0" fontId="13" fillId="0" borderId="0" xfId="0" applyFont="1" applyFill="1"/>
    <xf numFmtId="3" fontId="13" fillId="0" borderId="0" xfId="0" applyNumberFormat="1" applyFont="1" applyFill="1"/>
    <xf numFmtId="171" fontId="13" fillId="0" borderId="0" xfId="0" applyNumberFormat="1" applyFont="1" applyFill="1" applyProtection="1">
      <protection locked="0"/>
    </xf>
    <xf numFmtId="0" fontId="4" fillId="0" borderId="0" xfId="0" applyFont="1" applyFill="1"/>
    <xf numFmtId="165" fontId="7" fillId="0" borderId="0" xfId="0" quotePrefix="1" applyNumberFormat="1" applyFont="1" applyFill="1" applyAlignment="1">
      <alignment horizontal="left"/>
    </xf>
    <xf numFmtId="165" fontId="4" fillId="0" borderId="3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7" fillId="0" borderId="0" xfId="0" applyFont="1" applyFill="1" applyBorder="1"/>
    <xf numFmtId="3" fontId="17" fillId="0" borderId="0" xfId="0" applyNumberFormat="1" applyFont="1" applyFill="1" applyBorder="1"/>
    <xf numFmtId="0" fontId="17" fillId="0" borderId="0" xfId="0" applyFont="1" applyFill="1"/>
    <xf numFmtId="0" fontId="14" fillId="0" borderId="0" xfId="0" applyFont="1" applyFill="1" applyAlignment="1"/>
    <xf numFmtId="0" fontId="18" fillId="0" borderId="0" xfId="0" quotePrefix="1" applyNumberFormat="1" applyFont="1" applyFill="1" applyAlignment="1"/>
    <xf numFmtId="0" fontId="19" fillId="0" borderId="0" xfId="0" quotePrefix="1" applyFont="1" applyFill="1" applyAlignment="1" applyProtection="1"/>
    <xf numFmtId="0" fontId="19" fillId="0" borderId="0" xfId="0" quotePrefix="1" applyFont="1" applyFill="1" applyAlignment="1" applyProtection="1">
      <alignment horizontal="centerContinuous"/>
    </xf>
    <xf numFmtId="0" fontId="18" fillId="0" borderId="0" xfId="0" applyFont="1" applyFill="1" applyAlignment="1" applyProtection="1">
      <alignment horizontal="centerContinuous"/>
    </xf>
    <xf numFmtId="37" fontId="18" fillId="0" borderId="0" xfId="0" applyNumberFormat="1" applyFont="1" applyFill="1" applyAlignment="1" applyProtection="1">
      <alignment horizontal="centerContinuous"/>
    </xf>
    <xf numFmtId="3" fontId="17" fillId="0" borderId="0" xfId="0" applyNumberFormat="1" applyFont="1" applyFill="1"/>
    <xf numFmtId="0" fontId="18" fillId="0" borderId="0" xfId="0" applyFont="1" applyFill="1" applyProtection="1"/>
    <xf numFmtId="37" fontId="19" fillId="0" borderId="0" xfId="0" applyNumberFormat="1" applyFont="1" applyFill="1" applyAlignment="1" applyProtection="1">
      <alignment horizontal="center"/>
    </xf>
    <xf numFmtId="0" fontId="19" fillId="0" borderId="0" xfId="0" applyFont="1" applyFill="1" applyProtection="1"/>
    <xf numFmtId="0" fontId="19" fillId="0" borderId="0" xfId="0" applyFont="1" applyFill="1" applyAlignment="1" applyProtection="1">
      <alignment horizontal="center"/>
    </xf>
    <xf numFmtId="37" fontId="19" fillId="0" borderId="18" xfId="0" applyNumberFormat="1" applyFont="1" applyFill="1" applyBorder="1" applyAlignment="1" applyProtection="1">
      <alignment horizontal="center"/>
    </xf>
    <xf numFmtId="0" fontId="19" fillId="0" borderId="18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/>
    </xf>
    <xf numFmtId="0" fontId="20" fillId="0" borderId="0" xfId="0" quotePrefix="1" applyFont="1" applyFill="1" applyAlignment="1" applyProtection="1">
      <alignment horizontal="left"/>
    </xf>
    <xf numFmtId="0" fontId="21" fillId="0" borderId="0" xfId="0" applyFont="1" applyFill="1" applyProtection="1"/>
    <xf numFmtId="37" fontId="21" fillId="0" borderId="0" xfId="0" applyNumberFormat="1" applyFont="1" applyFill="1" applyProtection="1"/>
    <xf numFmtId="0" fontId="21" fillId="0" borderId="0" xfId="0" quotePrefix="1" applyFont="1" applyFill="1" applyAlignment="1" applyProtection="1">
      <alignment horizontal="left"/>
    </xf>
    <xf numFmtId="3" fontId="22" fillId="0" borderId="0" xfId="0" applyNumberFormat="1" applyFont="1" applyFill="1" applyBorder="1" applyAlignment="1">
      <alignment horizontal="center"/>
    </xf>
    <xf numFmtId="44" fontId="23" fillId="0" borderId="0" xfId="0" applyNumberFormat="1" applyFont="1" applyFill="1" applyProtection="1">
      <protection locked="0"/>
    </xf>
    <xf numFmtId="5" fontId="21" fillId="0" borderId="0" xfId="0" applyNumberFormat="1" applyFont="1" applyFill="1" applyProtection="1"/>
    <xf numFmtId="0" fontId="21" fillId="0" borderId="0" xfId="0" applyFont="1" applyFill="1" applyAlignment="1" applyProtection="1">
      <alignment horizontal="left" indent="2"/>
    </xf>
    <xf numFmtId="37" fontId="21" fillId="0" borderId="1" xfId="0" applyNumberFormat="1" applyFont="1" applyFill="1" applyBorder="1" applyProtection="1"/>
    <xf numFmtId="7" fontId="23" fillId="0" borderId="0" xfId="0" applyNumberFormat="1" applyFont="1" applyFill="1" applyProtection="1">
      <protection locked="0"/>
    </xf>
    <xf numFmtId="5" fontId="21" fillId="0" borderId="1" xfId="0" applyNumberFormat="1" applyFont="1" applyFill="1" applyBorder="1" applyProtection="1"/>
    <xf numFmtId="37" fontId="21" fillId="0" borderId="0" xfId="0" applyNumberFormat="1" applyFont="1" applyFill="1" applyBorder="1" applyProtection="1"/>
    <xf numFmtId="5" fontId="21" fillId="0" borderId="0" xfId="0" applyNumberFormat="1" applyFont="1" applyFill="1" applyBorder="1" applyProtection="1"/>
    <xf numFmtId="0" fontId="21" fillId="0" borderId="0" xfId="0" quotePrefix="1" applyFont="1" applyFill="1" applyAlignment="1" applyProtection="1">
      <alignment horizontal="left" indent="1"/>
    </xf>
    <xf numFmtId="171" fontId="23" fillId="0" borderId="0" xfId="0" applyNumberFormat="1" applyFont="1" applyFill="1" applyProtection="1">
      <protection locked="0"/>
    </xf>
    <xf numFmtId="171" fontId="24" fillId="0" borderId="0" xfId="0" applyNumberFormat="1" applyFont="1" applyFill="1" applyProtection="1">
      <protection locked="0"/>
    </xf>
    <xf numFmtId="0" fontId="17" fillId="0" borderId="0" xfId="0" quotePrefix="1" applyFont="1" applyFill="1" applyAlignment="1">
      <alignment wrapText="1"/>
    </xf>
    <xf numFmtId="164" fontId="21" fillId="0" borderId="0" xfId="0" applyNumberFormat="1" applyFont="1" applyFill="1" applyProtection="1"/>
    <xf numFmtId="5" fontId="21" fillId="0" borderId="0" xfId="0" applyNumberFormat="1" applyFont="1" applyFill="1" applyProtection="1">
      <protection locked="0"/>
    </xf>
    <xf numFmtId="0" fontId="21" fillId="0" borderId="0" xfId="0" applyFont="1" applyFill="1" applyAlignment="1" applyProtection="1">
      <alignment horizontal="left" indent="1"/>
    </xf>
    <xf numFmtId="0" fontId="17" fillId="0" borderId="0" xfId="0" applyFont="1" applyFill="1" applyProtection="1"/>
    <xf numFmtId="37" fontId="21" fillId="0" borderId="3" xfId="0" applyNumberFormat="1" applyFont="1" applyFill="1" applyBorder="1" applyProtection="1"/>
    <xf numFmtId="5" fontId="21" fillId="0" borderId="3" xfId="0" applyNumberFormat="1" applyFont="1" applyFill="1" applyBorder="1" applyProtection="1"/>
    <xf numFmtId="5" fontId="21" fillId="0" borderId="19" xfId="0" applyNumberFormat="1" applyFont="1" applyFill="1" applyBorder="1" applyProtection="1"/>
    <xf numFmtId="37" fontId="17" fillId="0" borderId="0" xfId="0" applyNumberFormat="1" applyFont="1" applyFill="1" applyBorder="1" applyProtection="1"/>
    <xf numFmtId="37" fontId="17" fillId="0" borderId="0" xfId="0" applyNumberFormat="1" applyFont="1" applyFill="1" applyProtection="1"/>
    <xf numFmtId="5" fontId="17" fillId="0" borderId="0" xfId="0" applyNumberFormat="1" applyFont="1" applyFill="1" applyProtection="1"/>
    <xf numFmtId="0" fontId="25" fillId="0" borderId="0" xfId="0" quotePrefix="1" applyFont="1" applyAlignment="1">
      <alignment horizontal="right"/>
    </xf>
    <xf numFmtId="171" fontId="25" fillId="0" borderId="0" xfId="0" applyNumberFormat="1" applyFont="1" applyFill="1"/>
    <xf numFmtId="5" fontId="17" fillId="0" borderId="0" xfId="0" applyNumberFormat="1" applyFont="1" applyFill="1"/>
    <xf numFmtId="10" fontId="0" fillId="0" borderId="0" xfId="0" applyNumberFormat="1" applyFont="1" applyFill="1" applyBorder="1"/>
    <xf numFmtId="0" fontId="22" fillId="0" borderId="0" xfId="0" applyFont="1" applyFill="1"/>
    <xf numFmtId="175" fontId="21" fillId="0" borderId="0" xfId="0" applyNumberFormat="1" applyFont="1" applyFill="1" applyProtection="1"/>
    <xf numFmtId="0" fontId="17" fillId="0" borderId="0" xfId="0" quotePrefix="1" applyFont="1" applyFill="1" applyAlignment="1">
      <alignment horizontal="left"/>
    </xf>
    <xf numFmtId="0" fontId="22" fillId="0" borderId="0" xfId="0" applyFont="1" applyFill="1" applyBorder="1"/>
    <xf numFmtId="3" fontId="22" fillId="0" borderId="0" xfId="0" applyNumberFormat="1" applyFont="1" applyFill="1" applyBorder="1"/>
    <xf numFmtId="0" fontId="26" fillId="0" borderId="0" xfId="0" applyFont="1" applyFill="1" applyAlignment="1"/>
    <xf numFmtId="0" fontId="19" fillId="0" borderId="0" xfId="0" quotePrefix="1" applyNumberFormat="1" applyFont="1" applyFill="1" applyAlignment="1"/>
    <xf numFmtId="0" fontId="19" fillId="0" borderId="0" xfId="0" applyFont="1" applyFill="1" applyAlignment="1" applyProtection="1">
      <alignment horizontal="centerContinuous"/>
    </xf>
    <xf numFmtId="37" fontId="19" fillId="0" borderId="0" xfId="0" applyNumberFormat="1" applyFont="1" applyFill="1" applyAlignment="1" applyProtection="1">
      <alignment horizontal="centerContinuous"/>
    </xf>
    <xf numFmtId="3" fontId="22" fillId="0" borderId="0" xfId="0" applyNumberFormat="1" applyFont="1" applyFill="1"/>
    <xf numFmtId="5" fontId="22" fillId="0" borderId="0" xfId="0" applyNumberFormat="1" applyFont="1" applyFill="1"/>
    <xf numFmtId="37" fontId="22" fillId="0" borderId="0" xfId="0" applyNumberFormat="1" applyFont="1" applyFill="1" applyProtection="1"/>
    <xf numFmtId="10" fontId="22" fillId="0" borderId="0" xfId="0" applyNumberFormat="1" applyFont="1" applyFill="1"/>
    <xf numFmtId="9" fontId="22" fillId="0" borderId="0" xfId="0" applyNumberFormat="1" applyFont="1" applyFill="1"/>
    <xf numFmtId="0" fontId="22" fillId="0" borderId="0" xfId="0" applyFont="1" applyFill="1" applyProtection="1"/>
    <xf numFmtId="5" fontId="22" fillId="0" borderId="0" xfId="0" applyNumberFormat="1" applyFont="1" applyFill="1" applyBorder="1" applyProtection="1"/>
    <xf numFmtId="169" fontId="22" fillId="0" borderId="0" xfId="0" applyNumberFormat="1" applyFont="1" applyFill="1"/>
    <xf numFmtId="0" fontId="23" fillId="0" borderId="0" xfId="0" applyFont="1" applyFill="1" applyProtection="1">
      <protection locked="0"/>
    </xf>
    <xf numFmtId="43" fontId="22" fillId="0" borderId="0" xfId="0" applyNumberFormat="1" applyFont="1" applyFill="1"/>
    <xf numFmtId="37" fontId="22" fillId="0" borderId="0" xfId="0" applyNumberFormat="1" applyFont="1" applyFill="1"/>
    <xf numFmtId="174" fontId="23" fillId="0" borderId="0" xfId="0" applyNumberFormat="1" applyFont="1" applyFill="1" applyProtection="1">
      <protection locked="0"/>
    </xf>
    <xf numFmtId="37" fontId="22" fillId="0" borderId="4" xfId="0" applyNumberFormat="1" applyFont="1" applyFill="1" applyBorder="1" applyProtection="1"/>
    <xf numFmtId="37" fontId="22" fillId="0" borderId="19" xfId="0" applyNumberFormat="1" applyFont="1" applyFill="1" applyBorder="1" applyProtection="1"/>
    <xf numFmtId="164" fontId="22" fillId="0" borderId="0" xfId="0" applyNumberFormat="1" applyFont="1" applyFill="1" applyBorder="1" applyProtection="1"/>
    <xf numFmtId="0" fontId="21" fillId="0" borderId="0" xfId="0" applyFont="1" applyFill="1" applyBorder="1" applyProtection="1"/>
    <xf numFmtId="5" fontId="22" fillId="0" borderId="19" xfId="0" applyNumberFormat="1" applyFont="1" applyFill="1" applyBorder="1" applyProtection="1"/>
    <xf numFmtId="0" fontId="22" fillId="0" borderId="20" xfId="0" applyFont="1" applyFill="1" applyBorder="1"/>
    <xf numFmtId="5" fontId="22" fillId="0" borderId="5" xfId="0" applyNumberFormat="1" applyFont="1" applyFill="1" applyBorder="1"/>
    <xf numFmtId="10" fontId="22" fillId="0" borderId="0" xfId="0" applyNumberFormat="1" applyFont="1" applyFill="1" applyBorder="1"/>
    <xf numFmtId="37" fontId="22" fillId="0" borderId="0" xfId="0" applyNumberFormat="1" applyFont="1" applyFill="1" applyBorder="1" applyProtection="1"/>
    <xf numFmtId="0" fontId="22" fillId="0" borderId="14" xfId="0" applyFont="1" applyFill="1" applyBorder="1"/>
    <xf numFmtId="5" fontId="22" fillId="0" borderId="4" xfId="0" applyNumberFormat="1" applyFont="1" applyFill="1" applyBorder="1"/>
    <xf numFmtId="37" fontId="23" fillId="0" borderId="0" xfId="0" applyNumberFormat="1" applyFont="1" applyFill="1" applyProtection="1"/>
    <xf numFmtId="44" fontId="21" fillId="0" borderId="0" xfId="0" applyNumberFormat="1" applyFont="1" applyFill="1" applyProtection="1">
      <protection locked="0"/>
    </xf>
    <xf numFmtId="5" fontId="22" fillId="0" borderId="0" xfId="0" applyNumberFormat="1" applyFont="1" applyFill="1" applyProtection="1"/>
    <xf numFmtId="7" fontId="20" fillId="0" borderId="0" xfId="0" applyNumberFormat="1" applyFont="1" applyFill="1" applyProtection="1"/>
    <xf numFmtId="171" fontId="21" fillId="0" borderId="0" xfId="0" applyNumberFormat="1" applyFont="1" applyFill="1" applyProtection="1">
      <protection locked="0"/>
    </xf>
    <xf numFmtId="37" fontId="22" fillId="0" borderId="1" xfId="0" applyNumberFormat="1" applyFont="1" applyFill="1" applyBorder="1" applyProtection="1"/>
    <xf numFmtId="7" fontId="21" fillId="0" borderId="0" xfId="0" applyNumberFormat="1" applyFont="1" applyFill="1" applyProtection="1">
      <protection locked="0"/>
    </xf>
    <xf numFmtId="5" fontId="22" fillId="0" borderId="1" xfId="0" applyNumberFormat="1" applyFont="1" applyFill="1" applyBorder="1" applyProtection="1"/>
    <xf numFmtId="165" fontId="13" fillId="0" borderId="0" xfId="0" applyNumberFormat="1" applyFont="1" applyFill="1" applyBorder="1"/>
    <xf numFmtId="168" fontId="21" fillId="0" borderId="0" xfId="0" applyNumberFormat="1" applyFont="1" applyFill="1" applyProtection="1">
      <protection locked="0"/>
    </xf>
    <xf numFmtId="0" fontId="22" fillId="0" borderId="20" xfId="0" quotePrefix="1" applyFont="1" applyFill="1" applyBorder="1" applyAlignment="1">
      <alignment horizontal="left"/>
    </xf>
    <xf numFmtId="176" fontId="22" fillId="0" borderId="0" xfId="0" applyNumberFormat="1" applyFont="1" applyFill="1" applyProtection="1"/>
    <xf numFmtId="3" fontId="28" fillId="0" borderId="4" xfId="0" quotePrefix="1" applyNumberFormat="1" applyFont="1" applyFill="1" applyBorder="1" applyAlignment="1"/>
    <xf numFmtId="3" fontId="28" fillId="0" borderId="4" xfId="0" applyNumberFormat="1" applyFont="1" applyFill="1" applyBorder="1" applyAlignment="1"/>
    <xf numFmtId="0" fontId="25" fillId="0" borderId="0" xfId="0" applyFont="1" applyAlignment="1">
      <alignment horizontal="right"/>
    </xf>
    <xf numFmtId="3" fontId="22" fillId="0" borderId="0" xfId="0" quotePrefix="1" applyNumberFormat="1" applyFont="1" applyFill="1" applyBorder="1" applyAlignment="1">
      <alignment horizontal="left"/>
    </xf>
    <xf numFmtId="165" fontId="22" fillId="0" borderId="0" xfId="0" applyNumberFormat="1" applyFont="1" applyFill="1"/>
    <xf numFmtId="0" fontId="16" fillId="0" borderId="0" xfId="0" quotePrefix="1" applyFont="1" applyFill="1" applyAlignment="1">
      <alignment horizontal="left"/>
    </xf>
    <xf numFmtId="0" fontId="22" fillId="0" borderId="0" xfId="0" applyFont="1" applyFill="1" applyAlignment="1" applyProtection="1">
      <alignment horizontal="left" indent="1"/>
    </xf>
    <xf numFmtId="0" fontId="29" fillId="0" borderId="6" xfId="0" quotePrefix="1" applyFont="1" applyFill="1" applyBorder="1" applyAlignment="1">
      <alignment horizontal="left"/>
    </xf>
    <xf numFmtId="44" fontId="29" fillId="0" borderId="0" xfId="0" applyNumberFormat="1" applyFont="1" applyFill="1" applyBorder="1"/>
    <xf numFmtId="0" fontId="29" fillId="0" borderId="7" xfId="0" applyFont="1" applyFill="1" applyBorder="1"/>
    <xf numFmtId="0" fontId="29" fillId="0" borderId="8" xfId="0" quotePrefix="1" applyFont="1" applyFill="1" applyBorder="1" applyAlignment="1">
      <alignment horizontal="left"/>
    </xf>
    <xf numFmtId="0" fontId="25" fillId="0" borderId="0" xfId="0" quotePrefix="1" applyFont="1" applyFill="1" applyBorder="1" applyAlignment="1">
      <alignment horizontal="left"/>
    </xf>
    <xf numFmtId="9" fontId="25" fillId="0" borderId="0" xfId="0" applyNumberFormat="1" applyFont="1" applyFill="1" applyBorder="1"/>
    <xf numFmtId="171" fontId="25" fillId="0" borderId="0" xfId="0" applyNumberFormat="1" applyFont="1" applyFill="1" applyBorder="1"/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/>
    </xf>
    <xf numFmtId="5" fontId="21" fillId="0" borderId="4" xfId="0" applyNumberFormat="1" applyFont="1" applyFill="1" applyBorder="1" applyProtection="1"/>
    <xf numFmtId="0" fontId="21" fillId="0" borderId="0" xfId="0" quotePrefix="1" applyFont="1" applyFill="1" applyAlignment="1" applyProtection="1">
      <alignment horizontal="left" indent="3"/>
    </xf>
    <xf numFmtId="0" fontId="21" fillId="0" borderId="0" xfId="0" quotePrefix="1" applyFont="1" applyFill="1" applyAlignment="1" applyProtection="1">
      <alignment horizontal="left" indent="2"/>
    </xf>
    <xf numFmtId="0" fontId="1" fillId="0" borderId="0" xfId="0" quotePrefix="1" applyFont="1" applyFill="1" applyBorder="1" applyAlignment="1">
      <alignment horizontal="left" indent="1"/>
    </xf>
    <xf numFmtId="37" fontId="32" fillId="0" borderId="0" xfId="0" quotePrefix="1" applyNumberFormat="1" applyFont="1" applyFill="1" applyAlignment="1" applyProtection="1">
      <alignment horizontal="center"/>
    </xf>
    <xf numFmtId="0" fontId="32" fillId="0" borderId="0" xfId="0" applyFont="1" applyFill="1"/>
    <xf numFmtId="0" fontId="32" fillId="0" borderId="0" xfId="0" quotePrefix="1" applyFont="1" applyFill="1" applyAlignment="1">
      <alignment horizontal="left"/>
    </xf>
    <xf numFmtId="0" fontId="21" fillId="0" borderId="0" xfId="0" quotePrefix="1" applyFont="1" applyFill="1" applyAlignment="1" applyProtection="1">
      <alignment horizontal="left" indent="4"/>
    </xf>
    <xf numFmtId="37" fontId="19" fillId="0" borderId="24" xfId="0" applyNumberFormat="1" applyFont="1" applyFill="1" applyBorder="1" applyAlignment="1" applyProtection="1">
      <alignment horizontal="center" wrapText="1"/>
    </xf>
    <xf numFmtId="0" fontId="32" fillId="0" borderId="25" xfId="0" applyFont="1" applyFill="1" applyBorder="1" applyAlignment="1">
      <alignment horizontal="center" wrapText="1"/>
    </xf>
    <xf numFmtId="37" fontId="19" fillId="0" borderId="25" xfId="0" applyNumberFormat="1" applyFont="1" applyFill="1" applyBorder="1" applyAlignment="1" applyProtection="1">
      <alignment horizontal="center" wrapText="1"/>
    </xf>
    <xf numFmtId="37" fontId="19" fillId="0" borderId="25" xfId="0" quotePrefix="1" applyNumberFormat="1" applyFont="1" applyFill="1" applyBorder="1" applyAlignment="1" applyProtection="1">
      <alignment horizontal="center" wrapText="1"/>
    </xf>
    <xf numFmtId="37" fontId="19" fillId="0" borderId="26" xfId="0" quotePrefix="1" applyNumberFormat="1" applyFont="1" applyFill="1" applyBorder="1" applyAlignment="1" applyProtection="1">
      <alignment horizontal="center" wrapText="1"/>
    </xf>
    <xf numFmtId="3" fontId="17" fillId="0" borderId="0" xfId="0" applyNumberFormat="1" applyFont="1" applyFill="1" applyAlignment="1">
      <alignment wrapText="1"/>
    </xf>
    <xf numFmtId="0" fontId="17" fillId="0" borderId="0" xfId="0" applyFont="1" applyFill="1" applyAlignment="1">
      <alignment wrapText="1"/>
    </xf>
    <xf numFmtId="44" fontId="0" fillId="0" borderId="0" xfId="0" applyNumberFormat="1" applyFont="1" applyFill="1"/>
    <xf numFmtId="10" fontId="17" fillId="0" borderId="0" xfId="0" applyNumberFormat="1" applyFont="1" applyFill="1"/>
    <xf numFmtId="171" fontId="23" fillId="0" borderId="0" xfId="0" quotePrefix="1" applyNumberFormat="1" applyFont="1" applyFill="1" applyAlignment="1" applyProtection="1">
      <alignment horizontal="left"/>
      <protection locked="0"/>
    </xf>
    <xf numFmtId="44" fontId="24" fillId="0" borderId="0" xfId="0" applyNumberFormat="1" applyFont="1" applyFill="1" applyProtection="1">
      <protection locked="0"/>
    </xf>
    <xf numFmtId="9" fontId="1" fillId="0" borderId="0" xfId="0" applyNumberFormat="1" applyFont="1" applyFill="1"/>
    <xf numFmtId="44" fontId="1" fillId="0" borderId="0" xfId="0" applyNumberFormat="1" applyFont="1" applyFill="1"/>
    <xf numFmtId="7" fontId="23" fillId="0" borderId="0" xfId="0" applyNumberFormat="1" applyFont="1" applyFill="1" applyProtection="1"/>
    <xf numFmtId="7" fontId="22" fillId="0" borderId="0" xfId="0" applyNumberFormat="1" applyFont="1" applyFill="1" applyProtection="1"/>
    <xf numFmtId="164" fontId="4" fillId="0" borderId="0" xfId="0" applyNumberFormat="1" applyFont="1"/>
    <xf numFmtId="0" fontId="16" fillId="0" borderId="0" xfId="0" applyNumberFormat="1" applyFont="1" applyFill="1" applyAlignment="1">
      <alignment horizontal="right"/>
    </xf>
    <xf numFmtId="0" fontId="22" fillId="0" borderId="0" xfId="0" applyFont="1" applyFill="1" applyAlignment="1">
      <alignment horizontal="left"/>
    </xf>
    <xf numFmtId="0" fontId="0" fillId="0" borderId="0" xfId="0" applyFill="1" applyBorder="1"/>
    <xf numFmtId="3" fontId="0" fillId="0" borderId="0" xfId="0" applyNumberFormat="1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horizontal="left" wrapText="1"/>
    </xf>
    <xf numFmtId="164" fontId="21" fillId="0" borderId="0" xfId="1" applyNumberFormat="1" applyFont="1" applyFill="1" applyProtection="1"/>
    <xf numFmtId="0" fontId="0" fillId="0" borderId="0" xfId="0" applyFill="1" applyProtection="1"/>
    <xf numFmtId="0" fontId="0" fillId="0" borderId="20" xfId="0" applyFill="1" applyBorder="1"/>
    <xf numFmtId="170" fontId="0" fillId="0" borderId="5" xfId="0" applyNumberFormat="1" applyFill="1" applyBorder="1"/>
    <xf numFmtId="10" fontId="0" fillId="0" borderId="21" xfId="3" applyNumberFormat="1" applyFont="1" applyFill="1" applyBorder="1"/>
    <xf numFmtId="37" fontId="0" fillId="0" borderId="0" xfId="0" applyNumberFormat="1" applyFont="1" applyFill="1" applyBorder="1" applyProtection="1"/>
    <xf numFmtId="0" fontId="0" fillId="0" borderId="14" xfId="0" applyFill="1" applyBorder="1"/>
    <xf numFmtId="170" fontId="0" fillId="0" borderId="4" xfId="2" applyNumberFormat="1" applyFont="1" applyFill="1" applyBorder="1"/>
    <xf numFmtId="0" fontId="0" fillId="0" borderId="16" xfId="0" applyFill="1" applyBorder="1"/>
    <xf numFmtId="165" fontId="21" fillId="0" borderId="0" xfId="2" applyNumberFormat="1" applyFont="1" applyFill="1" applyProtection="1"/>
    <xf numFmtId="10" fontId="22" fillId="0" borderId="21" xfId="3" applyNumberFormat="1" applyFont="1" applyFill="1" applyBorder="1"/>
    <xf numFmtId="164" fontId="22" fillId="0" borderId="0" xfId="1" applyNumberFormat="1" applyFont="1" applyFill="1" applyBorder="1" applyProtection="1"/>
    <xf numFmtId="169" fontId="22" fillId="0" borderId="16" xfId="3" applyNumberFormat="1" applyFont="1" applyFill="1" applyBorder="1"/>
    <xf numFmtId="171" fontId="22" fillId="0" borderId="0" xfId="2" applyNumberFormat="1" applyFont="1" applyFill="1" applyProtection="1"/>
    <xf numFmtId="171" fontId="25" fillId="0" borderId="0" xfId="2" applyNumberFormat="1" applyFont="1" applyFill="1"/>
    <xf numFmtId="10" fontId="27" fillId="0" borderId="0" xfId="4" applyNumberFormat="1" applyFont="1" applyFill="1" applyBorder="1"/>
    <xf numFmtId="7" fontId="22" fillId="0" borderId="0" xfId="4" applyNumberFormat="1" applyFont="1" applyFill="1" applyBorder="1"/>
    <xf numFmtId="177" fontId="22" fillId="0" borderId="16" xfId="3" applyNumberFormat="1" applyFont="1" applyFill="1" applyBorder="1"/>
    <xf numFmtId="171" fontId="13" fillId="0" borderId="0" xfId="2" applyNumberFormat="1" applyFont="1" applyFill="1" applyBorder="1"/>
    <xf numFmtId="0" fontId="0" fillId="0" borderId="0" xfId="0" quotePrefix="1" applyAlignment="1">
      <alignment horizontal="left"/>
    </xf>
    <xf numFmtId="165" fontId="13" fillId="0" borderId="0" xfId="2" applyNumberFormat="1" applyFont="1" applyFill="1"/>
    <xf numFmtId="165" fontId="13" fillId="0" borderId="0" xfId="2" applyNumberFormat="1" applyFont="1" applyFill="1" applyBorder="1"/>
    <xf numFmtId="169" fontId="13" fillId="0" borderId="0" xfId="3" applyNumberFormat="1" applyFont="1" applyFill="1"/>
    <xf numFmtId="9" fontId="13" fillId="0" borderId="0" xfId="3" applyFont="1" applyFill="1"/>
    <xf numFmtId="44" fontId="13" fillId="0" borderId="0" xfId="2" applyFont="1" applyFill="1" applyBorder="1"/>
    <xf numFmtId="10" fontId="29" fillId="3" borderId="0" xfId="3" applyNumberFormat="1" applyFont="1" applyFill="1" applyBorder="1"/>
    <xf numFmtId="44" fontId="29" fillId="0" borderId="7" xfId="2" applyFont="1" applyFill="1" applyBorder="1"/>
    <xf numFmtId="10" fontId="29" fillId="0" borderId="0" xfId="3" applyNumberFormat="1" applyFont="1" applyBorder="1"/>
    <xf numFmtId="171" fontId="29" fillId="0" borderId="7" xfId="2" applyNumberFormat="1" applyFont="1" applyFill="1" applyBorder="1"/>
    <xf numFmtId="10" fontId="29" fillId="0" borderId="2" xfId="3" applyNumberFormat="1" applyFont="1" applyBorder="1"/>
    <xf numFmtId="168" fontId="29" fillId="0" borderId="9" xfId="2" applyNumberFormat="1" applyFont="1" applyFill="1" applyBorder="1"/>
    <xf numFmtId="10" fontId="25" fillId="0" borderId="0" xfId="3" applyNumberFormat="1" applyFont="1" applyBorder="1"/>
    <xf numFmtId="167" fontId="25" fillId="0" borderId="0" xfId="3" applyNumberFormat="1" applyFont="1" applyBorder="1"/>
    <xf numFmtId="171" fontId="21" fillId="0" borderId="0" xfId="2" applyNumberFormat="1" applyFont="1" applyFill="1" applyProtection="1">
      <protection locked="0"/>
    </xf>
    <xf numFmtId="168" fontId="21" fillId="0" borderId="0" xfId="2" applyNumberFormat="1" applyFont="1" applyFill="1" applyProtection="1">
      <protection locked="0"/>
    </xf>
    <xf numFmtId="37" fontId="0" fillId="0" borderId="0" xfId="0" applyNumberFormat="1" applyFill="1" applyProtection="1"/>
    <xf numFmtId="5" fontId="0" fillId="0" borderId="0" xfId="0" applyNumberFormat="1" applyFill="1" applyProtection="1"/>
    <xf numFmtId="0" fontId="0" fillId="0" borderId="0" xfId="0" applyFont="1" applyFill="1" applyProtection="1"/>
    <xf numFmtId="37" fontId="0" fillId="0" borderId="0" xfId="0" applyNumberFormat="1" applyFont="1" applyFill="1" applyProtection="1"/>
    <xf numFmtId="5" fontId="0" fillId="0" borderId="0" xfId="0" applyNumberFormat="1" applyFont="1" applyFill="1" applyProtection="1"/>
    <xf numFmtId="37" fontId="0" fillId="0" borderId="1" xfId="0" applyNumberFormat="1" applyFont="1" applyFill="1" applyBorder="1" applyProtection="1"/>
    <xf numFmtId="7" fontId="30" fillId="0" borderId="0" xfId="4" applyNumberFormat="1" applyFont="1" applyFill="1" applyBorder="1"/>
    <xf numFmtId="5" fontId="0" fillId="0" borderId="1" xfId="0" applyNumberFormat="1" applyFont="1" applyFill="1" applyBorder="1" applyProtection="1"/>
    <xf numFmtId="10" fontId="31" fillId="0" borderId="0" xfId="4" applyNumberFormat="1" applyFont="1" applyFill="1" applyBorder="1"/>
    <xf numFmtId="5" fontId="0" fillId="0" borderId="19" xfId="0" applyNumberFormat="1" applyFont="1" applyFill="1" applyBorder="1" applyProtection="1"/>
    <xf numFmtId="5" fontId="0" fillId="0" borderId="0" xfId="0" applyNumberFormat="1" applyFont="1" applyFill="1" applyBorder="1" applyProtection="1"/>
    <xf numFmtId="176" fontId="0" fillId="0" borderId="0" xfId="0" applyNumberFormat="1" applyFont="1" applyFill="1" applyProtection="1"/>
    <xf numFmtId="0" fontId="0" fillId="0" borderId="20" xfId="0" quotePrefix="1" applyFill="1" applyBorder="1" applyAlignment="1">
      <alignment horizontal="left"/>
    </xf>
    <xf numFmtId="5" fontId="0" fillId="0" borderId="5" xfId="0" applyNumberFormat="1" applyFill="1" applyBorder="1"/>
    <xf numFmtId="5" fontId="0" fillId="0" borderId="4" xfId="0" applyNumberFormat="1" applyFill="1" applyBorder="1"/>
    <xf numFmtId="0" fontId="0" fillId="0" borderId="13" xfId="0" applyFill="1" applyBorder="1"/>
    <xf numFmtId="5" fontId="0" fillId="0" borderId="0" xfId="0" applyNumberFormat="1" applyFill="1" applyBorder="1"/>
    <xf numFmtId="0" fontId="0" fillId="0" borderId="15" xfId="0" applyFill="1" applyBorder="1"/>
    <xf numFmtId="10" fontId="0" fillId="0" borderId="15" xfId="3" applyNumberFormat="1" applyFont="1" applyFill="1" applyBorder="1"/>
    <xf numFmtId="0" fontId="0" fillId="0" borderId="14" xfId="0" quotePrefix="1" applyFill="1" applyBorder="1" applyAlignment="1">
      <alignment horizontal="left"/>
    </xf>
    <xf numFmtId="44" fontId="0" fillId="0" borderId="0" xfId="2" applyNumberFormat="1" applyFont="1" applyFill="1" applyBorder="1" applyProtection="1"/>
    <xf numFmtId="0" fontId="0" fillId="0" borderId="0" xfId="0" applyFill="1" applyAlignment="1">
      <alignment horizontal="left"/>
    </xf>
    <xf numFmtId="5" fontId="0" fillId="0" borderId="20" xfId="0" applyNumberFormat="1" applyFill="1" applyBorder="1"/>
    <xf numFmtId="0" fontId="0" fillId="0" borderId="5" xfId="0" applyFill="1" applyBorder="1"/>
    <xf numFmtId="5" fontId="0" fillId="0" borderId="13" xfId="0" applyNumberFormat="1" applyFill="1" applyBorder="1"/>
    <xf numFmtId="10" fontId="0" fillId="0" borderId="14" xfId="3" applyNumberFormat="1" applyFont="1" applyFill="1" applyBorder="1"/>
    <xf numFmtId="0" fontId="0" fillId="0" borderId="4" xfId="0" quotePrefix="1" applyFill="1" applyBorder="1" applyAlignment="1">
      <alignment horizontal="left" wrapText="1"/>
    </xf>
    <xf numFmtId="3" fontId="0" fillId="0" borderId="4" xfId="0" applyNumberFormat="1" applyFill="1" applyBorder="1"/>
    <xf numFmtId="9" fontId="0" fillId="0" borderId="0" xfId="3" applyNumberFormat="1" applyFont="1" applyFill="1" applyProtection="1"/>
    <xf numFmtId="10" fontId="0" fillId="0" borderId="0" xfId="3" applyNumberFormat="1" applyFont="1" applyFill="1" applyProtection="1"/>
    <xf numFmtId="37" fontId="0" fillId="0" borderId="0" xfId="0" quotePrefix="1" applyNumberFormat="1" applyFont="1" applyFill="1" applyAlignment="1" applyProtection="1">
      <alignment horizontal="center"/>
    </xf>
    <xf numFmtId="44" fontId="0" fillId="0" borderId="0" xfId="0" applyNumberFormat="1" applyFill="1"/>
    <xf numFmtId="0" fontId="0" fillId="0" borderId="0" xfId="0" quotePrefix="1" applyFill="1" applyAlignment="1">
      <alignment horizontal="left"/>
    </xf>
    <xf numFmtId="171" fontId="0" fillId="0" borderId="0" xfId="2" applyNumberFormat="1" applyFont="1" applyFill="1"/>
    <xf numFmtId="171" fontId="0" fillId="0" borderId="0" xfId="0" applyNumberFormat="1" applyFill="1"/>
    <xf numFmtId="0" fontId="0" fillId="0" borderId="25" xfId="0" applyFill="1" applyBorder="1" applyAlignment="1">
      <alignment wrapText="1"/>
    </xf>
    <xf numFmtId="3" fontId="0" fillId="0" borderId="0" xfId="0" applyNumberFormat="1" applyFill="1" applyAlignment="1">
      <alignment wrapText="1"/>
    </xf>
    <xf numFmtId="0" fontId="0" fillId="0" borderId="24" xfId="0" applyFill="1" applyBorder="1"/>
    <xf numFmtId="0" fontId="0" fillId="0" borderId="25" xfId="0" applyFill="1" applyBorder="1"/>
    <xf numFmtId="44" fontId="0" fillId="0" borderId="25" xfId="0" applyNumberFormat="1" applyFill="1" applyBorder="1"/>
    <xf numFmtId="9" fontId="0" fillId="0" borderId="25" xfId="3" applyNumberFormat="1" applyFont="1" applyFill="1" applyBorder="1" applyProtection="1"/>
    <xf numFmtId="44" fontId="0" fillId="0" borderId="26" xfId="0" applyNumberFormat="1" applyFill="1" applyBorder="1"/>
    <xf numFmtId="44" fontId="0" fillId="0" borderId="0" xfId="2" applyFont="1" applyFill="1"/>
    <xf numFmtId="0" fontId="0" fillId="0" borderId="6" xfId="0" applyFill="1" applyBorder="1"/>
    <xf numFmtId="44" fontId="0" fillId="0" borderId="0" xfId="0" applyNumberFormat="1" applyFill="1" applyBorder="1"/>
    <xf numFmtId="9" fontId="0" fillId="0" borderId="0" xfId="3" applyNumberFormat="1" applyFont="1" applyFill="1" applyBorder="1" applyProtection="1"/>
    <xf numFmtId="44" fontId="0" fillId="0" borderId="7" xfId="0" applyNumberFormat="1" applyFill="1" applyBorder="1"/>
    <xf numFmtId="0" fontId="0" fillId="0" borderId="6" xfId="0" quotePrefix="1" applyFill="1" applyBorder="1" applyAlignment="1">
      <alignment horizontal="left"/>
    </xf>
    <xf numFmtId="3" fontId="0" fillId="0" borderId="7" xfId="0" applyNumberFormat="1" applyFill="1" applyBorder="1"/>
    <xf numFmtId="0" fontId="0" fillId="0" borderId="8" xfId="0" quotePrefix="1" applyFill="1" applyBorder="1" applyAlignment="1">
      <alignment horizontal="left"/>
    </xf>
    <xf numFmtId="0" fontId="0" fillId="0" borderId="2" xfId="0" applyFill="1" applyBorder="1"/>
    <xf numFmtId="3" fontId="0" fillId="0" borderId="9" xfId="0" applyNumberFormat="1" applyFill="1" applyBorder="1"/>
    <xf numFmtId="10" fontId="0" fillId="0" borderId="0" xfId="0" applyNumberFormat="1" applyFill="1"/>
    <xf numFmtId="37" fontId="0" fillId="0" borderId="4" xfId="0" applyNumberFormat="1" applyFont="1" applyFill="1" applyBorder="1" applyProtection="1"/>
    <xf numFmtId="10" fontId="22" fillId="0" borderId="0" xfId="3" applyNumberFormat="1" applyFont="1" applyFill="1"/>
    <xf numFmtId="164" fontId="0" fillId="0" borderId="0" xfId="0" applyNumberFormat="1" applyFont="1" applyFill="1" applyBorder="1" applyProtection="1"/>
    <xf numFmtId="171" fontId="1" fillId="0" borderId="0" xfId="2" applyNumberFormat="1" applyFont="1" applyFill="1"/>
    <xf numFmtId="165" fontId="0" fillId="0" borderId="20" xfId="2" applyNumberFormat="1" applyFont="1" applyFill="1" applyBorder="1"/>
    <xf numFmtId="165" fontId="0" fillId="0" borderId="13" xfId="2" applyNumberFormat="1" applyFont="1" applyFill="1" applyBorder="1"/>
    <xf numFmtId="165" fontId="0" fillId="0" borderId="14" xfId="0" applyNumberFormat="1" applyFill="1" applyBorder="1"/>
    <xf numFmtId="0" fontId="0" fillId="0" borderId="13" xfId="0" quotePrefix="1" applyFill="1" applyBorder="1" applyAlignment="1">
      <alignment horizontal="left"/>
    </xf>
    <xf numFmtId="3" fontId="0" fillId="0" borderId="15" xfId="0" applyNumberFormat="1" applyFill="1" applyBorder="1"/>
    <xf numFmtId="0" fontId="14" fillId="0" borderId="0" xfId="0" applyNumberFormat="1" applyFont="1" applyFill="1" applyAlignment="1">
      <alignment horizontal="left"/>
    </xf>
    <xf numFmtId="0" fontId="34" fillId="0" borderId="0" xfId="0" applyNumberFormat="1" applyFont="1" applyAlignment="1"/>
    <xf numFmtId="0" fontId="14" fillId="0" borderId="0" xfId="0" applyFont="1" applyFill="1" applyAlignment="1">
      <alignment horizontal="left"/>
    </xf>
    <xf numFmtId="0" fontId="10" fillId="0" borderId="0" xfId="0" applyNumberFormat="1" applyFont="1" applyFill="1" applyAlignment="1"/>
    <xf numFmtId="0" fontId="2" fillId="0" borderId="0" xfId="0" applyNumberFormat="1" applyFont="1" applyFill="1" applyAlignment="1">
      <alignment horizontal="left"/>
    </xf>
    <xf numFmtId="41" fontId="34" fillId="0" borderId="0" xfId="0" applyNumberFormat="1" applyFont="1" applyAlignment="1"/>
    <xf numFmtId="180" fontId="16" fillId="0" borderId="0" xfId="0" applyNumberFormat="1" applyFont="1" applyFill="1" applyBorder="1" applyAlignment="1"/>
    <xf numFmtId="0" fontId="35" fillId="0" borderId="0" xfId="0" applyNumberFormat="1" applyFont="1" applyFill="1" applyAlignment="1">
      <alignment horizontal="center"/>
    </xf>
    <xf numFmtId="0" fontId="35" fillId="0" borderId="0" xfId="0" quotePrefix="1" applyNumberFormat="1" applyFont="1" applyFill="1" applyAlignment="1">
      <alignment horizontal="left"/>
    </xf>
    <xf numFmtId="0" fontId="36" fillId="0" borderId="0" xfId="0" applyNumberFormat="1" applyFont="1" applyFill="1" applyBorder="1" applyAlignment="1">
      <alignment horizontal="center"/>
    </xf>
    <xf numFmtId="0" fontId="37" fillId="0" borderId="0" xfId="0" applyNumberFormat="1" applyFont="1" applyAlignment="1"/>
    <xf numFmtId="0" fontId="35" fillId="0" borderId="0" xfId="0" applyNumberFormat="1" applyFont="1" applyFill="1" applyAlignment="1">
      <alignment horizontal="left"/>
    </xf>
    <xf numFmtId="165" fontId="35" fillId="0" borderId="0" xfId="0" applyNumberFormat="1" applyFont="1" applyFill="1" applyBorder="1" applyAlignment="1"/>
    <xf numFmtId="0" fontId="35" fillId="0" borderId="0" xfId="0" applyNumberFormat="1" applyFont="1" applyAlignment="1"/>
    <xf numFmtId="164" fontId="35" fillId="0" borderId="0" xfId="0" applyNumberFormat="1" applyFont="1" applyFill="1" applyAlignment="1">
      <alignment horizontal="right"/>
    </xf>
    <xf numFmtId="164" fontId="35" fillId="0" borderId="0" xfId="0" applyNumberFormat="1" applyFont="1" applyFill="1" applyBorder="1" applyAlignment="1">
      <alignment horizontal="right"/>
    </xf>
    <xf numFmtId="164" fontId="35" fillId="0" borderId="0" xfId="0" applyNumberFormat="1" applyFont="1" applyAlignment="1"/>
    <xf numFmtId="43" fontId="35" fillId="0" borderId="0" xfId="0" applyNumberFormat="1" applyFont="1" applyAlignment="1"/>
    <xf numFmtId="0" fontId="35" fillId="0" borderId="0" xfId="0" applyNumberFormat="1" applyFont="1" applyFill="1" applyAlignment="1"/>
    <xf numFmtId="165" fontId="35" fillId="0" borderId="5" xfId="0" applyNumberFormat="1" applyFont="1" applyFill="1" applyBorder="1" applyAlignment="1">
      <alignment horizontal="right"/>
    </xf>
    <xf numFmtId="10" fontId="35" fillId="0" borderId="0" xfId="0" applyNumberFormat="1" applyFont="1" applyAlignment="1"/>
    <xf numFmtId="43" fontId="35" fillId="0" borderId="0" xfId="0" applyNumberFormat="1" applyFont="1" applyFill="1" applyAlignment="1">
      <alignment horizontal="right"/>
    </xf>
    <xf numFmtId="165" fontId="35" fillId="0" borderId="0" xfId="0" applyNumberFormat="1" applyFont="1" applyFill="1" applyAlignment="1">
      <alignment horizontal="left"/>
    </xf>
    <xf numFmtId="43" fontId="35" fillId="0" borderId="0" xfId="0" applyNumberFormat="1" applyFont="1" applyFill="1" applyAlignment="1">
      <alignment horizontal="left"/>
    </xf>
    <xf numFmtId="0" fontId="35" fillId="0" borderId="0" xfId="0" applyNumberFormat="1" applyFont="1" applyFill="1" applyBorder="1" applyAlignment="1">
      <alignment horizontal="center"/>
    </xf>
    <xf numFmtId="164" fontId="35" fillId="0" borderId="0" xfId="0" applyNumberFormat="1" applyFont="1" applyFill="1" applyBorder="1" applyAlignment="1">
      <alignment horizontal="center"/>
    </xf>
    <xf numFmtId="178" fontId="35" fillId="0" borderId="0" xfId="0" applyNumberFormat="1" applyFont="1" applyFill="1" applyBorder="1" applyAlignment="1"/>
    <xf numFmtId="164" fontId="35" fillId="0" borderId="0" xfId="0" applyNumberFormat="1" applyFont="1" applyFill="1" applyAlignment="1">
      <alignment horizontal="center"/>
    </xf>
    <xf numFmtId="165" fontId="35" fillId="0" borderId="0" xfId="0" applyNumberFormat="1" applyFont="1" applyAlignment="1"/>
    <xf numFmtId="164" fontId="35" fillId="0" borderId="0" xfId="0" applyNumberFormat="1" applyFont="1" applyFill="1" applyBorder="1" applyAlignment="1"/>
    <xf numFmtId="0" fontId="35" fillId="0" borderId="0" xfId="0" applyNumberFormat="1" applyFont="1" applyFill="1" applyBorder="1" applyAlignment="1">
      <alignment horizontal="left" indent="1"/>
    </xf>
    <xf numFmtId="0" fontId="35" fillId="0" borderId="0" xfId="0" applyNumberFormat="1" applyFont="1" applyFill="1" applyAlignment="1">
      <alignment horizontal="center" vertical="top"/>
    </xf>
    <xf numFmtId="0" fontId="35" fillId="0" borderId="0" xfId="0" applyNumberFormat="1" applyFont="1" applyFill="1" applyAlignment="1">
      <alignment vertical="top"/>
    </xf>
    <xf numFmtId="0" fontId="35" fillId="0" borderId="0" xfId="0" quotePrefix="1" applyNumberFormat="1" applyFont="1" applyFill="1" applyBorder="1" applyAlignment="1">
      <alignment horizontal="left"/>
    </xf>
    <xf numFmtId="0" fontId="38" fillId="0" borderId="0" xfId="0" applyNumberFormat="1" applyFont="1" applyAlignment="1"/>
    <xf numFmtId="0" fontId="37" fillId="0" borderId="0" xfId="0" applyNumberFormat="1" applyFont="1" applyFill="1" applyAlignment="1"/>
    <xf numFmtId="0" fontId="35" fillId="0" borderId="0" xfId="0" applyNumberFormat="1" applyFont="1" applyFill="1" applyAlignment="1">
      <alignment horizontal="left" vertical="center" indent="1"/>
    </xf>
    <xf numFmtId="165" fontId="35" fillId="0" borderId="5" xfId="0" applyNumberFormat="1" applyFont="1" applyFill="1" applyBorder="1" applyAlignment="1"/>
    <xf numFmtId="178" fontId="35" fillId="0" borderId="5" xfId="0" applyNumberFormat="1" applyFont="1" applyBorder="1" applyAlignment="1"/>
    <xf numFmtId="179" fontId="35" fillId="0" borderId="0" xfId="0" applyNumberFormat="1" applyFont="1" applyFill="1" applyAlignment="1">
      <alignment horizontal="right"/>
    </xf>
    <xf numFmtId="179" fontId="35" fillId="0" borderId="0" xfId="0" applyNumberFormat="1" applyFont="1" applyAlignment="1"/>
    <xf numFmtId="164" fontId="35" fillId="0" borderId="0" xfId="5" applyNumberFormat="1" applyFont="1" applyFill="1" applyBorder="1"/>
    <xf numFmtId="0" fontId="35" fillId="0" borderId="0" xfId="0" applyNumberFormat="1" applyFont="1" applyAlignment="1">
      <alignment horizontal="center" wrapText="1"/>
    </xf>
    <xf numFmtId="165" fontId="37" fillId="0" borderId="0" xfId="0" applyNumberFormat="1" applyFont="1" applyAlignment="1"/>
    <xf numFmtId="178" fontId="35" fillId="0" borderId="0" xfId="0" applyNumberFormat="1" applyFont="1" applyBorder="1" applyAlignment="1"/>
    <xf numFmtId="0" fontId="15" fillId="0" borderId="0" xfId="0" applyFont="1" applyFill="1" applyBorder="1" applyAlignment="1"/>
    <xf numFmtId="173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0" fontId="39" fillId="0" borderId="0" xfId="0" applyNumberFormat="1" applyFont="1" applyFill="1" applyBorder="1" applyAlignment="1">
      <alignment horizontal="center"/>
    </xf>
    <xf numFmtId="173" fontId="40" fillId="0" borderId="24" xfId="0" applyNumberFormat="1" applyFont="1" applyFill="1" applyBorder="1" applyAlignment="1">
      <alignment horizontal="left"/>
    </xf>
    <xf numFmtId="0" fontId="39" fillId="0" borderId="25" xfId="0" applyNumberFormat="1" applyFont="1" applyFill="1" applyBorder="1" applyAlignment="1"/>
    <xf numFmtId="0" fontId="40" fillId="0" borderId="25" xfId="0" applyNumberFormat="1" applyFont="1" applyFill="1" applyBorder="1" applyAlignment="1">
      <alignment horizontal="center"/>
    </xf>
    <xf numFmtId="181" fontId="40" fillId="0" borderId="26" xfId="0" applyNumberFormat="1" applyFont="1" applyFill="1" applyBorder="1" applyAlignment="1"/>
    <xf numFmtId="173" fontId="39" fillId="0" borderId="27" xfId="0" applyNumberFormat="1" applyFont="1" applyFill="1" applyBorder="1" applyAlignment="1">
      <alignment horizontal="left"/>
    </xf>
    <xf numFmtId="0" fontId="39" fillId="0" borderId="5" xfId="0" applyNumberFormat="1" applyFont="1" applyFill="1" applyBorder="1" applyAlignment="1">
      <alignment horizontal="center"/>
    </xf>
    <xf numFmtId="41" fontId="39" fillId="0" borderId="5" xfId="0" applyNumberFormat="1" applyFont="1" applyFill="1" applyBorder="1" applyAlignment="1"/>
    <xf numFmtId="164" fontId="39" fillId="0" borderId="28" xfId="0" applyNumberFormat="1" applyFont="1" applyFill="1" applyBorder="1" applyAlignment="1"/>
    <xf numFmtId="173" fontId="39" fillId="0" borderId="6" xfId="0" applyNumberFormat="1" applyFont="1" applyFill="1" applyBorder="1" applyAlignment="1">
      <alignment horizontal="left"/>
    </xf>
    <xf numFmtId="41" fontId="39" fillId="0" borderId="0" xfId="0" applyNumberFormat="1" applyFont="1" applyFill="1" applyBorder="1" applyAlignment="1"/>
    <xf numFmtId="41" fontId="39" fillId="0" borderId="7" xfId="0" applyNumberFormat="1" applyFont="1" applyFill="1" applyBorder="1" applyAlignment="1"/>
    <xf numFmtId="0" fontId="39" fillId="0" borderId="6" xfId="0" applyNumberFormat="1" applyFont="1" applyFill="1" applyBorder="1" applyAlignment="1"/>
    <xf numFmtId="41" fontId="39" fillId="0" borderId="4" xfId="0" applyNumberFormat="1" applyFont="1" applyFill="1" applyBorder="1" applyAlignment="1"/>
    <xf numFmtId="41" fontId="39" fillId="0" borderId="29" xfId="0" applyNumberFormat="1" applyFont="1" applyFill="1" applyBorder="1" applyAlignment="1"/>
    <xf numFmtId="0" fontId="39" fillId="0" borderId="0" xfId="0" applyNumberFormat="1" applyFont="1" applyFill="1" applyBorder="1" applyAlignment="1"/>
    <xf numFmtId="0" fontId="39" fillId="0" borderId="8" xfId="0" applyNumberFormat="1" applyFont="1" applyBorder="1" applyAlignment="1"/>
    <xf numFmtId="0" fontId="39" fillId="0" borderId="2" xfId="0" applyNumberFormat="1" applyFont="1" applyBorder="1" applyAlignment="1">
      <alignment horizontal="right"/>
    </xf>
    <xf numFmtId="41" fontId="39" fillId="0" borderId="2" xfId="0" applyNumberFormat="1" applyFont="1" applyBorder="1" applyAlignment="1"/>
    <xf numFmtId="10" fontId="39" fillId="0" borderId="9" xfId="0" applyNumberFormat="1" applyFont="1" applyBorder="1" applyAlignment="1"/>
    <xf numFmtId="0" fontId="0" fillId="0" borderId="0" xfId="0" applyNumberFormat="1" applyFont="1" applyAlignment="1"/>
    <xf numFmtId="0" fontId="0" fillId="0" borderId="0" xfId="0" applyAlignment="1">
      <alignment horizontal="center"/>
    </xf>
    <xf numFmtId="164" fontId="0" fillId="0" borderId="0" xfId="0" applyNumberFormat="1" applyFont="1" applyFill="1"/>
    <xf numFmtId="16" fontId="0" fillId="0" borderId="0" xfId="0" quotePrefix="1" applyNumberForma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 indent="1"/>
    </xf>
    <xf numFmtId="164" fontId="0" fillId="0" borderId="0" xfId="0" applyNumberFormat="1"/>
    <xf numFmtId="164" fontId="0" fillId="0" borderId="0" xfId="1" applyNumberFormat="1" applyFont="1"/>
    <xf numFmtId="0" fontId="2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8" fillId="0" borderId="0" xfId="0" quotePrefix="1" applyNumberFormat="1" applyFont="1" applyFill="1" applyAlignment="1">
      <alignment horizontal="center"/>
    </xf>
    <xf numFmtId="0" fontId="19" fillId="0" borderId="0" xfId="0" quotePrefix="1" applyFont="1" applyFill="1" applyAlignment="1" applyProtection="1">
      <alignment horizontal="center"/>
    </xf>
    <xf numFmtId="0" fontId="19" fillId="0" borderId="10" xfId="0" applyFont="1" applyFill="1" applyBorder="1" applyAlignment="1" applyProtection="1">
      <alignment horizontal="center"/>
    </xf>
    <xf numFmtId="0" fontId="19" fillId="0" borderId="1" xfId="0" applyFont="1" applyFill="1" applyBorder="1" applyAlignment="1" applyProtection="1">
      <alignment horizontal="center"/>
    </xf>
    <xf numFmtId="0" fontId="19" fillId="0" borderId="11" xfId="0" applyFont="1" applyFill="1" applyBorder="1" applyAlignment="1" applyProtection="1">
      <alignment horizontal="center"/>
    </xf>
    <xf numFmtId="0" fontId="19" fillId="0" borderId="10" xfId="0" quotePrefix="1" applyFont="1" applyFill="1" applyBorder="1" applyAlignment="1" applyProtection="1">
      <alignment horizontal="center"/>
    </xf>
    <xf numFmtId="0" fontId="0" fillId="0" borderId="0" xfId="0" quotePrefix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22" fillId="0" borderId="0" xfId="0" applyFont="1" applyFill="1" applyAlignment="1">
      <alignment horizontal="left"/>
    </xf>
    <xf numFmtId="0" fontId="26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13" fillId="0" borderId="0" xfId="0" quotePrefix="1" applyFont="1" applyFill="1" applyAlignment="1">
      <alignment horizontal="left"/>
    </xf>
    <xf numFmtId="0" fontId="29" fillId="0" borderId="22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9" fillId="0" borderId="23" xfId="0" applyFon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0" fontId="19" fillId="0" borderId="1" xfId="0" quotePrefix="1" applyFont="1" applyFill="1" applyBorder="1" applyAlignment="1" applyProtection="1">
      <alignment horizontal="center"/>
    </xf>
    <xf numFmtId="0" fontId="19" fillId="0" borderId="11" xfId="0" quotePrefix="1" applyFont="1" applyFill="1" applyBorder="1" applyAlignment="1" applyProtection="1">
      <alignment horizontal="center"/>
    </xf>
    <xf numFmtId="0" fontId="0" fillId="0" borderId="5" xfId="0" applyFill="1" applyBorder="1" applyAlignment="1">
      <alignment horizontal="left"/>
    </xf>
    <xf numFmtId="0" fontId="0" fillId="0" borderId="21" xfId="0" applyFill="1" applyBorder="1" applyAlignment="1">
      <alignment horizontal="left"/>
    </xf>
    <xf numFmtId="0" fontId="0" fillId="0" borderId="0" xfId="0" quotePrefix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15" xfId="0" applyFill="1" applyBorder="1" applyAlignment="1">
      <alignment horizontal="left" wrapText="1"/>
    </xf>
    <xf numFmtId="3" fontId="0" fillId="0" borderId="0" xfId="0" quotePrefix="1" applyNumberFormat="1" applyFill="1" applyBorder="1" applyAlignment="1">
      <alignment horizontal="left"/>
    </xf>
    <xf numFmtId="3" fontId="0" fillId="0" borderId="15" xfId="0" quotePrefix="1" applyNumberFormat="1" applyFill="1" applyBorder="1" applyAlignment="1">
      <alignment horizontal="left"/>
    </xf>
    <xf numFmtId="3" fontId="0" fillId="0" borderId="5" xfId="0" quotePrefix="1" applyNumberFormat="1" applyFill="1" applyBorder="1" applyAlignment="1">
      <alignment horizontal="left"/>
    </xf>
    <xf numFmtId="3" fontId="0" fillId="0" borderId="21" xfId="0" quotePrefix="1" applyNumberFormat="1" applyFill="1" applyBorder="1" applyAlignment="1">
      <alignment horizontal="left"/>
    </xf>
    <xf numFmtId="3" fontId="0" fillId="0" borderId="4" xfId="0" quotePrefix="1" applyNumberFormat="1" applyFill="1" applyBorder="1" applyAlignment="1">
      <alignment horizontal="left"/>
    </xf>
    <xf numFmtId="3" fontId="0" fillId="0" borderId="16" xfId="0" quotePrefix="1" applyNumberFormat="1" applyFill="1" applyBorder="1" applyAlignment="1">
      <alignment horizontal="left"/>
    </xf>
    <xf numFmtId="0" fontId="2" fillId="2" borderId="0" xfId="0" applyNumberFormat="1" applyFont="1" applyFill="1" applyAlignment="1">
      <alignment horizontal="center"/>
    </xf>
    <xf numFmtId="0" fontId="0" fillId="0" borderId="0" xfId="0" quotePrefix="1" applyAlignment="1">
      <alignment horizontal="left" indent="1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</cellXfs>
  <cellStyles count="6">
    <cellStyle name="Comma" xfId="1" builtinId="3"/>
    <cellStyle name="Comma 10 2 2 3" xfId="5"/>
    <cellStyle name="Currency" xfId="2" builtinId="4"/>
    <cellStyle name="Normal" xfId="0" builtinId="0"/>
    <cellStyle name="Normal_East for 38.6M" xfId="4"/>
    <cellStyle name="Percent" xfId="3" builtinId="5"/>
  </cellStyles>
  <dxfs count="0"/>
  <tableStyles count="0" defaultTableStyle="TableStyleMedium9" defaultPivotStyle="PivotStyleLight16"/>
  <colors>
    <mruColors>
      <color rgb="FF008080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4.xml"/><Relationship Id="rId21" Type="http://schemas.openxmlformats.org/officeDocument/2006/relationships/externalLink" Target="externalLinks/externalLink9.xml"/><Relationship Id="rId42" Type="http://schemas.openxmlformats.org/officeDocument/2006/relationships/externalLink" Target="externalLinks/externalLink30.xml"/><Relationship Id="rId47" Type="http://schemas.openxmlformats.org/officeDocument/2006/relationships/externalLink" Target="externalLinks/externalLink35.xml"/><Relationship Id="rId63" Type="http://schemas.openxmlformats.org/officeDocument/2006/relationships/externalLink" Target="externalLinks/externalLink51.xml"/><Relationship Id="rId68" Type="http://schemas.openxmlformats.org/officeDocument/2006/relationships/externalLink" Target="externalLinks/externalLink56.xml"/><Relationship Id="rId16" Type="http://schemas.openxmlformats.org/officeDocument/2006/relationships/externalLink" Target="externalLinks/externalLink4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53" Type="http://schemas.openxmlformats.org/officeDocument/2006/relationships/externalLink" Target="externalLinks/externalLink41.xml"/><Relationship Id="rId58" Type="http://schemas.openxmlformats.org/officeDocument/2006/relationships/externalLink" Target="externalLinks/externalLink46.xml"/><Relationship Id="rId74" Type="http://schemas.openxmlformats.org/officeDocument/2006/relationships/theme" Target="theme/theme1.xml"/><Relationship Id="rId79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49.xml"/><Relationship Id="rId1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1.xml"/><Relationship Id="rId48" Type="http://schemas.openxmlformats.org/officeDocument/2006/relationships/externalLink" Target="externalLinks/externalLink36.xml"/><Relationship Id="rId56" Type="http://schemas.openxmlformats.org/officeDocument/2006/relationships/externalLink" Target="externalLinks/externalLink44.xml"/><Relationship Id="rId64" Type="http://schemas.openxmlformats.org/officeDocument/2006/relationships/externalLink" Target="externalLinks/externalLink52.xml"/><Relationship Id="rId69" Type="http://schemas.openxmlformats.org/officeDocument/2006/relationships/externalLink" Target="externalLinks/externalLink57.xml"/><Relationship Id="rId77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9.xml"/><Relationship Id="rId72" Type="http://schemas.openxmlformats.org/officeDocument/2006/relationships/externalLink" Target="externalLinks/externalLink60.xml"/><Relationship Id="rId80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externalLink" Target="externalLinks/externalLink34.xml"/><Relationship Id="rId59" Type="http://schemas.openxmlformats.org/officeDocument/2006/relationships/externalLink" Target="externalLinks/externalLink47.xml"/><Relationship Id="rId67" Type="http://schemas.openxmlformats.org/officeDocument/2006/relationships/externalLink" Target="externalLinks/externalLink55.xml"/><Relationship Id="rId20" Type="http://schemas.openxmlformats.org/officeDocument/2006/relationships/externalLink" Target="externalLinks/externalLink8.xml"/><Relationship Id="rId41" Type="http://schemas.openxmlformats.org/officeDocument/2006/relationships/externalLink" Target="externalLinks/externalLink29.xml"/><Relationship Id="rId54" Type="http://schemas.openxmlformats.org/officeDocument/2006/relationships/externalLink" Target="externalLinks/externalLink42.xml"/><Relationship Id="rId62" Type="http://schemas.openxmlformats.org/officeDocument/2006/relationships/externalLink" Target="externalLinks/externalLink50.xml"/><Relationship Id="rId70" Type="http://schemas.openxmlformats.org/officeDocument/2006/relationships/externalLink" Target="externalLinks/externalLink58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37.xml"/><Relationship Id="rId57" Type="http://schemas.openxmlformats.org/officeDocument/2006/relationships/externalLink" Target="externalLinks/externalLink45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9.xml"/><Relationship Id="rId44" Type="http://schemas.openxmlformats.org/officeDocument/2006/relationships/externalLink" Target="externalLinks/externalLink32.xml"/><Relationship Id="rId52" Type="http://schemas.openxmlformats.org/officeDocument/2006/relationships/externalLink" Target="externalLinks/externalLink40.xml"/><Relationship Id="rId60" Type="http://schemas.openxmlformats.org/officeDocument/2006/relationships/externalLink" Target="externalLinks/externalLink48.xml"/><Relationship Id="rId65" Type="http://schemas.openxmlformats.org/officeDocument/2006/relationships/externalLink" Target="externalLinks/externalLink53.xml"/><Relationship Id="rId73" Type="http://schemas.openxmlformats.org/officeDocument/2006/relationships/externalLink" Target="externalLinks/externalLink61.xml"/><Relationship Id="rId78" Type="http://schemas.openxmlformats.org/officeDocument/2006/relationships/customXml" Target="../customXml/item1.xml"/><Relationship Id="rId8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9" Type="http://schemas.openxmlformats.org/officeDocument/2006/relationships/externalLink" Target="externalLinks/externalLink27.xml"/><Relationship Id="rId34" Type="http://schemas.openxmlformats.org/officeDocument/2006/relationships/externalLink" Target="externalLinks/externalLink22.xml"/><Relationship Id="rId50" Type="http://schemas.openxmlformats.org/officeDocument/2006/relationships/externalLink" Target="externalLinks/externalLink38.xml"/><Relationship Id="rId55" Type="http://schemas.openxmlformats.org/officeDocument/2006/relationships/externalLink" Target="externalLinks/externalLink43.xml"/><Relationship Id="rId76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9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7.xml"/><Relationship Id="rId24" Type="http://schemas.openxmlformats.org/officeDocument/2006/relationships/externalLink" Target="externalLinks/externalLink12.xml"/><Relationship Id="rId40" Type="http://schemas.openxmlformats.org/officeDocument/2006/relationships/externalLink" Target="externalLinks/externalLink28.xml"/><Relationship Id="rId45" Type="http://schemas.openxmlformats.org/officeDocument/2006/relationships/externalLink" Target="externalLinks/externalLink33.xml"/><Relationship Id="rId66" Type="http://schemas.openxmlformats.org/officeDocument/2006/relationships/externalLink" Target="externalLinks/externalLink5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FCR%20for%20PSE%20S40%20V0%20%20HM%20edi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RASANEN/%23%20%202017%20GRC/Supplemental%204-3-2017/2017%20GRC%20ECOS%20(Supplemental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upplemental%20Filing%202017%20GRC/NO%20MS%20SUPP%202017%20GRC%20Workpapers/%23Electric%20Model%202017%20GRC%20CONT%20CALCULATION%20(SUPP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oljh\Local%20Settings\MSN%20Rate%20v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e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Processes\General%20Accounting\newgas\2012\4-2012\UBR-GAS%2004-201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C0\Aurora%20Prices%20for%20RORC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WC-RB%20GRC%20TY0903%20RY02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rtwri\My%20Documents\Projects\PSE\Projects\BHP\Due%20Diligence\BHP%20IS.BS.CF%20Mode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Jun_30_01\Proforma%20Adj_not%20us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p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Decoupling\2016%20GRC%20Prep\PCA\%23Electric%20Model%202016%20GRC%20Original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Load%20Research\GRC%202007%20(not%20filed)\Load%20Research%20Analyses\RLW\From%20RLW\Off%20System%20Results\M9_Statistics_All_R991_ADJ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71\SOE%20Sept%20200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5\SOE\09-2005%20SOE%20Final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COS%20Inputs\COS%20Model\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Update%206-30-06\COS%20Update%207-7-06\ECOS%20Model%20-%20UPDATE%20(JAH-5)%207-7-06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6%20GRC/Cost%20of%20Service/Model/DRAFT%202016%20GRC%20ECOS%20v7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xu\Downloads\UBR-GAS%2007-201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asan\Downloads\01-2015%20Electric%20Unbilled%20Revenue%20Calculatio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2004%20GRC%20Order%20Electric%20(Clarification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Rate%20Spread%20&amp;%20Rate%20Design%20(Elec)_TR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Proforma%20Rev%20(Monthly%20TY%2009-2016)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Proforma%20Rev%20(Monthly%20Sch%2040)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Rate%20Design%20(Sch%2040)_TR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WP-PSE-Compliance-ECOS-Report-T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2018/2018%20Tax%20Reform%20WP/RevReq%20WP/%23Electric%20Model%20Tax%20Reform%202017%20GRC%20(SETTLEMENT)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2018/2018%20Tax%20Reform%20WP/RevReq%20WP/21.13E%20Production%20Factor%2017GRC%20(REBUTTAL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\Due%20Diligence\August%20New%20Model\Fred%20Value%209.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/>
      <sheetData sheetId="1"/>
      <sheetData sheetId="2" refreshError="1">
        <row r="10">
          <cell r="G10">
            <v>35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PCA Costs"/>
      <sheetName val="Dist Costs (Line Ext)"/>
    </sheetNames>
    <sheetDataSet>
      <sheetData sheetId="0"/>
      <sheetData sheetId="1">
        <row r="11">
          <cell r="C11">
            <v>2</v>
          </cell>
        </row>
        <row r="29">
          <cell r="F29">
            <v>7.7399999999999997E-2</v>
          </cell>
        </row>
        <row r="30">
          <cell r="F30">
            <v>2.9899999999999999E-2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0.61905100000000002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-SUPP"/>
      <sheetName val="Exhibits==&gt;"/>
      <sheetName val="KJB-3,11 Def"/>
      <sheetName val="KJB-6,13 Cmn Adj"/>
      <sheetName val="Power Cost Bridge to A-1"/>
      <sheetName val="KJB-7,14 El Adj"/>
      <sheetName val="KJB-16 No MS Def"/>
      <sheetName val="KJB-16 No MS BLR"/>
      <sheetName val="KJB-12 Sum DIFF"/>
      <sheetName val="KJB-12 Sum"/>
      <sheetName val="PKW RY PC1"/>
      <sheetName val="Work Papers==&gt;"/>
      <sheetName val="Table in KJB-10T"/>
      <sheetName val="JAP-07"/>
      <sheetName val="For Prod Adj Expense"/>
      <sheetName val="For Prod Adj Ratebase"/>
      <sheetName val="Verify Pwr Costs"/>
      <sheetName val="RJR Prod O&amp;M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0">
          <cell r="L20">
            <v>0.35</v>
          </cell>
        </row>
      </sheetData>
      <sheetData sheetId="3">
        <row r="7">
          <cell r="B7" t="str">
            <v>FOR THE TWELVE MONTHS ENDED SEPTEMBER 30, 2016</v>
          </cell>
        </row>
        <row r="8">
          <cell r="B8" t="str">
            <v xml:space="preserve">2017 GENERAL RATE CASE </v>
          </cell>
        </row>
      </sheetData>
      <sheetData sheetId="4">
        <row r="9">
          <cell r="N9">
            <v>0.97465048031911128</v>
          </cell>
        </row>
      </sheetData>
      <sheetData sheetId="5">
        <row r="13">
          <cell r="BL13">
            <v>2.5349519680888721E-2</v>
          </cell>
        </row>
      </sheetData>
      <sheetData sheetId="6"/>
      <sheetData sheetId="7"/>
      <sheetData sheetId="8"/>
      <sheetData sheetId="9">
        <row r="2">
          <cell r="AS2" t="str">
            <v>Exhibit No.___(KJB-4)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D28">
            <v>147018434.04146132</v>
          </cell>
        </row>
      </sheetData>
      <sheetData sheetId="18">
        <row r="33">
          <cell r="E33">
            <v>4959911.9999999991</v>
          </cell>
        </row>
      </sheetData>
      <sheetData sheetId="19"/>
      <sheetData sheetId="20">
        <row r="43">
          <cell r="D43">
            <v>9944078.2818932347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Billed Therms Trueup"/>
      <sheetName val="Degree Days Trueup"/>
      <sheetName val="Prior Month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Unbilled</v>
          </cell>
        </row>
        <row r="3">
          <cell r="C3" t="str">
            <v>$'s</v>
          </cell>
          <cell r="E3" t="str">
            <v>$ Mix</v>
          </cell>
          <cell r="G3" t="str">
            <v>Therms</v>
          </cell>
          <cell r="I3" t="str">
            <v>Therms Mix</v>
          </cell>
          <cell r="K3" t="str">
            <v>$/Therm</v>
          </cell>
          <cell r="N3" t="str">
            <v>Dollars attributable to Mix Variance</v>
          </cell>
        </row>
        <row r="4">
          <cell r="B4">
            <v>36121393</v>
          </cell>
          <cell r="C4">
            <v>40663</v>
          </cell>
          <cell r="D4">
            <v>41029</v>
          </cell>
          <cell r="E4">
            <v>40663</v>
          </cell>
          <cell r="F4">
            <v>41029</v>
          </cell>
          <cell r="G4">
            <v>40663</v>
          </cell>
          <cell r="H4">
            <v>41029</v>
          </cell>
          <cell r="I4">
            <v>40663</v>
          </cell>
          <cell r="J4">
            <v>41029</v>
          </cell>
          <cell r="K4">
            <v>40663</v>
          </cell>
          <cell r="L4">
            <v>41029</v>
          </cell>
          <cell r="M4" t="str">
            <v xml:space="preserve"> $ % increase</v>
          </cell>
        </row>
        <row r="5">
          <cell r="B5" t="str">
            <v>Firm w/o cust chg</v>
          </cell>
          <cell r="C5">
            <v>27167771</v>
          </cell>
          <cell r="D5">
            <v>20189111</v>
          </cell>
          <cell r="G5" t="str">
            <v>*Prior*</v>
          </cell>
          <cell r="K5">
            <v>1.1080000000000001</v>
          </cell>
          <cell r="L5">
            <v>1.0629999999999999</v>
          </cell>
          <cell r="M5">
            <v>-4.1000000000000002E-2</v>
          </cell>
        </row>
        <row r="6">
          <cell r="B6" t="str">
            <v>Firm</v>
          </cell>
          <cell r="C6">
            <v>31710847</v>
          </cell>
          <cell r="D6">
            <v>25174490</v>
          </cell>
          <cell r="E6">
            <v>0.84</v>
          </cell>
          <cell r="F6">
            <v>0.91</v>
          </cell>
          <cell r="G6">
            <v>24512169</v>
          </cell>
          <cell r="H6">
            <v>18986747</v>
          </cell>
          <cell r="I6">
            <v>0.49</v>
          </cell>
          <cell r="J6">
            <v>0.48</v>
          </cell>
          <cell r="K6">
            <v>1.294</v>
          </cell>
          <cell r="L6">
            <v>1.3260000000000001</v>
          </cell>
          <cell r="M6">
            <v>2.5000000000000001E-2</v>
          </cell>
        </row>
        <row r="7">
          <cell r="B7" t="str">
            <v>Interruptible</v>
          </cell>
          <cell r="C7">
            <v>4410546</v>
          </cell>
          <cell r="D7">
            <v>1255448</v>
          </cell>
          <cell r="E7">
            <v>0.12</v>
          </cell>
          <cell r="F7">
            <v>0.05</v>
          </cell>
          <cell r="G7">
            <v>5519133</v>
          </cell>
          <cell r="H7">
            <v>1704659</v>
          </cell>
          <cell r="I7">
            <v>0.11</v>
          </cell>
          <cell r="J7">
            <v>0.04</v>
          </cell>
          <cell r="K7">
            <v>0.79900000000000004</v>
          </cell>
          <cell r="L7">
            <v>0.73599999999999999</v>
          </cell>
          <cell r="M7">
            <v>-7.9000000000000001E-2</v>
          </cell>
        </row>
        <row r="8">
          <cell r="B8" t="str">
            <v>Transportation</v>
          </cell>
          <cell r="C8">
            <v>1272163</v>
          </cell>
          <cell r="D8">
            <v>1283681</v>
          </cell>
          <cell r="E8">
            <v>0.03</v>
          </cell>
          <cell r="F8">
            <v>0.05</v>
          </cell>
          <cell r="G8">
            <v>19626786</v>
          </cell>
          <cell r="H8">
            <v>19026867</v>
          </cell>
          <cell r="I8">
            <v>0.4</v>
          </cell>
          <cell r="J8">
            <v>0.48</v>
          </cell>
          <cell r="K8">
            <v>6.5000000000000002E-2</v>
          </cell>
          <cell r="L8">
            <v>6.7000000000000004E-2</v>
          </cell>
          <cell r="M8">
            <v>3.1E-2</v>
          </cell>
        </row>
        <row r="9">
          <cell r="C9">
            <v>37393556</v>
          </cell>
          <cell r="D9">
            <v>27713619</v>
          </cell>
          <cell r="E9">
            <v>1</v>
          </cell>
          <cell r="F9">
            <v>1</v>
          </cell>
          <cell r="G9">
            <v>49658088</v>
          </cell>
          <cell r="H9">
            <v>39718273</v>
          </cell>
          <cell r="I9">
            <v>1</v>
          </cell>
          <cell r="J9">
            <v>1</v>
          </cell>
        </row>
        <row r="10">
          <cell r="B10" t="str">
            <v>Overall</v>
          </cell>
          <cell r="K10">
            <v>0.753</v>
          </cell>
          <cell r="L10">
            <v>0.69799999999999995</v>
          </cell>
          <cell r="M10">
            <v>-7.2999999999999995E-2</v>
          </cell>
        </row>
        <row r="12">
          <cell r="B12" t="str">
            <v>Billed</v>
          </cell>
        </row>
        <row r="13">
          <cell r="C13" t="str">
            <v>$'s</v>
          </cell>
          <cell r="E13" t="str">
            <v>$ Mix</v>
          </cell>
          <cell r="G13" t="str">
            <v>Therms</v>
          </cell>
          <cell r="I13" t="str">
            <v>Therms Mix</v>
          </cell>
          <cell r="K13" t="str">
            <v>$/Therm</v>
          </cell>
        </row>
        <row r="14">
          <cell r="C14">
            <v>40663</v>
          </cell>
          <cell r="D14">
            <v>41029</v>
          </cell>
          <cell r="E14">
            <v>40663</v>
          </cell>
          <cell r="F14">
            <v>41029</v>
          </cell>
          <cell r="G14">
            <v>40663</v>
          </cell>
          <cell r="H14">
            <v>41029</v>
          </cell>
          <cell r="I14">
            <v>40663</v>
          </cell>
          <cell r="J14">
            <v>41029</v>
          </cell>
          <cell r="K14">
            <v>40663</v>
          </cell>
          <cell r="L14">
            <v>41029</v>
          </cell>
          <cell r="M14" t="str">
            <v xml:space="preserve"> $ % increase</v>
          </cell>
        </row>
        <row r="16">
          <cell r="B16" t="str">
            <v>Firm</v>
          </cell>
          <cell r="C16">
            <v>108082379</v>
          </cell>
          <cell r="D16">
            <v>98579996</v>
          </cell>
          <cell r="E16">
            <v>0.95</v>
          </cell>
          <cell r="F16">
            <v>0.95</v>
          </cell>
          <cell r="G16">
            <v>79428477</v>
          </cell>
          <cell r="H16">
            <v>83919067</v>
          </cell>
          <cell r="I16">
            <v>0.77</v>
          </cell>
          <cell r="J16">
            <v>0.75</v>
          </cell>
          <cell r="K16">
            <v>1.361</v>
          </cell>
          <cell r="L16">
            <v>1.175</v>
          </cell>
          <cell r="M16">
            <v>-0.13700000000000001</v>
          </cell>
        </row>
        <row r="17">
          <cell r="B17" t="str">
            <v>Interruptible</v>
          </cell>
          <cell r="C17">
            <v>4341568</v>
          </cell>
          <cell r="D17">
            <v>3861105</v>
          </cell>
          <cell r="E17">
            <v>0.04</v>
          </cell>
          <cell r="F17">
            <v>0.04</v>
          </cell>
          <cell r="G17">
            <v>5343387</v>
          </cell>
          <cell r="H17">
            <v>5233698</v>
          </cell>
          <cell r="I17">
            <v>0.05</v>
          </cell>
          <cell r="J17">
            <v>0.05</v>
          </cell>
          <cell r="K17">
            <v>0.81299999999999994</v>
          </cell>
          <cell r="L17">
            <v>0.73799999999999999</v>
          </cell>
          <cell r="M17">
            <v>-9.1999999999999998E-2</v>
          </cell>
        </row>
        <row r="18">
          <cell r="B18" t="str">
            <v>Transportation</v>
          </cell>
          <cell r="C18">
            <v>1303909</v>
          </cell>
          <cell r="D18">
            <v>1460246</v>
          </cell>
          <cell r="E18">
            <v>0.01</v>
          </cell>
          <cell r="F18">
            <v>0.01</v>
          </cell>
          <cell r="G18">
            <v>18622088</v>
          </cell>
          <cell r="H18">
            <v>22705842</v>
          </cell>
          <cell r="I18">
            <v>0.18</v>
          </cell>
          <cell r="J18">
            <v>0.2</v>
          </cell>
          <cell r="K18">
            <v>7.0000000000000007E-2</v>
          </cell>
          <cell r="L18">
            <v>6.4000000000000001E-2</v>
          </cell>
          <cell r="M18">
            <v>-8.5999999999999993E-2</v>
          </cell>
        </row>
        <row r="19">
          <cell r="C19">
            <v>113727856</v>
          </cell>
          <cell r="D19">
            <v>103901347</v>
          </cell>
          <cell r="E19">
            <v>1</v>
          </cell>
          <cell r="F19">
            <v>1</v>
          </cell>
          <cell r="G19">
            <v>103393952</v>
          </cell>
          <cell r="H19">
            <v>111858607</v>
          </cell>
          <cell r="I19">
            <v>1</v>
          </cell>
          <cell r="J19">
            <v>1</v>
          </cell>
        </row>
        <row r="20">
          <cell r="B20" t="str">
            <v>Overall</v>
          </cell>
          <cell r="K20">
            <v>1.1000000000000001</v>
          </cell>
          <cell r="L20">
            <v>0.92900000000000005</v>
          </cell>
          <cell r="M20">
            <v>-0.155</v>
          </cell>
        </row>
        <row r="23">
          <cell r="C23">
            <v>40663</v>
          </cell>
          <cell r="G23">
            <v>40663</v>
          </cell>
          <cell r="H23">
            <v>41029</v>
          </cell>
          <cell r="I23" t="str">
            <v>*Current*</v>
          </cell>
          <cell r="K23" t="str">
            <v>*Rate*</v>
          </cell>
        </row>
        <row r="24">
          <cell r="B24" t="str">
            <v>Unbilled Mix Variance</v>
          </cell>
          <cell r="H24">
            <v>0.48</v>
          </cell>
          <cell r="I24">
            <v>23835882</v>
          </cell>
          <cell r="K24">
            <v>1.294</v>
          </cell>
          <cell r="L24">
            <v>30843631</v>
          </cell>
        </row>
        <row r="25">
          <cell r="H25">
            <v>0.04</v>
          </cell>
          <cell r="I25">
            <v>1986324</v>
          </cell>
          <cell r="K25">
            <v>0.79900000000000004</v>
          </cell>
          <cell r="L25">
            <v>1587073</v>
          </cell>
        </row>
        <row r="26">
          <cell r="H26">
            <v>0.48</v>
          </cell>
          <cell r="I26">
            <v>23835883</v>
          </cell>
          <cell r="K26">
            <v>6.7000000000000004E-2</v>
          </cell>
          <cell r="L26">
            <v>1597004</v>
          </cell>
        </row>
        <row r="27">
          <cell r="C27">
            <v>37393556</v>
          </cell>
          <cell r="G27">
            <v>49658088</v>
          </cell>
          <cell r="H27">
            <v>1</v>
          </cell>
          <cell r="I27">
            <v>49658089</v>
          </cell>
          <cell r="L27">
            <v>34027708</v>
          </cell>
          <cell r="N27">
            <v>-3365848</v>
          </cell>
        </row>
        <row r="30">
          <cell r="B30" t="str">
            <v>NOTE</v>
          </cell>
        </row>
        <row r="31">
          <cell r="B31" t="str">
            <v>Dollars attributable to mix change.  This test compares base period unbilled revenue dollars to a recalculated unbilled base revenue using current period mix percentages priced at base period rates.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 refreshError="1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1"/>
      <sheetName val="Electric WC"/>
      <sheetName val="Gas WC"/>
      <sheetName val="Combined WC"/>
      <sheetName val="BS"/>
      <sheetName val="Electric Rate Base"/>
      <sheetName val="Gas Rate Base"/>
      <sheetName val="Electric WC-sources"/>
      <sheetName val="Gas WC-sources"/>
      <sheetName val="Electric Rate Base-sources"/>
      <sheetName val="Gas Rate Base-sources"/>
      <sheetName val="Sep03"/>
      <sheetName val="JulAug03"/>
      <sheetName val="Jun03"/>
      <sheetName val="AprMay03"/>
      <sheetName val="FebMar03"/>
      <sheetName val="Jan03"/>
      <sheetName val="Dec02"/>
      <sheetName val="OctNov02"/>
      <sheetName val="Sep02"/>
      <sheetName val="JulAug02"/>
      <sheetName val="Jun02"/>
      <sheetName val="AprMay02"/>
      <sheetName val="Mar02"/>
      <sheetName val="JanFeb02"/>
      <sheetName val="Dec01"/>
      <sheetName val="OctNov01"/>
      <sheetName val="WC comparison"/>
      <sheetName val="Extract Review"/>
      <sheetName val="Proced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B10">
            <v>3908379967.46</v>
          </cell>
          <cell r="AO10">
            <v>18</v>
          </cell>
        </row>
        <row r="11">
          <cell r="AO11" t="str">
            <v>53</v>
          </cell>
        </row>
        <row r="12">
          <cell r="AO12" t="str">
            <v>28/54</v>
          </cell>
        </row>
        <row r="13">
          <cell r="AO13" t="str">
            <v>18</v>
          </cell>
        </row>
        <row r="14">
          <cell r="AO14" t="str">
            <v>18</v>
          </cell>
        </row>
        <row r="15">
          <cell r="AO15" t="str">
            <v>18</v>
          </cell>
        </row>
        <row r="16">
          <cell r="AO16" t="str">
            <v>18</v>
          </cell>
        </row>
        <row r="17">
          <cell r="AO17" t="str">
            <v>18</v>
          </cell>
        </row>
        <row r="18">
          <cell r="AO18" t="str">
            <v>18</v>
          </cell>
        </row>
        <row r="19">
          <cell r="AO19" t="str">
            <v>18</v>
          </cell>
        </row>
        <row r="20">
          <cell r="AO20" t="str">
            <v>18</v>
          </cell>
        </row>
        <row r="21">
          <cell r="AO21" t="str">
            <v>19</v>
          </cell>
        </row>
        <row r="22">
          <cell r="AO22" t="str">
            <v>53</v>
          </cell>
        </row>
        <row r="23">
          <cell r="AO23" t="str">
            <v>29/57</v>
          </cell>
        </row>
        <row r="24">
          <cell r="AO24" t="str">
            <v>43</v>
          </cell>
        </row>
        <row r="25">
          <cell r="AO25" t="str">
            <v>58</v>
          </cell>
        </row>
        <row r="26">
          <cell r="AO26" t="str">
            <v>44/59</v>
          </cell>
        </row>
        <row r="27">
          <cell r="AO27" t="str">
            <v>44/59</v>
          </cell>
        </row>
        <row r="28">
          <cell r="AO28" t="str">
            <v>43</v>
          </cell>
        </row>
        <row r="29">
          <cell r="AO29" t="str">
            <v>43</v>
          </cell>
        </row>
        <row r="30">
          <cell r="AO30" t="str">
            <v>43</v>
          </cell>
        </row>
        <row r="31">
          <cell r="AO31" t="str">
            <v>58</v>
          </cell>
        </row>
        <row r="32">
          <cell r="AO32" t="str">
            <v>24</v>
          </cell>
        </row>
        <row r="33">
          <cell r="AO33" t="str">
            <v>61</v>
          </cell>
        </row>
        <row r="34">
          <cell r="AO34" t="str">
            <v>30/62</v>
          </cell>
        </row>
        <row r="35">
          <cell r="AO35" t="str">
            <v>24</v>
          </cell>
        </row>
        <row r="36">
          <cell r="AO36" t="str">
            <v>61</v>
          </cell>
        </row>
        <row r="37">
          <cell r="AO37" t="str">
            <v>30/62</v>
          </cell>
        </row>
        <row r="38">
          <cell r="AO38" t="str">
            <v>24</v>
          </cell>
        </row>
        <row r="39">
          <cell r="AO39" t="str">
            <v>61</v>
          </cell>
        </row>
        <row r="40">
          <cell r="AO40" t="str">
            <v>24</v>
          </cell>
        </row>
        <row r="41">
          <cell r="AO41" t="str">
            <v>61</v>
          </cell>
        </row>
        <row r="42">
          <cell r="AO42" t="str">
            <v>30/62</v>
          </cell>
        </row>
        <row r="43">
          <cell r="AO43" t="str">
            <v>24</v>
          </cell>
        </row>
        <row r="44">
          <cell r="AO44" t="str">
            <v>61</v>
          </cell>
        </row>
        <row r="45">
          <cell r="AO45" t="str">
            <v>24</v>
          </cell>
        </row>
        <row r="46">
          <cell r="AO46" t="str">
            <v>61</v>
          </cell>
        </row>
        <row r="47">
          <cell r="AO47" t="str">
            <v>30/62</v>
          </cell>
        </row>
        <row r="48">
          <cell r="AO48" t="str">
            <v>24</v>
          </cell>
        </row>
        <row r="49">
          <cell r="AO49" t="str">
            <v>24</v>
          </cell>
        </row>
        <row r="50">
          <cell r="AO50" t="str">
            <v>24</v>
          </cell>
        </row>
        <row r="51">
          <cell r="AO51" t="str">
            <v>24</v>
          </cell>
        </row>
        <row r="52">
          <cell r="AO52" t="str">
            <v>24</v>
          </cell>
        </row>
        <row r="53">
          <cell r="AO53" t="str">
            <v>24</v>
          </cell>
        </row>
        <row r="54">
          <cell r="AO54" t="str">
            <v>24</v>
          </cell>
        </row>
        <row r="55">
          <cell r="AO55" t="str">
            <v>61</v>
          </cell>
        </row>
        <row r="56">
          <cell r="AO56" t="str">
            <v>30/62</v>
          </cell>
        </row>
        <row r="57">
          <cell r="AO57" t="str">
            <v>24</v>
          </cell>
        </row>
        <row r="58">
          <cell r="AO58" t="str">
            <v>61</v>
          </cell>
        </row>
        <row r="59">
          <cell r="AO59" t="str">
            <v>24</v>
          </cell>
        </row>
        <row r="60">
          <cell r="AO60" t="str">
            <v>61</v>
          </cell>
        </row>
        <row r="61">
          <cell r="AO61" t="str">
            <v>30/62</v>
          </cell>
        </row>
        <row r="62">
          <cell r="AO62" t="str">
            <v>18</v>
          </cell>
        </row>
        <row r="63">
          <cell r="AO63" t="str">
            <v>53</v>
          </cell>
        </row>
        <row r="64">
          <cell r="AO64" t="str">
            <v>18</v>
          </cell>
        </row>
        <row r="65">
          <cell r="AO65" t="str">
            <v>18</v>
          </cell>
        </row>
        <row r="66">
          <cell r="AO66" t="str">
            <v>18</v>
          </cell>
        </row>
        <row r="67">
          <cell r="AO67" t="str">
            <v>24</v>
          </cell>
        </row>
        <row r="68">
          <cell r="AO68" t="str">
            <v>61</v>
          </cell>
        </row>
        <row r="69">
          <cell r="AO69" t="str">
            <v>24</v>
          </cell>
        </row>
        <row r="70">
          <cell r="AO70" t="str">
            <v>24</v>
          </cell>
        </row>
        <row r="71">
          <cell r="AO71" t="str">
            <v>24</v>
          </cell>
        </row>
        <row r="72">
          <cell r="AO72" t="str">
            <v>60</v>
          </cell>
        </row>
        <row r="73">
          <cell r="AO73" t="str">
            <v>28/54</v>
          </cell>
        </row>
        <row r="74">
          <cell r="AO74">
            <v>39</v>
          </cell>
        </row>
        <row r="75">
          <cell r="AO75">
            <v>39</v>
          </cell>
        </row>
        <row r="76">
          <cell r="AO76" t="str">
            <v>39</v>
          </cell>
        </row>
        <row r="77">
          <cell r="AO77" t="str">
            <v>40</v>
          </cell>
        </row>
        <row r="78">
          <cell r="AO78">
            <v>40</v>
          </cell>
        </row>
        <row r="79">
          <cell r="AO79" t="str">
            <v>33a</v>
          </cell>
        </row>
        <row r="80">
          <cell r="AO80" t="str">
            <v>41</v>
          </cell>
        </row>
        <row r="81">
          <cell r="AO81">
            <v>41</v>
          </cell>
        </row>
        <row r="82">
          <cell r="AO82">
            <v>41</v>
          </cell>
        </row>
        <row r="83">
          <cell r="AO83" t="str">
            <v>41</v>
          </cell>
        </row>
        <row r="84">
          <cell r="AO84">
            <v>41</v>
          </cell>
        </row>
        <row r="85">
          <cell r="AO85">
            <v>41</v>
          </cell>
        </row>
        <row r="86">
          <cell r="AO86">
            <v>41</v>
          </cell>
        </row>
        <row r="87">
          <cell r="AO87">
            <v>41</v>
          </cell>
        </row>
        <row r="88">
          <cell r="AO88">
            <v>41</v>
          </cell>
        </row>
        <row r="89">
          <cell r="AO89">
            <v>41</v>
          </cell>
        </row>
        <row r="90">
          <cell r="AO90">
            <v>41</v>
          </cell>
        </row>
        <row r="91">
          <cell r="AO91">
            <v>41</v>
          </cell>
        </row>
        <row r="92">
          <cell r="AO92">
            <v>41</v>
          </cell>
        </row>
        <row r="93">
          <cell r="AO93">
            <v>41</v>
          </cell>
        </row>
        <row r="94">
          <cell r="AO94">
            <v>41</v>
          </cell>
        </row>
        <row r="95">
          <cell r="AO95">
            <v>41</v>
          </cell>
        </row>
        <row r="96">
          <cell r="AO96">
            <v>41</v>
          </cell>
        </row>
        <row r="97">
          <cell r="AO97">
            <v>41</v>
          </cell>
        </row>
        <row r="98">
          <cell r="AO98">
            <v>41</v>
          </cell>
        </row>
        <row r="99">
          <cell r="AO99">
            <v>41</v>
          </cell>
        </row>
        <row r="100">
          <cell r="AO100">
            <v>41</v>
          </cell>
        </row>
        <row r="101">
          <cell r="AO101">
            <v>41</v>
          </cell>
        </row>
        <row r="102">
          <cell r="AO102">
            <v>41</v>
          </cell>
        </row>
        <row r="103">
          <cell r="AO103">
            <v>41</v>
          </cell>
        </row>
        <row r="104">
          <cell r="AO104">
            <v>41</v>
          </cell>
        </row>
        <row r="105">
          <cell r="AO105">
            <v>41</v>
          </cell>
        </row>
        <row r="106">
          <cell r="AO106">
            <v>41</v>
          </cell>
        </row>
        <row r="107">
          <cell r="AO107">
            <v>41</v>
          </cell>
        </row>
        <row r="108">
          <cell r="AO108">
            <v>41</v>
          </cell>
        </row>
        <row r="109">
          <cell r="AO109" t="str">
            <v>41</v>
          </cell>
        </row>
        <row r="110">
          <cell r="AO110" t="str">
            <v>41</v>
          </cell>
        </row>
        <row r="111">
          <cell r="AO111" t="str">
            <v>41</v>
          </cell>
        </row>
        <row r="112">
          <cell r="AO112" t="str">
            <v>41</v>
          </cell>
        </row>
        <row r="113">
          <cell r="AO113" t="str">
            <v>41</v>
          </cell>
        </row>
        <row r="114">
          <cell r="AO114" t="str">
            <v>41</v>
          </cell>
        </row>
        <row r="115">
          <cell r="AO115" t="str">
            <v>41</v>
          </cell>
        </row>
        <row r="116">
          <cell r="AO116" t="str">
            <v>41</v>
          </cell>
        </row>
        <row r="117">
          <cell r="AO117" t="str">
            <v>41</v>
          </cell>
        </row>
        <row r="118">
          <cell r="AO118" t="str">
            <v>41</v>
          </cell>
        </row>
        <row r="119">
          <cell r="AO119" t="str">
            <v>41</v>
          </cell>
        </row>
        <row r="120">
          <cell r="AO120" t="str">
            <v>41</v>
          </cell>
        </row>
        <row r="121">
          <cell r="AO121" t="str">
            <v>41</v>
          </cell>
        </row>
        <row r="122">
          <cell r="AO122" t="str">
            <v>41</v>
          </cell>
        </row>
        <row r="123">
          <cell r="AO123" t="str">
            <v>65a</v>
          </cell>
        </row>
        <row r="124">
          <cell r="AO124" t="str">
            <v>65a</v>
          </cell>
        </row>
        <row r="125">
          <cell r="AO125" t="str">
            <v>65a</v>
          </cell>
        </row>
        <row r="126">
          <cell r="AO126" t="str">
            <v>65a</v>
          </cell>
        </row>
        <row r="127">
          <cell r="AO127" t="str">
            <v>65a</v>
          </cell>
        </row>
        <row r="128">
          <cell r="AO128" t="str">
            <v>65a</v>
          </cell>
        </row>
        <row r="129">
          <cell r="AO129" t="str">
            <v>65a</v>
          </cell>
        </row>
        <row r="130">
          <cell r="AO130" t="str">
            <v>65a</v>
          </cell>
        </row>
        <row r="131">
          <cell r="AO131" t="str">
            <v>65a</v>
          </cell>
        </row>
        <row r="132">
          <cell r="AO132" t="str">
            <v>65a</v>
          </cell>
        </row>
        <row r="133">
          <cell r="AO133" t="str">
            <v>65a</v>
          </cell>
        </row>
        <row r="134">
          <cell r="AO134" t="str">
            <v>65a</v>
          </cell>
        </row>
        <row r="135">
          <cell r="AO135" t="str">
            <v>65a</v>
          </cell>
        </row>
        <row r="136">
          <cell r="AO136" t="str">
            <v>65a</v>
          </cell>
        </row>
        <row r="137">
          <cell r="AO137" t="str">
            <v>65a</v>
          </cell>
        </row>
        <row r="138">
          <cell r="AO138" t="str">
            <v>65a</v>
          </cell>
        </row>
        <row r="139">
          <cell r="AO139" t="str">
            <v>65a</v>
          </cell>
        </row>
        <row r="140">
          <cell r="AO140" t="str">
            <v>65a</v>
          </cell>
        </row>
        <row r="141">
          <cell r="AO141" t="str">
            <v>65a</v>
          </cell>
        </row>
        <row r="142">
          <cell r="AO142" t="str">
            <v>65a</v>
          </cell>
        </row>
        <row r="143">
          <cell r="AO143" t="str">
            <v>65a</v>
          </cell>
        </row>
        <row r="144">
          <cell r="AO144" t="str">
            <v>65a</v>
          </cell>
        </row>
        <row r="145">
          <cell r="AO145" t="str">
            <v>65a</v>
          </cell>
        </row>
        <row r="146">
          <cell r="AO146" t="str">
            <v>65a</v>
          </cell>
        </row>
        <row r="147">
          <cell r="AO147" t="str">
            <v>65a</v>
          </cell>
        </row>
        <row r="148">
          <cell r="AO148" t="str">
            <v>65a</v>
          </cell>
        </row>
        <row r="149">
          <cell r="AO149" t="str">
            <v>65a</v>
          </cell>
        </row>
        <row r="150">
          <cell r="AO150" t="str">
            <v>65a</v>
          </cell>
        </row>
        <row r="151">
          <cell r="AO151" t="str">
            <v>65a</v>
          </cell>
        </row>
        <row r="152">
          <cell r="AO152" t="str">
            <v>65a</v>
          </cell>
        </row>
        <row r="153">
          <cell r="AO153" t="str">
            <v>65a</v>
          </cell>
        </row>
        <row r="154">
          <cell r="AO154" t="str">
            <v>65a</v>
          </cell>
        </row>
        <row r="155">
          <cell r="AO155" t="str">
            <v>65a</v>
          </cell>
        </row>
        <row r="156">
          <cell r="AO156" t="str">
            <v>65a</v>
          </cell>
        </row>
        <row r="157">
          <cell r="AO157" t="str">
            <v>65a</v>
          </cell>
        </row>
        <row r="158">
          <cell r="AO158" t="str">
            <v>65a</v>
          </cell>
        </row>
        <row r="159">
          <cell r="AO159" t="str">
            <v>65a</v>
          </cell>
        </row>
        <row r="160">
          <cell r="AO160" t="str">
            <v xml:space="preserve"> </v>
          </cell>
        </row>
        <row r="161">
          <cell r="AO161" t="str">
            <v>41</v>
          </cell>
        </row>
        <row r="162">
          <cell r="AO162" t="str">
            <v>65a</v>
          </cell>
        </row>
        <row r="163">
          <cell r="AO163" t="str">
            <v>65a</v>
          </cell>
        </row>
        <row r="164">
          <cell r="AO164" t="str">
            <v>65a</v>
          </cell>
        </row>
        <row r="165">
          <cell r="AO165" t="str">
            <v>65a</v>
          </cell>
        </row>
        <row r="166">
          <cell r="AO166" t="str">
            <v>65a</v>
          </cell>
        </row>
        <row r="167">
          <cell r="AO167" t="str">
            <v>65a</v>
          </cell>
        </row>
        <row r="168">
          <cell r="AO168" t="str">
            <v>65a</v>
          </cell>
        </row>
        <row r="169">
          <cell r="AO169" t="str">
            <v>65a</v>
          </cell>
        </row>
        <row r="170">
          <cell r="AO170" t="str">
            <v>65a</v>
          </cell>
        </row>
        <row r="171">
          <cell r="AO171" t="str">
            <v>65a</v>
          </cell>
        </row>
        <row r="172">
          <cell r="AO172" t="str">
            <v>65a</v>
          </cell>
        </row>
        <row r="173">
          <cell r="AO173" t="str">
            <v>65a</v>
          </cell>
        </row>
        <row r="174">
          <cell r="AO174" t="str">
            <v>65a</v>
          </cell>
        </row>
        <row r="175">
          <cell r="AO175" t="str">
            <v>65a</v>
          </cell>
        </row>
        <row r="176">
          <cell r="AO176" t="str">
            <v>65a</v>
          </cell>
        </row>
        <row r="177">
          <cell r="AO177" t="str">
            <v>65a</v>
          </cell>
        </row>
        <row r="178">
          <cell r="AO178" t="str">
            <v>65a</v>
          </cell>
        </row>
        <row r="179">
          <cell r="AO179" t="str">
            <v>65a</v>
          </cell>
        </row>
        <row r="180">
          <cell r="AO180" t="str">
            <v xml:space="preserve"> </v>
          </cell>
        </row>
        <row r="181">
          <cell r="AO181" t="str">
            <v xml:space="preserve"> </v>
          </cell>
        </row>
        <row r="182">
          <cell r="AO182" t="str">
            <v>65a</v>
          </cell>
        </row>
        <row r="183">
          <cell r="AO183" t="str">
            <v>65a</v>
          </cell>
        </row>
        <row r="185">
          <cell r="AO185" t="str">
            <v>65a</v>
          </cell>
        </row>
        <row r="186">
          <cell r="AO186" t="str">
            <v>65a</v>
          </cell>
        </row>
        <row r="187">
          <cell r="AO187" t="str">
            <v>65a</v>
          </cell>
        </row>
        <row r="189">
          <cell r="AO189" t="str">
            <v xml:space="preserve"> </v>
          </cell>
        </row>
        <row r="190">
          <cell r="AO190" t="str">
            <v>65a</v>
          </cell>
        </row>
        <row r="191">
          <cell r="AO191" t="str">
            <v xml:space="preserve"> </v>
          </cell>
        </row>
        <row r="192">
          <cell r="AO192" t="str">
            <v>65a</v>
          </cell>
        </row>
        <row r="193">
          <cell r="AO193" t="str">
            <v xml:space="preserve"> </v>
          </cell>
        </row>
        <row r="194">
          <cell r="AO194" t="str">
            <v xml:space="preserve"> </v>
          </cell>
        </row>
        <row r="196">
          <cell r="AO196" t="str">
            <v>65b</v>
          </cell>
        </row>
        <row r="197">
          <cell r="AO197" t="str">
            <v>65a</v>
          </cell>
        </row>
        <row r="198">
          <cell r="AO198" t="str">
            <v>65a</v>
          </cell>
        </row>
        <row r="199">
          <cell r="AO199" t="str">
            <v>65b</v>
          </cell>
        </row>
        <row r="201">
          <cell r="AO201" t="str">
            <v>51</v>
          </cell>
        </row>
        <row r="202">
          <cell r="AO202" t="str">
            <v>51</v>
          </cell>
        </row>
        <row r="203">
          <cell r="AO203" t="str">
            <v>51</v>
          </cell>
        </row>
        <row r="204">
          <cell r="AO204" t="str">
            <v>51</v>
          </cell>
        </row>
        <row r="205">
          <cell r="AO205" t="str">
            <v>51</v>
          </cell>
        </row>
        <row r="206">
          <cell r="AO206" t="str">
            <v>51</v>
          </cell>
        </row>
        <row r="207">
          <cell r="AO207">
            <v>41</v>
          </cell>
        </row>
        <row r="208">
          <cell r="AO208">
            <v>41</v>
          </cell>
        </row>
        <row r="209">
          <cell r="AO209">
            <v>41</v>
          </cell>
        </row>
        <row r="210">
          <cell r="AO210" t="str">
            <v xml:space="preserve"> </v>
          </cell>
        </row>
        <row r="211">
          <cell r="AO211" t="str">
            <v>65b</v>
          </cell>
        </row>
        <row r="212">
          <cell r="AO212" t="str">
            <v>65a</v>
          </cell>
        </row>
        <row r="214">
          <cell r="AO214" t="str">
            <v>66a</v>
          </cell>
        </row>
        <row r="215">
          <cell r="AO215" t="str">
            <v>66a</v>
          </cell>
        </row>
        <row r="216">
          <cell r="AO216" t="str">
            <v>65b</v>
          </cell>
        </row>
        <row r="218">
          <cell r="AO218" t="str">
            <v>65b</v>
          </cell>
        </row>
        <row r="219">
          <cell r="AO219" t="str">
            <v>66x</v>
          </cell>
        </row>
        <row r="220">
          <cell r="AO220" t="str">
            <v>9</v>
          </cell>
        </row>
        <row r="222">
          <cell r="AO222" t="str">
            <v>65b</v>
          </cell>
        </row>
        <row r="223">
          <cell r="AO223" t="str">
            <v>66a</v>
          </cell>
        </row>
        <row r="224">
          <cell r="AO224" t="str">
            <v>65a</v>
          </cell>
        </row>
        <row r="225">
          <cell r="AO225" t="str">
            <v>65a</v>
          </cell>
        </row>
        <row r="227">
          <cell r="AO227" t="str">
            <v>65a</v>
          </cell>
        </row>
        <row r="228">
          <cell r="AO228" t="str">
            <v xml:space="preserve"> </v>
          </cell>
        </row>
        <row r="229">
          <cell r="AO229" t="str">
            <v>65b</v>
          </cell>
        </row>
        <row r="230">
          <cell r="AO230" t="str">
            <v>65b</v>
          </cell>
        </row>
        <row r="231">
          <cell r="AO231" t="str">
            <v>65b</v>
          </cell>
        </row>
        <row r="234">
          <cell r="AO234" t="str">
            <v xml:space="preserve"> </v>
          </cell>
        </row>
        <row r="235">
          <cell r="AO235" t="str">
            <v xml:space="preserve"> </v>
          </cell>
        </row>
        <row r="236">
          <cell r="AO236" t="str">
            <v xml:space="preserve"> </v>
          </cell>
        </row>
        <row r="237">
          <cell r="AO237" t="str">
            <v xml:space="preserve"> </v>
          </cell>
        </row>
        <row r="238">
          <cell r="AO238" t="str">
            <v>65a</v>
          </cell>
        </row>
        <row r="239">
          <cell r="AO239" t="str">
            <v>65a</v>
          </cell>
        </row>
        <row r="240">
          <cell r="AO240" t="str">
            <v>65a</v>
          </cell>
        </row>
        <row r="241">
          <cell r="AO241" t="str">
            <v>65a</v>
          </cell>
        </row>
        <row r="243">
          <cell r="AO243" t="str">
            <v>65a</v>
          </cell>
        </row>
        <row r="244">
          <cell r="AO244" t="str">
            <v>65a</v>
          </cell>
        </row>
        <row r="245">
          <cell r="AO245" t="str">
            <v>65a</v>
          </cell>
        </row>
        <row r="246">
          <cell r="AO246" t="str">
            <v>65a</v>
          </cell>
        </row>
        <row r="247">
          <cell r="AO247" t="str">
            <v>65a</v>
          </cell>
        </row>
        <row r="248">
          <cell r="AO248" t="str">
            <v>65a</v>
          </cell>
        </row>
        <row r="249">
          <cell r="AO249" t="str">
            <v xml:space="preserve"> </v>
          </cell>
        </row>
        <row r="250">
          <cell r="AO250" t="str">
            <v xml:space="preserve"> </v>
          </cell>
        </row>
        <row r="251">
          <cell r="AO251" t="str">
            <v>65b</v>
          </cell>
        </row>
        <row r="254">
          <cell r="AO254" t="str">
            <v>65b</v>
          </cell>
        </row>
        <row r="256">
          <cell r="AO256" t="str">
            <v>65b</v>
          </cell>
        </row>
        <row r="257">
          <cell r="AO257" t="str">
            <v>65a</v>
          </cell>
        </row>
        <row r="258">
          <cell r="AO258" t="str">
            <v>65a</v>
          </cell>
        </row>
        <row r="259">
          <cell r="AO259" t="str">
            <v>65a</v>
          </cell>
        </row>
        <row r="260">
          <cell r="AO260" t="str">
            <v>65a</v>
          </cell>
        </row>
        <row r="267">
          <cell r="AO267" t="str">
            <v xml:space="preserve"> </v>
          </cell>
        </row>
        <row r="268">
          <cell r="AO268" t="str">
            <v>65b</v>
          </cell>
        </row>
        <row r="270">
          <cell r="AO270" t="str">
            <v>65a</v>
          </cell>
        </row>
        <row r="271">
          <cell r="AO271" t="str">
            <v>65b</v>
          </cell>
        </row>
        <row r="275">
          <cell r="AO275" t="str">
            <v>65b</v>
          </cell>
        </row>
        <row r="276">
          <cell r="AO276" t="str">
            <v>65a</v>
          </cell>
        </row>
        <row r="277">
          <cell r="AO277" t="str">
            <v>65a</v>
          </cell>
        </row>
        <row r="278">
          <cell r="AO278" t="str">
            <v>65a</v>
          </cell>
        </row>
        <row r="279">
          <cell r="AO279" t="str">
            <v>65a</v>
          </cell>
        </row>
        <row r="280">
          <cell r="AO280" t="str">
            <v>65a</v>
          </cell>
        </row>
        <row r="281">
          <cell r="AO281" t="str">
            <v>65a</v>
          </cell>
        </row>
        <row r="282">
          <cell r="AO282" t="str">
            <v>65a</v>
          </cell>
        </row>
        <row r="283">
          <cell r="AO283">
            <v>40</v>
          </cell>
        </row>
        <row r="285">
          <cell r="AO285" t="str">
            <v xml:space="preserve"> </v>
          </cell>
        </row>
        <row r="286">
          <cell r="AO286" t="str">
            <v xml:space="preserve"> </v>
          </cell>
        </row>
        <row r="287">
          <cell r="AO287" t="str">
            <v xml:space="preserve"> </v>
          </cell>
        </row>
        <row r="288">
          <cell r="AO288" t="str">
            <v xml:space="preserve"> </v>
          </cell>
        </row>
        <row r="289">
          <cell r="AO289" t="str">
            <v xml:space="preserve"> </v>
          </cell>
        </row>
        <row r="290">
          <cell r="AO290" t="str">
            <v xml:space="preserve"> </v>
          </cell>
        </row>
        <row r="291">
          <cell r="AO291" t="str">
            <v xml:space="preserve"> </v>
          </cell>
        </row>
        <row r="293">
          <cell r="AO293" t="str">
            <v xml:space="preserve"> </v>
          </cell>
        </row>
        <row r="294">
          <cell r="AO294" t="str">
            <v>65b</v>
          </cell>
        </row>
        <row r="295">
          <cell r="AO295" t="str">
            <v>65b</v>
          </cell>
        </row>
        <row r="296">
          <cell r="AO296" t="str">
            <v xml:space="preserve"> </v>
          </cell>
        </row>
        <row r="297">
          <cell r="AO297" t="str">
            <v>65b</v>
          </cell>
        </row>
        <row r="305">
          <cell r="AO305" t="str">
            <v xml:space="preserve"> </v>
          </cell>
        </row>
        <row r="306">
          <cell r="AO306" t="str">
            <v xml:space="preserve"> </v>
          </cell>
        </row>
        <row r="307">
          <cell r="AO307" t="str">
            <v xml:space="preserve"> </v>
          </cell>
        </row>
        <row r="308">
          <cell r="AO308" t="str">
            <v>65a</v>
          </cell>
        </row>
        <row r="310">
          <cell r="AO310" t="str">
            <v>65b</v>
          </cell>
        </row>
        <row r="312">
          <cell r="AO312" t="str">
            <v>65a</v>
          </cell>
        </row>
        <row r="314">
          <cell r="AO314" t="str">
            <v>65a</v>
          </cell>
        </row>
        <row r="318">
          <cell r="AO318" t="str">
            <v>65b</v>
          </cell>
        </row>
        <row r="319">
          <cell r="AO319" t="str">
            <v>65a</v>
          </cell>
        </row>
        <row r="321">
          <cell r="AO321" t="str">
            <v>41</v>
          </cell>
        </row>
        <row r="322">
          <cell r="AO322" t="str">
            <v>65a</v>
          </cell>
        </row>
        <row r="323">
          <cell r="AO323" t="str">
            <v>65a</v>
          </cell>
        </row>
        <row r="324">
          <cell r="AO324" t="str">
            <v>65a</v>
          </cell>
        </row>
        <row r="325">
          <cell r="AO325" t="str">
            <v>65a</v>
          </cell>
        </row>
        <row r="326">
          <cell r="AO326" t="str">
            <v>65a</v>
          </cell>
        </row>
        <row r="327">
          <cell r="AO327" t="str">
            <v>65b</v>
          </cell>
        </row>
        <row r="328">
          <cell r="AO328" t="str">
            <v>65b</v>
          </cell>
        </row>
        <row r="329">
          <cell r="AO329" t="str">
            <v>65b</v>
          </cell>
        </row>
        <row r="330">
          <cell r="AO330" t="str">
            <v>65b</v>
          </cell>
        </row>
        <row r="331">
          <cell r="AO331" t="str">
            <v>65b</v>
          </cell>
        </row>
        <row r="332">
          <cell r="AO332" t="str">
            <v>65a</v>
          </cell>
        </row>
        <row r="333">
          <cell r="AO333" t="str">
            <v>65a</v>
          </cell>
        </row>
        <row r="335">
          <cell r="AO335" t="str">
            <v>65a</v>
          </cell>
        </row>
        <row r="336">
          <cell r="AO336" t="str">
            <v>65a</v>
          </cell>
        </row>
        <row r="338">
          <cell r="AO338" t="str">
            <v>65a</v>
          </cell>
        </row>
        <row r="339">
          <cell r="AO339" t="str">
            <v>65a</v>
          </cell>
        </row>
        <row r="340">
          <cell r="AO340" t="str">
            <v>65a</v>
          </cell>
        </row>
        <row r="341">
          <cell r="AO341" t="str">
            <v>65a</v>
          </cell>
        </row>
        <row r="342">
          <cell r="AO342" t="str">
            <v>65a</v>
          </cell>
        </row>
        <row r="344">
          <cell r="AO344" t="str">
            <v>65a</v>
          </cell>
        </row>
        <row r="356">
          <cell r="AO356" t="str">
            <v>65a</v>
          </cell>
        </row>
        <row r="357">
          <cell r="AO357" t="str">
            <v>65a</v>
          </cell>
        </row>
        <row r="358">
          <cell r="AO358" t="str">
            <v>65b</v>
          </cell>
        </row>
        <row r="359">
          <cell r="AO359" t="str">
            <v>65a</v>
          </cell>
        </row>
        <row r="360">
          <cell r="AO360" t="str">
            <v>65a</v>
          </cell>
        </row>
        <row r="362">
          <cell r="AO362" t="str">
            <v>65a</v>
          </cell>
        </row>
        <row r="365">
          <cell r="AO365" t="str">
            <v>65a</v>
          </cell>
        </row>
        <row r="366">
          <cell r="AO366" t="str">
            <v>65a</v>
          </cell>
        </row>
        <row r="371">
          <cell r="AO371" t="str">
            <v>65b</v>
          </cell>
        </row>
        <row r="372">
          <cell r="AO372" t="str">
            <v>65a</v>
          </cell>
        </row>
        <row r="373">
          <cell r="AO373" t="str">
            <v>65a</v>
          </cell>
        </row>
        <row r="374">
          <cell r="AO374" t="str">
            <v>65a</v>
          </cell>
        </row>
        <row r="375">
          <cell r="AO375" t="str">
            <v>65a</v>
          </cell>
        </row>
        <row r="377">
          <cell r="AO377" t="str">
            <v>65a</v>
          </cell>
        </row>
        <row r="379">
          <cell r="AO379" t="str">
            <v>65b</v>
          </cell>
        </row>
        <row r="380">
          <cell r="AO380" t="str">
            <v>65a</v>
          </cell>
        </row>
        <row r="382">
          <cell r="AO382" t="str">
            <v>65a</v>
          </cell>
        </row>
        <row r="383">
          <cell r="AO383" t="str">
            <v>65a</v>
          </cell>
        </row>
        <row r="385">
          <cell r="AO385" t="str">
            <v>65a</v>
          </cell>
        </row>
        <row r="386">
          <cell r="AO386">
            <v>41</v>
          </cell>
        </row>
        <row r="387">
          <cell r="AO387">
            <v>41</v>
          </cell>
        </row>
        <row r="388">
          <cell r="AO388">
            <v>41</v>
          </cell>
        </row>
        <row r="389">
          <cell r="AO389">
            <v>41</v>
          </cell>
        </row>
        <row r="390">
          <cell r="AO390">
            <v>41</v>
          </cell>
        </row>
        <row r="391">
          <cell r="AO391" t="str">
            <v>41</v>
          </cell>
        </row>
        <row r="392">
          <cell r="AO392">
            <v>41</v>
          </cell>
        </row>
        <row r="393">
          <cell r="AO393">
            <v>41</v>
          </cell>
        </row>
        <row r="394">
          <cell r="AO394">
            <v>41</v>
          </cell>
        </row>
        <row r="395">
          <cell r="AO395">
            <v>41</v>
          </cell>
        </row>
        <row r="396">
          <cell r="AO396">
            <v>41</v>
          </cell>
        </row>
        <row r="397">
          <cell r="AO397">
            <v>41</v>
          </cell>
        </row>
        <row r="398">
          <cell r="AO398">
            <v>41</v>
          </cell>
        </row>
        <row r="399">
          <cell r="AO399" t="str">
            <v>41</v>
          </cell>
        </row>
        <row r="400">
          <cell r="AO400" t="str">
            <v>41</v>
          </cell>
        </row>
        <row r="401">
          <cell r="AO401" t="str">
            <v>41</v>
          </cell>
        </row>
        <row r="402">
          <cell r="AO402" t="str">
            <v>41</v>
          </cell>
        </row>
        <row r="403">
          <cell r="AO403" t="str">
            <v>41</v>
          </cell>
        </row>
        <row r="404">
          <cell r="AO404" t="str">
            <v>41</v>
          </cell>
        </row>
        <row r="405">
          <cell r="AO405" t="str">
            <v>41</v>
          </cell>
        </row>
        <row r="406">
          <cell r="AO406" t="str">
            <v>41</v>
          </cell>
        </row>
        <row r="407">
          <cell r="AO407" t="str">
            <v>41</v>
          </cell>
        </row>
        <row r="408">
          <cell r="AO408" t="str">
            <v xml:space="preserve"> </v>
          </cell>
        </row>
        <row r="409">
          <cell r="AO409" t="str">
            <v>65b</v>
          </cell>
        </row>
        <row r="410">
          <cell r="AO410" t="str">
            <v xml:space="preserve"> </v>
          </cell>
        </row>
        <row r="412">
          <cell r="AO412" t="str">
            <v>65b</v>
          </cell>
        </row>
        <row r="414">
          <cell r="AO414" t="str">
            <v>41</v>
          </cell>
        </row>
        <row r="415">
          <cell r="AO415" t="str">
            <v>41</v>
          </cell>
        </row>
        <row r="416">
          <cell r="AO416" t="str">
            <v>41</v>
          </cell>
        </row>
        <row r="417">
          <cell r="AO417" t="str">
            <v>41</v>
          </cell>
        </row>
        <row r="418">
          <cell r="AO418" t="str">
            <v>5</v>
          </cell>
        </row>
        <row r="419">
          <cell r="AO419" t="str">
            <v>5</v>
          </cell>
        </row>
        <row r="420">
          <cell r="AO420" t="str">
            <v>5</v>
          </cell>
        </row>
        <row r="421">
          <cell r="AO421" t="str">
            <v>5</v>
          </cell>
        </row>
        <row r="422">
          <cell r="AO422" t="str">
            <v>5</v>
          </cell>
        </row>
        <row r="423">
          <cell r="AO423" t="str">
            <v>5</v>
          </cell>
        </row>
        <row r="424">
          <cell r="AO424" t="str">
            <v>5</v>
          </cell>
        </row>
        <row r="425">
          <cell r="AO425" t="str">
            <v>5</v>
          </cell>
        </row>
        <row r="426">
          <cell r="AO426" t="str">
            <v>5</v>
          </cell>
        </row>
        <row r="427">
          <cell r="AO427" t="str">
            <v>5</v>
          </cell>
        </row>
        <row r="428">
          <cell r="AO428" t="str">
            <v>5</v>
          </cell>
        </row>
        <row r="429">
          <cell r="AO429" t="str">
            <v>5</v>
          </cell>
        </row>
        <row r="430">
          <cell r="AO430" t="str">
            <v>5</v>
          </cell>
        </row>
        <row r="431">
          <cell r="AO431" t="str">
            <v>5</v>
          </cell>
        </row>
        <row r="432">
          <cell r="AO432" t="str">
            <v>5</v>
          </cell>
        </row>
        <row r="433">
          <cell r="AO433" t="str">
            <v>5</v>
          </cell>
        </row>
        <row r="434">
          <cell r="AO434" t="str">
            <v>5</v>
          </cell>
        </row>
        <row r="435">
          <cell r="AO435" t="str">
            <v>5</v>
          </cell>
        </row>
        <row r="436">
          <cell r="AO436" t="str">
            <v>5</v>
          </cell>
        </row>
        <row r="437">
          <cell r="AO437" t="str">
            <v>5</v>
          </cell>
        </row>
        <row r="438">
          <cell r="AO438" t="str">
            <v>5</v>
          </cell>
        </row>
        <row r="439">
          <cell r="AO439" t="str">
            <v>5</v>
          </cell>
        </row>
        <row r="440">
          <cell r="AO440" t="str">
            <v>5</v>
          </cell>
        </row>
        <row r="441">
          <cell r="AO441" t="str">
            <v>5</v>
          </cell>
        </row>
        <row r="442">
          <cell r="AO442" t="str">
            <v>5</v>
          </cell>
        </row>
        <row r="443">
          <cell r="AO443" t="str">
            <v>5</v>
          </cell>
        </row>
        <row r="444">
          <cell r="AO444" t="str">
            <v>5</v>
          </cell>
        </row>
        <row r="445">
          <cell r="AO445" t="str">
            <v>5</v>
          </cell>
        </row>
        <row r="446">
          <cell r="AO446" t="str">
            <v>5</v>
          </cell>
        </row>
        <row r="447">
          <cell r="AO447" t="str">
            <v>5</v>
          </cell>
        </row>
        <row r="448">
          <cell r="AO448" t="str">
            <v>5</v>
          </cell>
        </row>
        <row r="449">
          <cell r="AO449" t="str">
            <v>5</v>
          </cell>
        </row>
        <row r="450">
          <cell r="AO450" t="str">
            <v>5</v>
          </cell>
        </row>
        <row r="451">
          <cell r="AO451" t="str">
            <v>5</v>
          </cell>
        </row>
        <row r="452">
          <cell r="AO452" t="str">
            <v>5</v>
          </cell>
        </row>
        <row r="453">
          <cell r="AO453" t="str">
            <v>5</v>
          </cell>
        </row>
        <row r="454">
          <cell r="AO454" t="str">
            <v>5</v>
          </cell>
        </row>
        <row r="455">
          <cell r="AO455" t="str">
            <v>5</v>
          </cell>
        </row>
        <row r="456">
          <cell r="AO456" t="str">
            <v>5</v>
          </cell>
        </row>
        <row r="457">
          <cell r="AO457" t="str">
            <v>5</v>
          </cell>
        </row>
        <row r="458">
          <cell r="AO458" t="str">
            <v>5</v>
          </cell>
        </row>
        <row r="459">
          <cell r="AO459" t="str">
            <v>5</v>
          </cell>
        </row>
        <row r="460">
          <cell r="AO460" t="str">
            <v>5</v>
          </cell>
        </row>
        <row r="461">
          <cell r="AO461" t="str">
            <v>5</v>
          </cell>
        </row>
        <row r="462">
          <cell r="AO462" t="str">
            <v>5</v>
          </cell>
        </row>
        <row r="463">
          <cell r="AO463" t="str">
            <v>5</v>
          </cell>
        </row>
        <row r="464">
          <cell r="AO464" t="str">
            <v>5</v>
          </cell>
        </row>
        <row r="465">
          <cell r="AO465" t="str">
            <v>5</v>
          </cell>
        </row>
        <row r="466">
          <cell r="AO466" t="str">
            <v xml:space="preserve"> </v>
          </cell>
        </row>
        <row r="467">
          <cell r="AO467" t="str">
            <v xml:space="preserve"> </v>
          </cell>
        </row>
        <row r="471">
          <cell r="AO471" t="str">
            <v>23</v>
          </cell>
        </row>
        <row r="472">
          <cell r="AO472" t="str">
            <v>65</v>
          </cell>
        </row>
        <row r="473">
          <cell r="AO473" t="str">
            <v>65</v>
          </cell>
        </row>
        <row r="474">
          <cell r="AO474" t="str">
            <v>47</v>
          </cell>
        </row>
        <row r="475">
          <cell r="AO475" t="str">
            <v>65a</v>
          </cell>
        </row>
        <row r="476">
          <cell r="AO476" t="str">
            <v>23</v>
          </cell>
        </row>
        <row r="477">
          <cell r="AO477" t="str">
            <v>65</v>
          </cell>
        </row>
        <row r="478">
          <cell r="AO478" t="str">
            <v>23</v>
          </cell>
        </row>
        <row r="479">
          <cell r="AO479">
            <v>65</v>
          </cell>
        </row>
        <row r="480">
          <cell r="AO480" t="str">
            <v>23</v>
          </cell>
        </row>
        <row r="481">
          <cell r="AO481" t="str">
            <v>23</v>
          </cell>
        </row>
        <row r="482">
          <cell r="AO482">
            <v>65</v>
          </cell>
        </row>
        <row r="483">
          <cell r="AO483" t="str">
            <v>23</v>
          </cell>
        </row>
        <row r="484">
          <cell r="AO484" t="str">
            <v>23</v>
          </cell>
        </row>
        <row r="485">
          <cell r="AO485">
            <v>65</v>
          </cell>
        </row>
        <row r="486">
          <cell r="AO486" t="str">
            <v>23</v>
          </cell>
        </row>
        <row r="487">
          <cell r="AO487">
            <v>65</v>
          </cell>
        </row>
        <row r="488">
          <cell r="AO488" t="str">
            <v>6</v>
          </cell>
        </row>
        <row r="489">
          <cell r="AO489" t="str">
            <v>65b</v>
          </cell>
        </row>
        <row r="493">
          <cell r="AO493" t="str">
            <v>6</v>
          </cell>
        </row>
        <row r="494">
          <cell r="AO494" t="str">
            <v>23</v>
          </cell>
        </row>
        <row r="495">
          <cell r="AO495" t="str">
            <v>6</v>
          </cell>
        </row>
        <row r="496">
          <cell r="AO496" t="str">
            <v xml:space="preserve"> </v>
          </cell>
        </row>
        <row r="497">
          <cell r="AO497" t="str">
            <v>6</v>
          </cell>
        </row>
        <row r="498">
          <cell r="AO498" t="str">
            <v>6</v>
          </cell>
        </row>
        <row r="499">
          <cell r="AO499" t="str">
            <v>26</v>
          </cell>
        </row>
        <row r="500">
          <cell r="AO500" t="str">
            <v xml:space="preserve"> </v>
          </cell>
        </row>
        <row r="501">
          <cell r="AO501" t="str">
            <v>47</v>
          </cell>
        </row>
        <row r="502">
          <cell r="AO502" t="str">
            <v>47</v>
          </cell>
        </row>
        <row r="503">
          <cell r="AO503" t="str">
            <v>47</v>
          </cell>
        </row>
        <row r="504">
          <cell r="AO504" t="str">
            <v>47</v>
          </cell>
        </row>
        <row r="505">
          <cell r="AO505">
            <v>65</v>
          </cell>
        </row>
        <row r="506">
          <cell r="AO506">
            <v>65</v>
          </cell>
        </row>
        <row r="507">
          <cell r="AO507">
            <v>65</v>
          </cell>
        </row>
        <row r="508">
          <cell r="AO508">
            <v>65</v>
          </cell>
        </row>
        <row r="509">
          <cell r="AO509">
            <v>65</v>
          </cell>
        </row>
        <row r="510">
          <cell r="AO510">
            <v>65</v>
          </cell>
        </row>
        <row r="511">
          <cell r="AO511">
            <v>65</v>
          </cell>
        </row>
        <row r="512">
          <cell r="AO512">
            <v>65</v>
          </cell>
        </row>
        <row r="513">
          <cell r="AO513" t="str">
            <v>47</v>
          </cell>
        </row>
        <row r="514">
          <cell r="AO514">
            <v>65</v>
          </cell>
        </row>
        <row r="515">
          <cell r="AO515">
            <v>65</v>
          </cell>
        </row>
        <row r="516">
          <cell r="AO516">
            <v>65</v>
          </cell>
        </row>
        <row r="517">
          <cell r="AO517">
            <v>65</v>
          </cell>
        </row>
        <row r="518">
          <cell r="AO518" t="str">
            <v>47</v>
          </cell>
        </row>
        <row r="519">
          <cell r="AO519" t="str">
            <v>47</v>
          </cell>
        </row>
        <row r="520">
          <cell r="AO520" t="str">
            <v>47</v>
          </cell>
        </row>
        <row r="521">
          <cell r="AO521" t="str">
            <v>47</v>
          </cell>
        </row>
        <row r="522">
          <cell r="AO522" t="str">
            <v>47</v>
          </cell>
        </row>
        <row r="524">
          <cell r="AO524" t="str">
            <v xml:space="preserve"> </v>
          </cell>
        </row>
        <row r="525">
          <cell r="AO525" t="str">
            <v>65</v>
          </cell>
        </row>
        <row r="526">
          <cell r="AO526" t="str">
            <v>66</v>
          </cell>
        </row>
        <row r="569">
          <cell r="AO569" t="str">
            <v>65b</v>
          </cell>
        </row>
        <row r="570">
          <cell r="AO570" t="str">
            <v>65b</v>
          </cell>
        </row>
        <row r="571">
          <cell r="AO571" t="str">
            <v>65b</v>
          </cell>
        </row>
        <row r="572">
          <cell r="AO572" t="str">
            <v>65b</v>
          </cell>
        </row>
        <row r="573">
          <cell r="AO573" t="str">
            <v>65b</v>
          </cell>
        </row>
        <row r="574">
          <cell r="AO574" t="str">
            <v>65b</v>
          </cell>
        </row>
        <row r="575">
          <cell r="AO575" t="str">
            <v>65b</v>
          </cell>
        </row>
        <row r="576">
          <cell r="AO576" t="str">
            <v>65b</v>
          </cell>
        </row>
        <row r="577">
          <cell r="AO577" t="str">
            <v>65b</v>
          </cell>
        </row>
        <row r="578">
          <cell r="AO578" t="str">
            <v>65b</v>
          </cell>
        </row>
        <row r="582">
          <cell r="AO582" t="str">
            <v>65</v>
          </cell>
        </row>
        <row r="584">
          <cell r="AO584" t="str">
            <v>65</v>
          </cell>
        </row>
        <row r="585">
          <cell r="AO585" t="str">
            <v>65a</v>
          </cell>
        </row>
        <row r="587">
          <cell r="AO587" t="str">
            <v>65</v>
          </cell>
        </row>
        <row r="589">
          <cell r="AO589" t="str">
            <v>65</v>
          </cell>
        </row>
        <row r="591">
          <cell r="AO591" t="str">
            <v>52</v>
          </cell>
        </row>
        <row r="592">
          <cell r="AO592" t="str">
            <v>52</v>
          </cell>
        </row>
        <row r="593">
          <cell r="AO593" t="str">
            <v>52</v>
          </cell>
        </row>
        <row r="594">
          <cell r="AO594" t="str">
            <v>66</v>
          </cell>
        </row>
        <row r="595">
          <cell r="AO595" t="str">
            <v>66</v>
          </cell>
        </row>
        <row r="596">
          <cell r="AO596" t="str">
            <v>66</v>
          </cell>
        </row>
        <row r="597">
          <cell r="AO597" t="str">
            <v>66</v>
          </cell>
        </row>
        <row r="598">
          <cell r="AO598" t="str">
            <v>66</v>
          </cell>
        </row>
        <row r="599">
          <cell r="AO599" t="str">
            <v>66</v>
          </cell>
        </row>
        <row r="600">
          <cell r="AO600" t="str">
            <v>66</v>
          </cell>
        </row>
        <row r="601">
          <cell r="AO601" t="str">
            <v>66</v>
          </cell>
        </row>
        <row r="602">
          <cell r="AO602" t="str">
            <v>66</v>
          </cell>
        </row>
        <row r="603">
          <cell r="AO603" t="str">
            <v>66</v>
          </cell>
        </row>
        <row r="604">
          <cell r="AO604" t="str">
            <v>66</v>
          </cell>
        </row>
        <row r="605">
          <cell r="AO605" t="str">
            <v>66</v>
          </cell>
        </row>
        <row r="606">
          <cell r="AO606" t="str">
            <v>66</v>
          </cell>
        </row>
        <row r="607">
          <cell r="AO607" t="str">
            <v>66</v>
          </cell>
        </row>
        <row r="608">
          <cell r="AO608" t="str">
            <v>66</v>
          </cell>
        </row>
        <row r="609">
          <cell r="AO609" t="str">
            <v>66</v>
          </cell>
        </row>
        <row r="610">
          <cell r="AO610" t="str">
            <v>66</v>
          </cell>
        </row>
        <row r="611">
          <cell r="AO611" t="str">
            <v>66</v>
          </cell>
        </row>
        <row r="612">
          <cell r="AO612" t="str">
            <v>66</v>
          </cell>
        </row>
        <row r="613">
          <cell r="AO613" t="str">
            <v>66</v>
          </cell>
        </row>
        <row r="614">
          <cell r="AO614" t="str">
            <v>66</v>
          </cell>
        </row>
        <row r="615">
          <cell r="AO615" t="str">
            <v>66</v>
          </cell>
        </row>
        <row r="616">
          <cell r="AO616" t="str">
            <v>66</v>
          </cell>
        </row>
        <row r="617">
          <cell r="AO617" t="str">
            <v>66</v>
          </cell>
        </row>
        <row r="618">
          <cell r="AO618" t="str">
            <v>66</v>
          </cell>
        </row>
        <row r="619">
          <cell r="AO619" t="str">
            <v>66</v>
          </cell>
        </row>
        <row r="620">
          <cell r="AO620" t="str">
            <v>66</v>
          </cell>
        </row>
        <row r="621">
          <cell r="AO621" t="str">
            <v>66</v>
          </cell>
        </row>
        <row r="622">
          <cell r="AO622" t="str">
            <v>66</v>
          </cell>
        </row>
        <row r="623">
          <cell r="AO623" t="str">
            <v>66</v>
          </cell>
        </row>
        <row r="624">
          <cell r="AO624" t="str">
            <v>66</v>
          </cell>
        </row>
        <row r="625">
          <cell r="AO625" t="str">
            <v>66</v>
          </cell>
        </row>
        <row r="626">
          <cell r="AO626" t="str">
            <v>66</v>
          </cell>
        </row>
        <row r="627">
          <cell r="AO627" t="str">
            <v>66</v>
          </cell>
        </row>
        <row r="628">
          <cell r="AO628" t="str">
            <v>46</v>
          </cell>
        </row>
        <row r="629">
          <cell r="AO629" t="str">
            <v>45</v>
          </cell>
        </row>
        <row r="630">
          <cell r="AO630" t="str">
            <v>46</v>
          </cell>
        </row>
        <row r="631">
          <cell r="AO631" t="str">
            <v>11</v>
          </cell>
        </row>
        <row r="632">
          <cell r="AO632" t="str">
            <v>65a</v>
          </cell>
        </row>
        <row r="633">
          <cell r="AO633" t="str">
            <v>65a</v>
          </cell>
        </row>
        <row r="634">
          <cell r="AO634" t="str">
            <v>47</v>
          </cell>
        </row>
        <row r="635">
          <cell r="AO635" t="str">
            <v>66</v>
          </cell>
        </row>
        <row r="636">
          <cell r="AO636" t="str">
            <v>65</v>
          </cell>
        </row>
        <row r="637">
          <cell r="AO637" t="str">
            <v>65a</v>
          </cell>
        </row>
        <row r="638">
          <cell r="AO638" t="str">
            <v>47</v>
          </cell>
        </row>
        <row r="639">
          <cell r="AO639" t="str">
            <v>47</v>
          </cell>
        </row>
        <row r="640">
          <cell r="AO640" t="str">
            <v>47</v>
          </cell>
        </row>
        <row r="641">
          <cell r="AO641" t="str">
            <v>65</v>
          </cell>
        </row>
        <row r="642">
          <cell r="AO642" t="str">
            <v>65a</v>
          </cell>
        </row>
        <row r="643">
          <cell r="AO643" t="str">
            <v>46</v>
          </cell>
        </row>
        <row r="645">
          <cell r="AO645" t="str">
            <v>11</v>
          </cell>
        </row>
        <row r="646">
          <cell r="AO646">
            <v>65</v>
          </cell>
        </row>
        <row r="647">
          <cell r="AO647" t="str">
            <v>66A</v>
          </cell>
        </row>
        <row r="652">
          <cell r="AO652" t="str">
            <v>11</v>
          </cell>
        </row>
        <row r="653">
          <cell r="AO653" t="str">
            <v>11</v>
          </cell>
        </row>
        <row r="654">
          <cell r="AO654" t="str">
            <v>11</v>
          </cell>
        </row>
        <row r="656">
          <cell r="AO656" t="str">
            <v>11</v>
          </cell>
        </row>
        <row r="657">
          <cell r="AO657" t="str">
            <v>65</v>
          </cell>
        </row>
        <row r="658">
          <cell r="AO658" t="str">
            <v>11</v>
          </cell>
        </row>
        <row r="659">
          <cell r="AO659" t="str">
            <v>11</v>
          </cell>
        </row>
        <row r="660">
          <cell r="AO660" t="str">
            <v>65</v>
          </cell>
        </row>
        <row r="661">
          <cell r="AO661">
            <v>65</v>
          </cell>
        </row>
        <row r="664">
          <cell r="AO664" t="str">
            <v>11</v>
          </cell>
        </row>
        <row r="665">
          <cell r="AO665" t="str">
            <v>41</v>
          </cell>
        </row>
        <row r="666">
          <cell r="AO666" t="str">
            <v>41</v>
          </cell>
        </row>
        <row r="667">
          <cell r="AO667" t="str">
            <v>41</v>
          </cell>
        </row>
        <row r="668">
          <cell r="AO668" t="str">
            <v>41</v>
          </cell>
        </row>
        <row r="669">
          <cell r="AO669" t="str">
            <v>41</v>
          </cell>
        </row>
        <row r="670">
          <cell r="AO670" t="str">
            <v>41</v>
          </cell>
        </row>
        <row r="671">
          <cell r="AO671" t="str">
            <v>11</v>
          </cell>
        </row>
        <row r="672">
          <cell r="AO672" t="str">
            <v>41</v>
          </cell>
        </row>
        <row r="673">
          <cell r="AO673" t="str">
            <v>11</v>
          </cell>
        </row>
        <row r="674">
          <cell r="AO674" t="str">
            <v>11</v>
          </cell>
        </row>
        <row r="675">
          <cell r="AO675" t="str">
            <v>11</v>
          </cell>
        </row>
        <row r="676">
          <cell r="AO676" t="str">
            <v>11</v>
          </cell>
        </row>
        <row r="677">
          <cell r="AO677" t="str">
            <v>11</v>
          </cell>
        </row>
        <row r="678">
          <cell r="AO678" t="str">
            <v>41</v>
          </cell>
        </row>
        <row r="679">
          <cell r="AO679">
            <v>65</v>
          </cell>
        </row>
        <row r="680">
          <cell r="AO680">
            <v>65</v>
          </cell>
        </row>
        <row r="681">
          <cell r="AO681">
            <v>65</v>
          </cell>
        </row>
        <row r="682">
          <cell r="AO682">
            <v>65</v>
          </cell>
        </row>
        <row r="683">
          <cell r="AO683">
            <v>65</v>
          </cell>
        </row>
        <row r="684">
          <cell r="AO684">
            <v>65</v>
          </cell>
        </row>
        <row r="685">
          <cell r="AO685">
            <v>65</v>
          </cell>
        </row>
        <row r="686">
          <cell r="AO686">
            <v>65</v>
          </cell>
        </row>
        <row r="687">
          <cell r="AO687">
            <v>65</v>
          </cell>
        </row>
        <row r="688">
          <cell r="AO688">
            <v>65</v>
          </cell>
        </row>
        <row r="689">
          <cell r="AO689">
            <v>65</v>
          </cell>
        </row>
        <row r="690">
          <cell r="AO690">
            <v>65</v>
          </cell>
        </row>
        <row r="691">
          <cell r="AO691">
            <v>65</v>
          </cell>
        </row>
        <row r="692">
          <cell r="AO692">
            <v>65</v>
          </cell>
        </row>
        <row r="693">
          <cell r="AO693">
            <v>65</v>
          </cell>
        </row>
        <row r="694">
          <cell r="AO694">
            <v>65</v>
          </cell>
        </row>
        <row r="695">
          <cell r="AO695">
            <v>65</v>
          </cell>
        </row>
        <row r="696">
          <cell r="AO696">
            <v>65</v>
          </cell>
        </row>
        <row r="697">
          <cell r="AO697">
            <v>65</v>
          </cell>
        </row>
        <row r="698">
          <cell r="AO698">
            <v>65</v>
          </cell>
        </row>
        <row r="699">
          <cell r="AO699">
            <v>65</v>
          </cell>
        </row>
        <row r="700">
          <cell r="AO700">
            <v>65</v>
          </cell>
        </row>
        <row r="701">
          <cell r="AO701" t="str">
            <v>65</v>
          </cell>
        </row>
        <row r="702">
          <cell r="AO702">
            <v>65</v>
          </cell>
        </row>
        <row r="703">
          <cell r="AO703" t="str">
            <v>65</v>
          </cell>
        </row>
        <row r="705">
          <cell r="AO705" t="str">
            <v>23</v>
          </cell>
        </row>
        <row r="706">
          <cell r="AO706" t="str">
            <v>12</v>
          </cell>
        </row>
        <row r="707">
          <cell r="AO707" t="str">
            <v>12</v>
          </cell>
        </row>
        <row r="708">
          <cell r="AO708" t="str">
            <v>12</v>
          </cell>
        </row>
        <row r="709">
          <cell r="AO709" t="str">
            <v>12</v>
          </cell>
        </row>
        <row r="710">
          <cell r="AO710" t="str">
            <v>12</v>
          </cell>
        </row>
        <row r="711">
          <cell r="AO711" t="str">
            <v>12</v>
          </cell>
        </row>
        <row r="712">
          <cell r="AO712" t="str">
            <v>12</v>
          </cell>
        </row>
        <row r="713">
          <cell r="AO713" t="str">
            <v>12</v>
          </cell>
        </row>
        <row r="714">
          <cell r="AO714" t="str">
            <v>12</v>
          </cell>
        </row>
        <row r="715">
          <cell r="AO715" t="str">
            <v>12</v>
          </cell>
        </row>
        <row r="716">
          <cell r="AO716" t="str">
            <v>12</v>
          </cell>
        </row>
        <row r="717">
          <cell r="AO717" t="str">
            <v>12</v>
          </cell>
        </row>
        <row r="718">
          <cell r="AO718" t="str">
            <v>12</v>
          </cell>
        </row>
        <row r="719">
          <cell r="AO719" t="str">
            <v>12</v>
          </cell>
        </row>
        <row r="720">
          <cell r="AO720" t="str">
            <v>12</v>
          </cell>
        </row>
        <row r="721">
          <cell r="AO721" t="str">
            <v>12</v>
          </cell>
        </row>
        <row r="722">
          <cell r="AO722" t="str">
            <v>12</v>
          </cell>
        </row>
        <row r="723">
          <cell r="AO723" t="str">
            <v>12</v>
          </cell>
        </row>
        <row r="724">
          <cell r="AO724" t="str">
            <v>12</v>
          </cell>
        </row>
        <row r="725">
          <cell r="AO725" t="str">
            <v>12</v>
          </cell>
        </row>
        <row r="726">
          <cell r="AO726" t="str">
            <v>12</v>
          </cell>
        </row>
        <row r="727">
          <cell r="AO727" t="str">
            <v>12</v>
          </cell>
        </row>
        <row r="728">
          <cell r="AO728" t="str">
            <v>12</v>
          </cell>
        </row>
        <row r="729">
          <cell r="AO729" t="str">
            <v>12</v>
          </cell>
        </row>
        <row r="730">
          <cell r="AO730" t="str">
            <v>12</v>
          </cell>
        </row>
        <row r="731">
          <cell r="AO731" t="str">
            <v>12</v>
          </cell>
        </row>
        <row r="732">
          <cell r="AO732" t="str">
            <v>12</v>
          </cell>
        </row>
        <row r="733">
          <cell r="AO733" t="str">
            <v>12</v>
          </cell>
        </row>
        <row r="734">
          <cell r="AO734" t="str">
            <v>12</v>
          </cell>
        </row>
        <row r="735">
          <cell r="AO735">
            <v>65</v>
          </cell>
        </row>
        <row r="736">
          <cell r="AO736">
            <v>65</v>
          </cell>
        </row>
        <row r="737">
          <cell r="AO737">
            <v>65</v>
          </cell>
        </row>
        <row r="738">
          <cell r="AO738">
            <v>65</v>
          </cell>
        </row>
        <row r="739">
          <cell r="AO739" t="str">
            <v>65</v>
          </cell>
        </row>
        <row r="740">
          <cell r="AO740" t="str">
            <v>65</v>
          </cell>
        </row>
        <row r="741">
          <cell r="AO741" t="str">
            <v>65b</v>
          </cell>
        </row>
        <row r="744">
          <cell r="AO744" t="str">
            <v>6</v>
          </cell>
        </row>
        <row r="745">
          <cell r="AO745" t="str">
            <v>65b</v>
          </cell>
        </row>
        <row r="746">
          <cell r="AO746" t="str">
            <v>64</v>
          </cell>
        </row>
        <row r="747">
          <cell r="AO747" t="str">
            <v>50/67</v>
          </cell>
        </row>
        <row r="748">
          <cell r="AO748" t="str">
            <v>22</v>
          </cell>
        </row>
        <row r="749">
          <cell r="AO749" t="str">
            <v>22</v>
          </cell>
        </row>
        <row r="750">
          <cell r="AO750" t="str">
            <v>22</v>
          </cell>
        </row>
        <row r="751">
          <cell r="AO751" t="str">
            <v>6</v>
          </cell>
        </row>
        <row r="752">
          <cell r="AO752" t="str">
            <v>66</v>
          </cell>
        </row>
        <row r="753">
          <cell r="AO753" t="str">
            <v>31/66</v>
          </cell>
        </row>
        <row r="754">
          <cell r="AO754" t="str">
            <v>48</v>
          </cell>
        </row>
        <row r="755">
          <cell r="AO755" t="str">
            <v>48</v>
          </cell>
        </row>
        <row r="756">
          <cell r="AO756" t="str">
            <v>50/67</v>
          </cell>
        </row>
        <row r="757">
          <cell r="AO757" t="str">
            <v>50/67</v>
          </cell>
        </row>
        <row r="758">
          <cell r="AO758" t="str">
            <v>50/67</v>
          </cell>
        </row>
        <row r="759">
          <cell r="AO759" t="str">
            <v>48</v>
          </cell>
        </row>
        <row r="760">
          <cell r="AO760" t="str">
            <v>48</v>
          </cell>
        </row>
        <row r="761">
          <cell r="AO761" t="str">
            <v>22</v>
          </cell>
        </row>
        <row r="763">
          <cell r="AO763" t="str">
            <v>50/67</v>
          </cell>
        </row>
        <row r="764">
          <cell r="AO764" t="str">
            <v>50/67</v>
          </cell>
        </row>
        <row r="770">
          <cell r="AO770" t="str">
            <v>48</v>
          </cell>
        </row>
        <row r="771">
          <cell r="AO771" t="str">
            <v>65a</v>
          </cell>
        </row>
        <row r="775">
          <cell r="AO775" t="str">
            <v>50/67</v>
          </cell>
        </row>
        <row r="777">
          <cell r="AO777" t="str">
            <v>48</v>
          </cell>
        </row>
        <row r="780">
          <cell r="AO780" t="str">
            <v>41</v>
          </cell>
        </row>
        <row r="783">
          <cell r="AO783" t="str">
            <v>50/67</v>
          </cell>
        </row>
        <row r="784">
          <cell r="AO784" t="str">
            <v>50/67</v>
          </cell>
        </row>
        <row r="789">
          <cell r="AO789" t="str">
            <v>2</v>
          </cell>
        </row>
        <row r="790">
          <cell r="AO790" t="str">
            <v>3</v>
          </cell>
        </row>
        <row r="791">
          <cell r="AO791" t="str">
            <v>3</v>
          </cell>
        </row>
        <row r="792">
          <cell r="AO792" t="str">
            <v>3</v>
          </cell>
        </row>
        <row r="793">
          <cell r="AO793" t="str">
            <v>3</v>
          </cell>
        </row>
        <row r="794">
          <cell r="AO794" t="str">
            <v>3</v>
          </cell>
        </row>
        <row r="795">
          <cell r="AO795" t="str">
            <v>3</v>
          </cell>
        </row>
        <row r="796">
          <cell r="AO796" t="str">
            <v>3</v>
          </cell>
        </row>
        <row r="797">
          <cell r="AO797" t="str">
            <v>4</v>
          </cell>
        </row>
        <row r="798">
          <cell r="AO798" t="str">
            <v>4</v>
          </cell>
        </row>
        <row r="799">
          <cell r="AO799" t="str">
            <v>4</v>
          </cell>
        </row>
        <row r="800">
          <cell r="AO800" t="str">
            <v>4</v>
          </cell>
        </row>
        <row r="801">
          <cell r="AO801" t="str">
            <v>4</v>
          </cell>
        </row>
        <row r="802">
          <cell r="AO802" t="str">
            <v>41</v>
          </cell>
        </row>
        <row r="803">
          <cell r="AO803" t="str">
            <v>41</v>
          </cell>
        </row>
        <row r="804">
          <cell r="AO804" t="str">
            <v>41</v>
          </cell>
        </row>
        <row r="805">
          <cell r="AO805" t="str">
            <v>41</v>
          </cell>
        </row>
        <row r="806">
          <cell r="AO806" t="str">
            <v>41</v>
          </cell>
        </row>
        <row r="807">
          <cell r="AO807" t="str">
            <v>41</v>
          </cell>
        </row>
        <row r="808">
          <cell r="AO808" t="str">
            <v>4</v>
          </cell>
        </row>
        <row r="809">
          <cell r="AO809" t="str">
            <v>4</v>
          </cell>
        </row>
        <row r="810">
          <cell r="AO810" t="str">
            <v>4</v>
          </cell>
        </row>
        <row r="811">
          <cell r="AO811" t="str">
            <v>4</v>
          </cell>
        </row>
        <row r="812">
          <cell r="AO812" t="str">
            <v>6</v>
          </cell>
        </row>
        <row r="813">
          <cell r="AO813" t="str">
            <v>6</v>
          </cell>
        </row>
        <row r="814">
          <cell r="AO814" t="str">
            <v>6</v>
          </cell>
        </row>
        <row r="815">
          <cell r="AO815" t="str">
            <v>41</v>
          </cell>
        </row>
        <row r="816">
          <cell r="AO816" t="str">
            <v>6</v>
          </cell>
        </row>
        <row r="817">
          <cell r="AO817" t="str">
            <v>6</v>
          </cell>
        </row>
        <row r="818">
          <cell r="AO818" t="str">
            <v>6</v>
          </cell>
        </row>
        <row r="819">
          <cell r="AO819" t="str">
            <v>6</v>
          </cell>
        </row>
        <row r="820">
          <cell r="AO820" t="str">
            <v>6</v>
          </cell>
        </row>
        <row r="821">
          <cell r="AO821" t="str">
            <v>6</v>
          </cell>
        </row>
        <row r="822">
          <cell r="AO822" t="str">
            <v>6</v>
          </cell>
        </row>
        <row r="823">
          <cell r="AO823" t="str">
            <v>6</v>
          </cell>
        </row>
        <row r="824">
          <cell r="AO824" t="str">
            <v>6</v>
          </cell>
        </row>
        <row r="825">
          <cell r="AO825" t="str">
            <v>6</v>
          </cell>
        </row>
        <row r="826">
          <cell r="AO826" t="str">
            <v>6</v>
          </cell>
        </row>
        <row r="827">
          <cell r="AO827" t="str">
            <v>6</v>
          </cell>
        </row>
        <row r="828">
          <cell r="AO828" t="str">
            <v>6</v>
          </cell>
        </row>
        <row r="829">
          <cell r="AO829" t="str">
            <v>41</v>
          </cell>
        </row>
        <row r="830">
          <cell r="AO830" t="str">
            <v>41</v>
          </cell>
        </row>
        <row r="831">
          <cell r="AO831" t="str">
            <v>41</v>
          </cell>
        </row>
        <row r="832">
          <cell r="AO832" t="str">
            <v>41</v>
          </cell>
        </row>
        <row r="833">
          <cell r="AO833" t="str">
            <v>41</v>
          </cell>
        </row>
        <row r="834">
          <cell r="AO834" t="str">
            <v>41</v>
          </cell>
        </row>
        <row r="835">
          <cell r="AO835" t="str">
            <v>8</v>
          </cell>
        </row>
        <row r="836">
          <cell r="AO836" t="str">
            <v>8</v>
          </cell>
        </row>
        <row r="837">
          <cell r="AO837" t="str">
            <v>8</v>
          </cell>
        </row>
        <row r="838">
          <cell r="AO838" t="str">
            <v>8</v>
          </cell>
        </row>
        <row r="839">
          <cell r="AO839" t="str">
            <v>8</v>
          </cell>
        </row>
        <row r="840">
          <cell r="AO840" t="str">
            <v>8</v>
          </cell>
        </row>
        <row r="841">
          <cell r="AO841" t="str">
            <v>8</v>
          </cell>
        </row>
        <row r="842">
          <cell r="AO842" t="str">
            <v>8</v>
          </cell>
        </row>
        <row r="843">
          <cell r="AO843" t="str">
            <v>8</v>
          </cell>
        </row>
        <row r="844">
          <cell r="AO844" t="str">
            <v>8</v>
          </cell>
        </row>
        <row r="845">
          <cell r="AO845" t="str">
            <v>8</v>
          </cell>
        </row>
        <row r="846">
          <cell r="AO846" t="str">
            <v>8</v>
          </cell>
        </row>
        <row r="847">
          <cell r="AO847" t="str">
            <v>8</v>
          </cell>
        </row>
        <row r="848">
          <cell r="AO848" t="str">
            <v>8</v>
          </cell>
        </row>
        <row r="849">
          <cell r="AO849" t="str">
            <v>8</v>
          </cell>
        </row>
        <row r="850">
          <cell r="AO850" t="str">
            <v>8</v>
          </cell>
        </row>
        <row r="851">
          <cell r="AO851" t="str">
            <v>8</v>
          </cell>
        </row>
        <row r="852">
          <cell r="AO852" t="str">
            <v>8</v>
          </cell>
        </row>
        <row r="853">
          <cell r="AO853" t="str">
            <v>8</v>
          </cell>
        </row>
        <row r="854">
          <cell r="AO854" t="str">
            <v>8</v>
          </cell>
        </row>
        <row r="855">
          <cell r="AO855" t="str">
            <v>8</v>
          </cell>
        </row>
        <row r="856">
          <cell r="AO856" t="str">
            <v>8</v>
          </cell>
        </row>
        <row r="857">
          <cell r="AO857" t="str">
            <v>8</v>
          </cell>
        </row>
        <row r="858">
          <cell r="AO858" t="str">
            <v>8</v>
          </cell>
        </row>
        <row r="859">
          <cell r="AO859" t="str">
            <v>8</v>
          </cell>
        </row>
        <row r="860">
          <cell r="AO860" t="str">
            <v>8</v>
          </cell>
        </row>
        <row r="861">
          <cell r="AO861" t="str">
            <v>8</v>
          </cell>
        </row>
        <row r="862">
          <cell r="AO862" t="str">
            <v>8</v>
          </cell>
        </row>
        <row r="863">
          <cell r="AO863" t="str">
            <v>8</v>
          </cell>
        </row>
        <row r="864">
          <cell r="AO864" t="str">
            <v>8</v>
          </cell>
        </row>
        <row r="865">
          <cell r="AO865" t="str">
            <v>8</v>
          </cell>
        </row>
        <row r="866">
          <cell r="AO866" t="str">
            <v>8</v>
          </cell>
        </row>
        <row r="867">
          <cell r="AO867" t="str">
            <v>8</v>
          </cell>
        </row>
        <row r="868">
          <cell r="AO868" t="str">
            <v>8</v>
          </cell>
        </row>
        <row r="869">
          <cell r="AO869" t="str">
            <v>8</v>
          </cell>
        </row>
        <row r="870">
          <cell r="AO870" t="str">
            <v>8</v>
          </cell>
        </row>
        <row r="871">
          <cell r="AO871" t="str">
            <v>8</v>
          </cell>
        </row>
        <row r="872">
          <cell r="AO872" t="str">
            <v>8</v>
          </cell>
        </row>
        <row r="873">
          <cell r="AO873" t="str">
            <v>8</v>
          </cell>
        </row>
        <row r="874">
          <cell r="AO874" t="str">
            <v>8</v>
          </cell>
        </row>
        <row r="875">
          <cell r="AO875" t="str">
            <v>8</v>
          </cell>
        </row>
        <row r="876">
          <cell r="AO876" t="str">
            <v>8</v>
          </cell>
        </row>
        <row r="877">
          <cell r="AO877" t="str">
            <v>8</v>
          </cell>
        </row>
        <row r="878">
          <cell r="AO878" t="str">
            <v>8</v>
          </cell>
        </row>
        <row r="879">
          <cell r="AO879" t="str">
            <v>8</v>
          </cell>
        </row>
        <row r="880">
          <cell r="AO880" t="str">
            <v>8</v>
          </cell>
        </row>
        <row r="881">
          <cell r="AO881" t="str">
            <v>8</v>
          </cell>
        </row>
        <row r="882">
          <cell r="AO882" t="str">
            <v>8</v>
          </cell>
        </row>
        <row r="883">
          <cell r="AO883" t="str">
            <v>8</v>
          </cell>
        </row>
        <row r="884">
          <cell r="AO884" t="str">
            <v>8</v>
          </cell>
        </row>
        <row r="885">
          <cell r="AO885" t="str">
            <v>8</v>
          </cell>
        </row>
        <row r="886">
          <cell r="AO886" t="str">
            <v>8</v>
          </cell>
        </row>
        <row r="887">
          <cell r="AO887" t="str">
            <v>8</v>
          </cell>
        </row>
        <row r="888">
          <cell r="AO888" t="str">
            <v>8</v>
          </cell>
        </row>
        <row r="889">
          <cell r="AO889" t="str">
            <v>8</v>
          </cell>
        </row>
        <row r="890">
          <cell r="AO890" t="str">
            <v>8</v>
          </cell>
        </row>
        <row r="891">
          <cell r="AO891" t="str">
            <v>8</v>
          </cell>
        </row>
        <row r="892">
          <cell r="AO892" t="str">
            <v>8</v>
          </cell>
        </row>
        <row r="893">
          <cell r="AO893" t="str">
            <v xml:space="preserve"> </v>
          </cell>
        </row>
        <row r="894">
          <cell r="AO894" t="str">
            <v>8</v>
          </cell>
        </row>
        <row r="895">
          <cell r="AO895" t="str">
            <v>8</v>
          </cell>
        </row>
        <row r="896">
          <cell r="AO896" t="str">
            <v>8</v>
          </cell>
        </row>
        <row r="897">
          <cell r="AO897" t="str">
            <v>8</v>
          </cell>
        </row>
        <row r="898">
          <cell r="AO898" t="str">
            <v>8</v>
          </cell>
        </row>
        <row r="899">
          <cell r="AO899" t="str">
            <v>8</v>
          </cell>
        </row>
        <row r="900">
          <cell r="AO900" t="str">
            <v>8</v>
          </cell>
        </row>
        <row r="901">
          <cell r="AO901" t="str">
            <v>8</v>
          </cell>
        </row>
        <row r="902">
          <cell r="AO902" t="str">
            <v>8</v>
          </cell>
        </row>
        <row r="903">
          <cell r="AO903" t="str">
            <v>8</v>
          </cell>
        </row>
        <row r="904">
          <cell r="AO904" t="str">
            <v>8</v>
          </cell>
        </row>
        <row r="905">
          <cell r="AO905" t="str">
            <v>8</v>
          </cell>
        </row>
        <row r="906">
          <cell r="AO906" t="str">
            <v>8</v>
          </cell>
        </row>
        <row r="907">
          <cell r="AO907" t="str">
            <v>9</v>
          </cell>
        </row>
        <row r="908">
          <cell r="AO908" t="str">
            <v>8</v>
          </cell>
        </row>
        <row r="909">
          <cell r="AO909" t="str">
            <v>8</v>
          </cell>
        </row>
        <row r="910">
          <cell r="AO910" t="str">
            <v>8</v>
          </cell>
        </row>
        <row r="911">
          <cell r="AO911" t="str">
            <v>8</v>
          </cell>
        </row>
        <row r="912">
          <cell r="AO912" t="str">
            <v>8</v>
          </cell>
        </row>
        <row r="913">
          <cell r="AO913" t="str">
            <v>8</v>
          </cell>
        </row>
        <row r="914">
          <cell r="AO914" t="str">
            <v>8</v>
          </cell>
        </row>
        <row r="917">
          <cell r="AO917">
            <v>65</v>
          </cell>
        </row>
        <row r="934">
          <cell r="AO934" t="str">
            <v>65b</v>
          </cell>
        </row>
        <row r="935">
          <cell r="AO935" t="str">
            <v>9</v>
          </cell>
        </row>
        <row r="936">
          <cell r="AO936" t="str">
            <v>9</v>
          </cell>
        </row>
        <row r="937">
          <cell r="AO937" t="str">
            <v>9</v>
          </cell>
        </row>
        <row r="938">
          <cell r="AO938" t="str">
            <v>9</v>
          </cell>
        </row>
        <row r="939">
          <cell r="AO939" t="str">
            <v>9</v>
          </cell>
        </row>
        <row r="940">
          <cell r="AO940" t="str">
            <v>9</v>
          </cell>
        </row>
        <row r="941">
          <cell r="AO941" t="str">
            <v>9</v>
          </cell>
        </row>
        <row r="942">
          <cell r="AO942" t="str">
            <v>9</v>
          </cell>
        </row>
        <row r="943">
          <cell r="AO943" t="str">
            <v>9</v>
          </cell>
        </row>
        <row r="944">
          <cell r="AO944" t="str">
            <v>9</v>
          </cell>
        </row>
        <row r="945">
          <cell r="AO945" t="str">
            <v>9</v>
          </cell>
        </row>
        <row r="946">
          <cell r="AO946" t="str">
            <v>9</v>
          </cell>
        </row>
        <row r="947">
          <cell r="AO947" t="str">
            <v>9</v>
          </cell>
        </row>
        <row r="948">
          <cell r="AO948" t="str">
            <v>9</v>
          </cell>
        </row>
        <row r="949">
          <cell r="AO949" t="str">
            <v>9</v>
          </cell>
        </row>
        <row r="950">
          <cell r="AO950" t="str">
            <v>9</v>
          </cell>
        </row>
        <row r="951">
          <cell r="AO951" t="str">
            <v>9</v>
          </cell>
        </row>
        <row r="952">
          <cell r="AO952" t="str">
            <v>9</v>
          </cell>
        </row>
        <row r="955">
          <cell r="AO955" t="str">
            <v>65a</v>
          </cell>
        </row>
        <row r="959">
          <cell r="AO959" t="str">
            <v>65a</v>
          </cell>
        </row>
        <row r="963">
          <cell r="AO963" t="str">
            <v>65a</v>
          </cell>
        </row>
        <row r="965">
          <cell r="AO965" t="str">
            <v>65a</v>
          </cell>
        </row>
        <row r="966">
          <cell r="AO966" t="str">
            <v>65a</v>
          </cell>
        </row>
        <row r="967">
          <cell r="AO967" t="str">
            <v>65a</v>
          </cell>
        </row>
        <row r="968">
          <cell r="AO968" t="str">
            <v>65a</v>
          </cell>
        </row>
        <row r="969">
          <cell r="AO969" t="str">
            <v>65b</v>
          </cell>
        </row>
        <row r="970">
          <cell r="AO970" t="str">
            <v>65b</v>
          </cell>
        </row>
        <row r="971">
          <cell r="AO971" t="str">
            <v>65b</v>
          </cell>
        </row>
        <row r="973">
          <cell r="AO973" t="str">
            <v>65b</v>
          </cell>
        </row>
        <row r="974">
          <cell r="AO974" t="str">
            <v>65a</v>
          </cell>
        </row>
        <row r="975">
          <cell r="AO975" t="str">
            <v>65a</v>
          </cell>
        </row>
        <row r="976">
          <cell r="AO976" t="str">
            <v>65a</v>
          </cell>
        </row>
        <row r="977">
          <cell r="AO977" t="str">
            <v>65a</v>
          </cell>
        </row>
        <row r="978">
          <cell r="AO978" t="str">
            <v>65a</v>
          </cell>
        </row>
        <row r="981">
          <cell r="AO981" t="str">
            <v>65a</v>
          </cell>
        </row>
        <row r="983">
          <cell r="AO983" t="str">
            <v>65a</v>
          </cell>
        </row>
        <row r="984">
          <cell r="AO984" t="str">
            <v>65a</v>
          </cell>
        </row>
        <row r="989">
          <cell r="AO989" t="str">
            <v>65a</v>
          </cell>
        </row>
        <row r="990">
          <cell r="AO990" t="str">
            <v>65a</v>
          </cell>
        </row>
        <row r="991">
          <cell r="AO991" t="str">
            <v>65a</v>
          </cell>
        </row>
        <row r="992">
          <cell r="AO992" t="str">
            <v>65a</v>
          </cell>
        </row>
        <row r="993">
          <cell r="AO993" t="str">
            <v>65a</v>
          </cell>
        </row>
        <row r="994">
          <cell r="AO994" t="str">
            <v>65a</v>
          </cell>
        </row>
        <row r="995">
          <cell r="AO995" t="str">
            <v>65a</v>
          </cell>
        </row>
        <row r="996">
          <cell r="AO996" t="str">
            <v>65a</v>
          </cell>
        </row>
        <row r="997">
          <cell r="AO997" t="str">
            <v>65a</v>
          </cell>
        </row>
        <row r="999">
          <cell r="AO999" t="str">
            <v>65a</v>
          </cell>
        </row>
        <row r="1001">
          <cell r="AO1001" t="str">
            <v>65a</v>
          </cell>
        </row>
        <row r="1002">
          <cell r="AO1002" t="str">
            <v>65a</v>
          </cell>
        </row>
        <row r="1003">
          <cell r="AO1003" t="str">
            <v>65a</v>
          </cell>
        </row>
        <row r="1004">
          <cell r="AO1004" t="str">
            <v>65a</v>
          </cell>
        </row>
        <row r="1005">
          <cell r="AO1005" t="str">
            <v>65a</v>
          </cell>
        </row>
        <row r="1006">
          <cell r="AO1006" t="str">
            <v>65a</v>
          </cell>
        </row>
        <row r="1007">
          <cell r="AO1007" t="str">
            <v>65a</v>
          </cell>
        </row>
        <row r="1008">
          <cell r="AO1008" t="str">
            <v>65a</v>
          </cell>
        </row>
        <row r="1009">
          <cell r="AO1009" t="str">
            <v>65a</v>
          </cell>
        </row>
        <row r="1010">
          <cell r="AO1010" t="str">
            <v>65a</v>
          </cell>
        </row>
        <row r="1012">
          <cell r="AO1012" t="str">
            <v>65a</v>
          </cell>
        </row>
        <row r="1014">
          <cell r="AO1014" t="str">
            <v>65b</v>
          </cell>
        </row>
        <row r="1015">
          <cell r="AO1015" t="str">
            <v>65a</v>
          </cell>
        </row>
        <row r="1016">
          <cell r="AO1016" t="str">
            <v>65a</v>
          </cell>
        </row>
        <row r="1017">
          <cell r="AO1017" t="str">
            <v>65a</v>
          </cell>
        </row>
        <row r="1018">
          <cell r="AO1018" t="str">
            <v>65a</v>
          </cell>
        </row>
        <row r="1019">
          <cell r="AO1019" t="str">
            <v>65a</v>
          </cell>
        </row>
        <row r="1020">
          <cell r="AO1020">
            <v>40</v>
          </cell>
        </row>
        <row r="1021">
          <cell r="AO1021">
            <v>40</v>
          </cell>
        </row>
        <row r="1022">
          <cell r="AO1022" t="str">
            <v>21</v>
          </cell>
        </row>
        <row r="1023">
          <cell r="AO1023" t="str">
            <v>65b</v>
          </cell>
        </row>
        <row r="1024">
          <cell r="AO1024" t="str">
            <v>21</v>
          </cell>
        </row>
        <row r="1025">
          <cell r="AO1025" t="str">
            <v>65b</v>
          </cell>
        </row>
        <row r="1026">
          <cell r="AO1026" t="str">
            <v>21</v>
          </cell>
        </row>
        <row r="1027">
          <cell r="AO1027" t="str">
            <v>65b</v>
          </cell>
        </row>
        <row r="1028">
          <cell r="AO1028" t="str">
            <v>65b</v>
          </cell>
        </row>
        <row r="1029">
          <cell r="AO1029" t="str">
            <v>21</v>
          </cell>
        </row>
        <row r="1030">
          <cell r="AO1030" t="str">
            <v>65a</v>
          </cell>
        </row>
        <row r="1031">
          <cell r="AO1031" t="str">
            <v>65a1</v>
          </cell>
        </row>
        <row r="1032">
          <cell r="AO1032" t="str">
            <v>65a1</v>
          </cell>
        </row>
        <row r="1033">
          <cell r="AO1033" t="str">
            <v>65a</v>
          </cell>
        </row>
        <row r="1034">
          <cell r="AO1034" t="str">
            <v>65a</v>
          </cell>
        </row>
        <row r="1035">
          <cell r="AO1035" t="str">
            <v>65a</v>
          </cell>
        </row>
        <row r="1036">
          <cell r="AO1036" t="str">
            <v>65a</v>
          </cell>
        </row>
        <row r="1037">
          <cell r="AO1037" t="str">
            <v>65a</v>
          </cell>
        </row>
        <row r="1038">
          <cell r="AO1038" t="str">
            <v>65a</v>
          </cell>
        </row>
        <row r="1039">
          <cell r="AO1039" t="str">
            <v xml:space="preserve"> </v>
          </cell>
        </row>
        <row r="1040">
          <cell r="AO1040" t="str">
            <v xml:space="preserve"> </v>
          </cell>
        </row>
        <row r="1042">
          <cell r="AO1042" t="str">
            <v>65b</v>
          </cell>
        </row>
        <row r="1043">
          <cell r="AO1043" t="str">
            <v xml:space="preserve"> </v>
          </cell>
        </row>
        <row r="1044">
          <cell r="AO1044" t="str">
            <v xml:space="preserve"> </v>
          </cell>
        </row>
        <row r="1045">
          <cell r="AO1045" t="str">
            <v xml:space="preserve"> </v>
          </cell>
        </row>
        <row r="1046">
          <cell r="AO1046" t="str">
            <v>65a</v>
          </cell>
        </row>
        <row r="1047">
          <cell r="AO1047" t="str">
            <v xml:space="preserve"> </v>
          </cell>
        </row>
        <row r="1050">
          <cell r="AO1050" t="str">
            <v>65b</v>
          </cell>
        </row>
        <row r="1052">
          <cell r="AO1052" t="str">
            <v>65b</v>
          </cell>
        </row>
        <row r="1053">
          <cell r="AO1053" t="str">
            <v>65b</v>
          </cell>
        </row>
        <row r="1054">
          <cell r="AO1054" t="str">
            <v>65b</v>
          </cell>
        </row>
        <row r="1056">
          <cell r="AO1056" t="str">
            <v>65a</v>
          </cell>
        </row>
        <row r="1058">
          <cell r="AO1058" t="str">
            <v>65a</v>
          </cell>
        </row>
        <row r="1060">
          <cell r="AO1060" t="str">
            <v>65a</v>
          </cell>
        </row>
        <row r="1065">
          <cell r="AO1065" t="str">
            <v>65a</v>
          </cell>
        </row>
        <row r="1066">
          <cell r="AO1066" t="str">
            <v>65a</v>
          </cell>
        </row>
        <row r="1067">
          <cell r="AO1067" t="str">
            <v>65a</v>
          </cell>
        </row>
        <row r="1068">
          <cell r="AO1068" t="str">
            <v>65a</v>
          </cell>
        </row>
        <row r="1069">
          <cell r="AO1069" t="str">
            <v>65a</v>
          </cell>
        </row>
        <row r="1070">
          <cell r="AO1070" t="str">
            <v>65a</v>
          </cell>
        </row>
        <row r="1072">
          <cell r="AO1072" t="str">
            <v xml:space="preserve"> </v>
          </cell>
        </row>
        <row r="1073">
          <cell r="AO1073" t="str">
            <v>65a</v>
          </cell>
        </row>
        <row r="1074">
          <cell r="AO1074" t="str">
            <v xml:space="preserve"> </v>
          </cell>
        </row>
        <row r="1075">
          <cell r="AO1075" t="str">
            <v>65a</v>
          </cell>
        </row>
        <row r="1076">
          <cell r="AO1076" t="str">
            <v xml:space="preserve"> </v>
          </cell>
        </row>
        <row r="1077">
          <cell r="AO1077" t="str">
            <v>65a</v>
          </cell>
        </row>
        <row r="1078">
          <cell r="AO1078" t="str">
            <v xml:space="preserve"> </v>
          </cell>
        </row>
        <row r="1079">
          <cell r="AO1079" t="str">
            <v>65a</v>
          </cell>
        </row>
        <row r="1080">
          <cell r="AO1080" t="str">
            <v>65a</v>
          </cell>
        </row>
        <row r="1081">
          <cell r="AO1081" t="str">
            <v>65a</v>
          </cell>
        </row>
        <row r="1082">
          <cell r="AO1082" t="str">
            <v>65a</v>
          </cell>
        </row>
        <row r="1083">
          <cell r="AO1083" t="str">
            <v>65a</v>
          </cell>
        </row>
        <row r="1084">
          <cell r="AO1084" t="str">
            <v>65a</v>
          </cell>
        </row>
        <row r="1085">
          <cell r="AO1085" t="str">
            <v>65a</v>
          </cell>
        </row>
        <row r="1086">
          <cell r="AO1086" t="str">
            <v>65a</v>
          </cell>
        </row>
        <row r="1087">
          <cell r="AO1087" t="str">
            <v>65a</v>
          </cell>
        </row>
        <row r="1088">
          <cell r="AO1088" t="str">
            <v>65a</v>
          </cell>
        </row>
        <row r="1089">
          <cell r="AO1089" t="str">
            <v>65a</v>
          </cell>
        </row>
        <row r="1090">
          <cell r="AO1090" t="str">
            <v>65a</v>
          </cell>
        </row>
        <row r="1091">
          <cell r="AO1091" t="str">
            <v>65a</v>
          </cell>
        </row>
        <row r="1092">
          <cell r="AO1092" t="str">
            <v>65a</v>
          </cell>
        </row>
        <row r="1093">
          <cell r="AO1093" t="str">
            <v>65a</v>
          </cell>
        </row>
        <row r="1094">
          <cell r="AO1094" t="str">
            <v>65a</v>
          </cell>
        </row>
        <row r="1095">
          <cell r="AO1095" t="str">
            <v>65a</v>
          </cell>
        </row>
        <row r="1096">
          <cell r="AO1096" t="str">
            <v>65a</v>
          </cell>
        </row>
        <row r="1097">
          <cell r="AO1097" t="str">
            <v>65a</v>
          </cell>
        </row>
        <row r="1098">
          <cell r="AO1098" t="str">
            <v>65a</v>
          </cell>
        </row>
        <row r="1099">
          <cell r="AO1099" t="str">
            <v>65a</v>
          </cell>
        </row>
        <row r="1100">
          <cell r="AO1100" t="str">
            <v>65a</v>
          </cell>
        </row>
        <row r="1101">
          <cell r="AO1101" t="str">
            <v>65a</v>
          </cell>
        </row>
        <row r="1102">
          <cell r="AO1102" t="str">
            <v>65a</v>
          </cell>
        </row>
        <row r="1103">
          <cell r="AO1103" t="str">
            <v>65a</v>
          </cell>
        </row>
        <row r="1104">
          <cell r="AO1104" t="str">
            <v>65a</v>
          </cell>
        </row>
        <row r="1105">
          <cell r="AO1105" t="str">
            <v>65a</v>
          </cell>
        </row>
        <row r="1106">
          <cell r="AO1106" t="str">
            <v>65a</v>
          </cell>
        </row>
        <row r="1107">
          <cell r="AO1107" t="str">
            <v>65a</v>
          </cell>
        </row>
        <row r="1108">
          <cell r="AO1108" t="str">
            <v>65a</v>
          </cell>
        </row>
        <row r="1109">
          <cell r="AO1109" t="str">
            <v>65a</v>
          </cell>
        </row>
        <row r="1110">
          <cell r="AO1110" t="str">
            <v>65a</v>
          </cell>
        </row>
        <row r="1111">
          <cell r="AO1111" t="str">
            <v>65a</v>
          </cell>
        </row>
        <row r="1112">
          <cell r="AO1112" t="str">
            <v>65a</v>
          </cell>
        </row>
        <row r="1113">
          <cell r="AO1113" t="str">
            <v>65a</v>
          </cell>
        </row>
        <row r="1114">
          <cell r="AO1114" t="str">
            <v>65a</v>
          </cell>
        </row>
        <row r="1115">
          <cell r="AO1115" t="str">
            <v>65a</v>
          </cell>
        </row>
        <row r="1116">
          <cell r="AO1116" t="str">
            <v>65a</v>
          </cell>
        </row>
        <row r="1117">
          <cell r="AO1117" t="str">
            <v>65a</v>
          </cell>
        </row>
        <row r="1118">
          <cell r="AO1118" t="str">
            <v>65a</v>
          </cell>
        </row>
        <row r="1119">
          <cell r="AO1119" t="str">
            <v>65a</v>
          </cell>
        </row>
        <row r="1120">
          <cell r="AO1120" t="str">
            <v>65a</v>
          </cell>
        </row>
        <row r="1121">
          <cell r="AO1121" t="str">
            <v>65a</v>
          </cell>
        </row>
        <row r="1122">
          <cell r="AO1122" t="str">
            <v>65a</v>
          </cell>
        </row>
        <row r="1123">
          <cell r="AO1123" t="str">
            <v>65a</v>
          </cell>
        </row>
        <row r="1124">
          <cell r="AO1124" t="str">
            <v>65a</v>
          </cell>
        </row>
        <row r="1125">
          <cell r="AO1125" t="str">
            <v>65a</v>
          </cell>
        </row>
        <row r="1126">
          <cell r="AO1126" t="str">
            <v>65a</v>
          </cell>
        </row>
        <row r="1127">
          <cell r="AO1127" t="str">
            <v>65a</v>
          </cell>
        </row>
        <row r="1129">
          <cell r="AO1129" t="str">
            <v>65a</v>
          </cell>
        </row>
        <row r="1130">
          <cell r="AO1130" t="str">
            <v xml:space="preserve"> </v>
          </cell>
        </row>
        <row r="1131">
          <cell r="AO1131" t="str">
            <v>65b</v>
          </cell>
        </row>
        <row r="1132">
          <cell r="AO1132" t="str">
            <v>65a</v>
          </cell>
        </row>
        <row r="1133">
          <cell r="AO1133" t="str">
            <v>65a</v>
          </cell>
        </row>
        <row r="1134">
          <cell r="AO1134" t="str">
            <v xml:space="preserve"> </v>
          </cell>
        </row>
        <row r="1135">
          <cell r="AO1135" t="str">
            <v>65b</v>
          </cell>
        </row>
        <row r="1136">
          <cell r="AO1136" t="str">
            <v>65a</v>
          </cell>
        </row>
        <row r="1137">
          <cell r="AO1137" t="str">
            <v>65a</v>
          </cell>
        </row>
        <row r="1138">
          <cell r="AO1138" t="str">
            <v xml:space="preserve"> </v>
          </cell>
        </row>
        <row r="1139">
          <cell r="AO1139" t="str">
            <v>65a</v>
          </cell>
        </row>
        <row r="1140">
          <cell r="AO1140" t="str">
            <v>65a</v>
          </cell>
        </row>
        <row r="1141">
          <cell r="AO1141" t="str">
            <v>65a</v>
          </cell>
        </row>
        <row r="1142">
          <cell r="AO1142" t="str">
            <v>65a</v>
          </cell>
        </row>
        <row r="1143">
          <cell r="AO1143" t="str">
            <v>65a</v>
          </cell>
        </row>
        <row r="1144">
          <cell r="AO1144" t="str">
            <v>65a</v>
          </cell>
        </row>
        <row r="1145">
          <cell r="AO1145" t="str">
            <v>65a</v>
          </cell>
        </row>
        <row r="1146">
          <cell r="AO1146" t="str">
            <v>65a</v>
          </cell>
        </row>
        <row r="1147">
          <cell r="AO1147" t="str">
            <v>65a</v>
          </cell>
        </row>
        <row r="1148">
          <cell r="AO1148" t="str">
            <v>65a</v>
          </cell>
        </row>
        <row r="1149">
          <cell r="AO1149" t="str">
            <v>65a</v>
          </cell>
        </row>
        <row r="1151">
          <cell r="AO1151" t="str">
            <v>65b</v>
          </cell>
        </row>
        <row r="1152">
          <cell r="AO1152" t="str">
            <v>65a</v>
          </cell>
        </row>
        <row r="1153">
          <cell r="AO1153" t="str">
            <v>65a</v>
          </cell>
        </row>
        <row r="1154">
          <cell r="AO1154" t="str">
            <v>65a</v>
          </cell>
        </row>
        <row r="1155">
          <cell r="AO1155" t="str">
            <v>65a</v>
          </cell>
        </row>
        <row r="1156">
          <cell r="AO1156" t="str">
            <v>65a</v>
          </cell>
        </row>
        <row r="1157">
          <cell r="AO1157" t="str">
            <v>65a</v>
          </cell>
        </row>
        <row r="1158">
          <cell r="AO1158" t="str">
            <v>65a</v>
          </cell>
        </row>
        <row r="1160">
          <cell r="AO1160" t="str">
            <v>65a</v>
          </cell>
        </row>
        <row r="1161">
          <cell r="AO1161" t="str">
            <v>65a</v>
          </cell>
        </row>
        <row r="1162">
          <cell r="AO1162" t="str">
            <v>65a</v>
          </cell>
        </row>
        <row r="1164">
          <cell r="AO1164" t="str">
            <v>65a</v>
          </cell>
        </row>
        <row r="1165">
          <cell r="AO1165" t="str">
            <v>65a</v>
          </cell>
        </row>
        <row r="1166">
          <cell r="AO1166" t="str">
            <v xml:space="preserve"> </v>
          </cell>
        </row>
        <row r="1167">
          <cell r="AO1167" t="str">
            <v xml:space="preserve"> </v>
          </cell>
        </row>
        <row r="1168">
          <cell r="AO1168" t="str">
            <v xml:space="preserve"> </v>
          </cell>
        </row>
        <row r="1175">
          <cell r="AO1175" t="str">
            <v>65a</v>
          </cell>
        </row>
        <row r="1176">
          <cell r="AO1176" t="str">
            <v xml:space="preserve"> </v>
          </cell>
        </row>
        <row r="1177">
          <cell r="AO1177" t="str">
            <v>65a</v>
          </cell>
        </row>
        <row r="1179">
          <cell r="AO1179" t="str">
            <v>65b</v>
          </cell>
        </row>
        <row r="1180">
          <cell r="AO1180" t="str">
            <v>65a</v>
          </cell>
        </row>
        <row r="1181">
          <cell r="AO1181" t="str">
            <v>65a</v>
          </cell>
        </row>
        <row r="1182">
          <cell r="AO1182" t="str">
            <v>65a</v>
          </cell>
        </row>
        <row r="1183">
          <cell r="AO1183" t="str">
            <v>65a</v>
          </cell>
        </row>
        <row r="1184">
          <cell r="AO1184" t="str">
            <v>65a</v>
          </cell>
        </row>
        <row r="1185">
          <cell r="AO1185" t="str">
            <v>65a</v>
          </cell>
        </row>
        <row r="1186">
          <cell r="AO1186" t="str">
            <v>65a</v>
          </cell>
        </row>
        <row r="1189">
          <cell r="AO1189" t="str">
            <v>41</v>
          </cell>
        </row>
        <row r="1190">
          <cell r="AO1190" t="str">
            <v>63</v>
          </cell>
        </row>
        <row r="1191">
          <cell r="AO1191" t="str">
            <v>63</v>
          </cell>
        </row>
        <row r="1192">
          <cell r="AO1192" t="str">
            <v>63</v>
          </cell>
        </row>
        <row r="1193">
          <cell r="AO1193" t="str">
            <v>20</v>
          </cell>
        </row>
        <row r="1194">
          <cell r="AO1194" t="str">
            <v>20</v>
          </cell>
        </row>
        <row r="1195">
          <cell r="AO1195" t="str">
            <v>20</v>
          </cell>
        </row>
        <row r="1196">
          <cell r="AO1196" t="str">
            <v>20</v>
          </cell>
        </row>
        <row r="1197">
          <cell r="AO1197" t="str">
            <v>20</v>
          </cell>
        </row>
        <row r="1198">
          <cell r="AO1198" t="str">
            <v>20</v>
          </cell>
        </row>
        <row r="1199">
          <cell r="AO1199" t="str">
            <v>20</v>
          </cell>
        </row>
        <row r="1200">
          <cell r="AO1200" t="str">
            <v>20</v>
          </cell>
        </row>
        <row r="1201">
          <cell r="AO1201" t="str">
            <v>20</v>
          </cell>
        </row>
        <row r="1202">
          <cell r="AO1202" t="str">
            <v>63</v>
          </cell>
        </row>
        <row r="1203">
          <cell r="AO1203" t="str">
            <v>63</v>
          </cell>
        </row>
        <row r="1204">
          <cell r="AO1204" t="str">
            <v>20</v>
          </cell>
        </row>
        <row r="1205">
          <cell r="AO1205" t="str">
            <v>63</v>
          </cell>
        </row>
        <row r="1206">
          <cell r="AO1206" t="str">
            <v>63</v>
          </cell>
        </row>
        <row r="1207">
          <cell r="AO1207" t="str">
            <v>20</v>
          </cell>
        </row>
        <row r="1208">
          <cell r="AO1208" t="str">
            <v>20</v>
          </cell>
        </row>
        <row r="1209">
          <cell r="AO1209" t="str">
            <v>20</v>
          </cell>
        </row>
        <row r="1210">
          <cell r="AO1210" t="str">
            <v>20</v>
          </cell>
        </row>
        <row r="1213">
          <cell r="AO1213" t="str">
            <v>65a</v>
          </cell>
        </row>
        <row r="1214">
          <cell r="AO1214" t="str">
            <v>65a</v>
          </cell>
        </row>
        <row r="1217">
          <cell r="AO1217" t="str">
            <v>47</v>
          </cell>
        </row>
        <row r="1219">
          <cell r="AO1219" t="str">
            <v>65a</v>
          </cell>
        </row>
        <row r="1220">
          <cell r="AO1220" t="str">
            <v>49</v>
          </cell>
        </row>
        <row r="1221">
          <cell r="AO1221" t="str">
            <v>3</v>
          </cell>
        </row>
        <row r="1222">
          <cell r="AO1222">
            <v>2</v>
          </cell>
        </row>
        <row r="1223">
          <cell r="AO1223" t="str">
            <v>49</v>
          </cell>
        </row>
        <row r="1224">
          <cell r="AO1224" t="str">
            <v>49</v>
          </cell>
        </row>
        <row r="1225">
          <cell r="AO1225" t="str">
            <v>49</v>
          </cell>
        </row>
        <row r="1226">
          <cell r="AO1226" t="str">
            <v>49</v>
          </cell>
        </row>
        <row r="1227">
          <cell r="AO1227" t="str">
            <v>65a</v>
          </cell>
        </row>
        <row r="1228">
          <cell r="AO1228" t="str">
            <v>65a</v>
          </cell>
        </row>
        <row r="1229">
          <cell r="AO1229" t="str">
            <v>65b</v>
          </cell>
        </row>
        <row r="1230">
          <cell r="AO1230" t="str">
            <v>65a</v>
          </cell>
        </row>
        <row r="1231">
          <cell r="AO1231" t="str">
            <v xml:space="preserve"> </v>
          </cell>
        </row>
        <row r="1232">
          <cell r="AO1232" t="str">
            <v>65a</v>
          </cell>
        </row>
        <row r="1233">
          <cell r="AO1233" t="str">
            <v>65a</v>
          </cell>
        </row>
        <row r="1235">
          <cell r="AO1235" t="str">
            <v>65a</v>
          </cell>
        </row>
        <row r="1236">
          <cell r="AO1236" t="str">
            <v>65a</v>
          </cell>
        </row>
        <row r="1237">
          <cell r="AO1237" t="str">
            <v>65a</v>
          </cell>
        </row>
        <row r="1238">
          <cell r="AO1238" t="str">
            <v>65a</v>
          </cell>
        </row>
        <row r="1240">
          <cell r="AO1240" t="str">
            <v>65a</v>
          </cell>
        </row>
        <row r="1241">
          <cell r="AO1241" t="str">
            <v>65a</v>
          </cell>
        </row>
        <row r="1243">
          <cell r="AO1243" t="str">
            <v>41</v>
          </cell>
        </row>
        <row r="1244">
          <cell r="AO1244" t="str">
            <v>49</v>
          </cell>
        </row>
        <row r="1245">
          <cell r="AO1245" t="str">
            <v>41</v>
          </cell>
        </row>
        <row r="1246">
          <cell r="AO1246" t="str">
            <v>41</v>
          </cell>
        </row>
        <row r="1247">
          <cell r="AO1247" t="str">
            <v>41</v>
          </cell>
        </row>
        <row r="1248">
          <cell r="AO1248" t="str">
            <v>41</v>
          </cell>
        </row>
        <row r="1249">
          <cell r="AO1249" t="str">
            <v>41</v>
          </cell>
        </row>
        <row r="1250">
          <cell r="AO1250" t="str">
            <v>41</v>
          </cell>
        </row>
        <row r="1251">
          <cell r="AO1251" t="str">
            <v>41</v>
          </cell>
        </row>
        <row r="1252">
          <cell r="AO1252" t="str">
            <v>41</v>
          </cell>
        </row>
        <row r="1253">
          <cell r="AO1253" t="str">
            <v>41</v>
          </cell>
        </row>
        <row r="1254">
          <cell r="AO1254" t="str">
            <v>41</v>
          </cell>
        </row>
        <row r="1255">
          <cell r="AO1255" t="str">
            <v>41</v>
          </cell>
        </row>
        <row r="1256">
          <cell r="AO1256" t="str">
            <v>41</v>
          </cell>
        </row>
        <row r="1257">
          <cell r="AO1257" t="str">
            <v>41</v>
          </cell>
        </row>
        <row r="1258">
          <cell r="AO1258" t="str">
            <v>65a</v>
          </cell>
        </row>
        <row r="1259">
          <cell r="AO1259" t="str">
            <v>65a</v>
          </cell>
        </row>
        <row r="1260">
          <cell r="AO1260" t="str">
            <v>65a</v>
          </cell>
        </row>
        <row r="1261">
          <cell r="AO1261" t="str">
            <v>65a</v>
          </cell>
        </row>
        <row r="1262">
          <cell r="AO1262" t="str">
            <v>65a</v>
          </cell>
        </row>
        <row r="1263">
          <cell r="AO1263" t="str">
            <v>65a</v>
          </cell>
        </row>
        <row r="1264">
          <cell r="AO1264" t="str">
            <v>65a</v>
          </cell>
        </row>
        <row r="1265">
          <cell r="AO1265" t="str">
            <v>65a</v>
          </cell>
        </row>
        <row r="1266">
          <cell r="AO1266" t="str">
            <v>65a</v>
          </cell>
        </row>
        <row r="1267">
          <cell r="AO1267" t="str">
            <v>65a</v>
          </cell>
        </row>
        <row r="1268">
          <cell r="AO1268" t="str">
            <v>65a</v>
          </cell>
        </row>
        <row r="1269">
          <cell r="AO1269" t="str">
            <v>65a</v>
          </cell>
        </row>
        <row r="1270">
          <cell r="AO1270" t="str">
            <v>65a</v>
          </cell>
        </row>
        <row r="1271">
          <cell r="AO1271" t="str">
            <v>65a</v>
          </cell>
        </row>
        <row r="1272">
          <cell r="AO1272" t="str">
            <v>65a</v>
          </cell>
        </row>
        <row r="1273">
          <cell r="AO1273" t="str">
            <v>65a</v>
          </cell>
        </row>
        <row r="1274">
          <cell r="AO1274" t="str">
            <v>65a</v>
          </cell>
        </row>
        <row r="1275">
          <cell r="AO1275" t="str">
            <v>65a</v>
          </cell>
        </row>
        <row r="1276">
          <cell r="AO1276" t="str">
            <v>41</v>
          </cell>
        </row>
        <row r="1277">
          <cell r="AO1277" t="str">
            <v>41</v>
          </cell>
        </row>
        <row r="1278">
          <cell r="AO1278" t="str">
            <v xml:space="preserve"> </v>
          </cell>
        </row>
        <row r="1279">
          <cell r="AO1279" t="str">
            <v xml:space="preserve">65 </v>
          </cell>
        </row>
        <row r="1280">
          <cell r="AO1280" t="str">
            <v xml:space="preserve"> </v>
          </cell>
        </row>
        <row r="1281">
          <cell r="AO1281" t="str">
            <v>65</v>
          </cell>
        </row>
        <row r="1282">
          <cell r="AO1282" t="str">
            <v>49</v>
          </cell>
        </row>
        <row r="1283">
          <cell r="AO1283" t="str">
            <v xml:space="preserve"> </v>
          </cell>
        </row>
        <row r="1284">
          <cell r="AO1284" t="str">
            <v xml:space="preserve"> </v>
          </cell>
        </row>
        <row r="1286">
          <cell r="AO1286" t="str">
            <v>23</v>
          </cell>
        </row>
        <row r="1292">
          <cell r="AO1292" t="str">
            <v>10</v>
          </cell>
        </row>
        <row r="1293">
          <cell r="AO1293" t="str">
            <v>10</v>
          </cell>
        </row>
        <row r="1295">
          <cell r="AO1295" t="str">
            <v>12</v>
          </cell>
        </row>
        <row r="1296">
          <cell r="AO1296" t="str">
            <v>12</v>
          </cell>
        </row>
        <row r="1297">
          <cell r="AO1297" t="str">
            <v>12</v>
          </cell>
        </row>
        <row r="1298">
          <cell r="AO1298" t="str">
            <v>64</v>
          </cell>
        </row>
        <row r="1299">
          <cell r="AO1299" t="str">
            <v>22</v>
          </cell>
        </row>
        <row r="1300">
          <cell r="AO1300" t="str">
            <v>22</v>
          </cell>
        </row>
        <row r="1301">
          <cell r="AO1301" t="str">
            <v>22</v>
          </cell>
        </row>
        <row r="1302">
          <cell r="AO1302" t="str">
            <v>22</v>
          </cell>
        </row>
        <row r="1303">
          <cell r="AO1303" t="str">
            <v>22</v>
          </cell>
        </row>
        <row r="1304">
          <cell r="AO1304" t="str">
            <v>64</v>
          </cell>
        </row>
        <row r="1305">
          <cell r="AO1305" t="str">
            <v xml:space="preserve"> </v>
          </cell>
        </row>
        <row r="1306">
          <cell r="AO1306" t="str">
            <v>64</v>
          </cell>
        </row>
        <row r="1307">
          <cell r="AO1307" t="str">
            <v>66a</v>
          </cell>
        </row>
        <row r="1308">
          <cell r="AO1308" t="str">
            <v>64</v>
          </cell>
        </row>
        <row r="1309">
          <cell r="AO1309" t="str">
            <v>64</v>
          </cell>
        </row>
        <row r="1310">
          <cell r="AO1310" t="str">
            <v>64</v>
          </cell>
        </row>
        <row r="1311">
          <cell r="AO1311" t="str">
            <v>64</v>
          </cell>
        </row>
        <row r="1312">
          <cell r="AO1312" t="str">
            <v>64</v>
          </cell>
        </row>
        <row r="1313">
          <cell r="AO1313" t="str">
            <v>64</v>
          </cell>
        </row>
        <row r="1314">
          <cell r="AO1314" t="str">
            <v>64</v>
          </cell>
        </row>
        <row r="1315">
          <cell r="AO1315" t="str">
            <v>64</v>
          </cell>
        </row>
        <row r="1316">
          <cell r="AO1316" t="str">
            <v>64</v>
          </cell>
        </row>
        <row r="1317">
          <cell r="AO1317" t="str">
            <v>64</v>
          </cell>
        </row>
        <row r="1318">
          <cell r="AO1318" t="str">
            <v>64</v>
          </cell>
        </row>
        <row r="1319">
          <cell r="AO1319" t="str">
            <v>64</v>
          </cell>
        </row>
        <row r="1320">
          <cell r="AO1320" t="str">
            <v>66a</v>
          </cell>
        </row>
        <row r="1321">
          <cell r="AO1321" t="str">
            <v>22</v>
          </cell>
        </row>
        <row r="1322">
          <cell r="AO1322" t="str">
            <v xml:space="preserve"> </v>
          </cell>
        </row>
        <row r="1323">
          <cell r="AO1323" t="str">
            <v>66a</v>
          </cell>
        </row>
        <row r="1324">
          <cell r="AO1324" t="str">
            <v xml:space="preserve"> </v>
          </cell>
        </row>
        <row r="1325">
          <cell r="AO1325" t="str">
            <v>66a</v>
          </cell>
        </row>
        <row r="1327">
          <cell r="AO1327" t="str">
            <v>22</v>
          </cell>
        </row>
        <row r="1328">
          <cell r="AO1328" t="str">
            <v xml:space="preserve"> </v>
          </cell>
        </row>
        <row r="1329">
          <cell r="AO1329" t="str">
            <v>48</v>
          </cell>
        </row>
        <row r="1330">
          <cell r="AO1330" t="str">
            <v>48</v>
          </cell>
        </row>
        <row r="1331">
          <cell r="AO1331" t="str">
            <v>48</v>
          </cell>
        </row>
        <row r="1332">
          <cell r="AO1332" t="str">
            <v xml:space="preserve"> </v>
          </cell>
        </row>
        <row r="1333">
          <cell r="AO1333" t="str">
            <v xml:space="preserve"> </v>
          </cell>
        </row>
        <row r="1334">
          <cell r="AO1334" t="str">
            <v xml:space="preserve"> </v>
          </cell>
        </row>
        <row r="1336">
          <cell r="AO1336" t="str">
            <v xml:space="preserve"> </v>
          </cell>
        </row>
        <row r="1338">
          <cell r="AO1338" t="str">
            <v>64</v>
          </cell>
        </row>
        <row r="1339">
          <cell r="AO1339">
            <v>22</v>
          </cell>
        </row>
        <row r="1340">
          <cell r="AO1340" t="str">
            <v>65b</v>
          </cell>
        </row>
        <row r="1341">
          <cell r="AO1341" t="str">
            <v>22</v>
          </cell>
        </row>
        <row r="1342">
          <cell r="AO1342" t="str">
            <v>65b</v>
          </cell>
        </row>
        <row r="1344">
          <cell r="AO1344" t="str">
            <v>41</v>
          </cell>
        </row>
        <row r="1346">
          <cell r="AO1346" t="str">
            <v>66a</v>
          </cell>
        </row>
        <row r="1347">
          <cell r="AO1347" t="str">
            <v>47</v>
          </cell>
        </row>
        <row r="1348">
          <cell r="AO1348" t="str">
            <v>66a</v>
          </cell>
        </row>
        <row r="1349">
          <cell r="AO1349">
            <v>6</v>
          </cell>
        </row>
        <row r="1350">
          <cell r="AO1350">
            <v>6</v>
          </cell>
        </row>
        <row r="1351">
          <cell r="AO1351">
            <v>6</v>
          </cell>
        </row>
        <row r="1352">
          <cell r="AO1352">
            <v>6</v>
          </cell>
        </row>
        <row r="1353">
          <cell r="AO1353">
            <v>6</v>
          </cell>
        </row>
        <row r="1354">
          <cell r="AO1354">
            <v>6</v>
          </cell>
        </row>
        <row r="1355">
          <cell r="AO1355">
            <v>6</v>
          </cell>
        </row>
        <row r="1356">
          <cell r="AO1356">
            <v>6</v>
          </cell>
        </row>
        <row r="1357">
          <cell r="AO1357">
            <v>6</v>
          </cell>
        </row>
        <row r="1358">
          <cell r="AO1358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Load Source Data"/>
    </sheetNames>
    <sheetDataSet>
      <sheetData sheetId="0" refreshError="1">
        <row r="3">
          <cell r="E3" t="str">
            <v>PAGE 3.02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</row>
        <row r="25">
          <cell r="A25">
            <v>14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  <row r="7">
          <cell r="B7" t="str">
            <v>FOR THE TWELVE MONTHS ENDED SEPTEMBER 30, 2015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>
        <row r="11">
          <cell r="B11">
            <v>38315912.890000001</v>
          </cell>
          <cell r="D11">
            <v>38617570.920000002</v>
          </cell>
        </row>
        <row r="35">
          <cell r="B35">
            <v>3291140.23</v>
          </cell>
          <cell r="D35">
            <v>2850009.59</v>
          </cell>
        </row>
      </sheetData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 refreshError="1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Delivery Costs"/>
      <sheetName val="Dist Costs (Line Ext)"/>
    </sheetNames>
    <sheetDataSet>
      <sheetData sheetId="0" refreshError="1"/>
      <sheetData sheetId="1">
        <row r="11">
          <cell r="C11">
            <v>3</v>
          </cell>
        </row>
        <row r="29">
          <cell r="F29">
            <v>7.8399999999999997E-2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PM Electric Summary"/>
      <sheetName val="E Reasonableness"/>
      <sheetName val="Billed Electric"/>
      <sheetName val="Electric Reconciliation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Detailed Rates - Prior"/>
      <sheetName val="Summary Rates - Current"/>
      <sheetName val="Summary Rates - Prior"/>
      <sheetName val="Electric SCH 140"/>
      <sheetName val="Electric SCH 141"/>
      <sheetName val="Electric SCH 142"/>
      <sheetName val="Electric SCH 95A"/>
      <sheetName val="Electric SCH 120"/>
      <sheetName val="Electric SCH 129"/>
      <sheetName val="Electric SCH 132"/>
      <sheetName val="Electric SCH 133"/>
      <sheetName val="Electric SCH 133 (formulas)"/>
      <sheetName val="Electric SCH 137"/>
      <sheetName val="Electric SCH 194"/>
      <sheetName val="Electric Stats"/>
      <sheetName val="E Schedule Stats"/>
      <sheetName val="Electric Unbilled JE"/>
      <sheetName val="Electric Loss Tracking"/>
      <sheetName val="Electric History"/>
      <sheetName val="Supporting Doc List"/>
    </sheetNames>
    <sheetDataSet>
      <sheetData sheetId="0"/>
      <sheetData sheetId="1"/>
      <sheetData sheetId="2">
        <row r="11">
          <cell r="B11" t="b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Unit Cost"/>
      <sheetName val="Ex A-1"/>
      <sheetName val="Sch A-1"/>
      <sheetName val=" EX A-2"/>
      <sheetName val="ExA-3ColFC"/>
      <sheetName val="Ex A-4 Prod Adj"/>
      <sheetName val="Ex A-5 PC"/>
      <sheetName val="Ex D"/>
      <sheetName val="Ex E"/>
      <sheetName val="ComparePCR"/>
      <sheetName val="557"/>
      <sheetName val="Production Adjustment"/>
      <sheetName val="Production Factor"/>
      <sheetName val="2.03E"/>
      <sheetName val="Pwr Csts"/>
      <sheetName val="VerifyPwrCsts"/>
      <sheetName val="GRC"/>
      <sheetName val="Prodn OM by Resource GRC"/>
      <sheetName val="EB&amp;Taxes"/>
      <sheetName val="TransmRev"/>
      <sheetName val="Rlfwd"/>
      <sheetName val="Previous"/>
      <sheetName val="Diff"/>
      <sheetName val="model.7"/>
      <sheetName val="Restating Print Macros"/>
      <sheetName val="Module13"/>
      <sheetName val="Module14"/>
      <sheetName val="Module15"/>
      <sheetName val="Module1"/>
    </sheetNames>
    <sheetDataSet>
      <sheetData sheetId="0" refreshError="1">
        <row r="6">
          <cell r="A6" t="str">
            <v>FOR THE TWELVE MONTHS ENDED SEPTEMBER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 refreshError="1">
        <row r="11">
          <cell r="B11" t="b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Exhibit No.__(JAP-Tariff)"/>
      <sheetName val="Tariff Summary Lights"/>
      <sheetName val="Rate Spread-Design====&gt;"/>
      <sheetName val="Exhibit No.__(JAP-Rate Spread)"/>
      <sheetName val="Exhibit No.__(JAP-Rate Des Sum)"/>
      <sheetName val="Exhibit No.__(JAP-Prof-Prop)"/>
      <sheetName val="Exhibit No.__(JAP-Res RD)"/>
      <sheetName val="Exhibit No.__(JAP-SV RD)"/>
      <sheetName val="Exhibit No.__(JAP-PV RD)"/>
      <sheetName val="Exhibit No.__(JAP-CAMP RD)"/>
      <sheetName val="Exhibit No.__(JAP-HV RD)"/>
      <sheetName val="Exhibit No.__(JAP-TRANSP RD)"/>
      <sheetName val="Exhibit No.__(JAP-LIGHT RD) "/>
    </sheetNames>
    <sheetDataSet>
      <sheetData sheetId="0"/>
      <sheetData sheetId="1">
        <row r="8">
          <cell r="E8">
            <v>7.49</v>
          </cell>
        </row>
        <row r="9">
          <cell r="E9">
            <v>17.989999999999998</v>
          </cell>
        </row>
        <row r="11">
          <cell r="E11">
            <v>8.5578000000000001E-2</v>
          </cell>
        </row>
        <row r="12">
          <cell r="E12">
            <v>0.104157</v>
          </cell>
        </row>
        <row r="15">
          <cell r="E15">
            <v>9.66</v>
          </cell>
        </row>
        <row r="16">
          <cell r="E16">
            <v>24.55</v>
          </cell>
        </row>
        <row r="18">
          <cell r="E18">
            <v>8.9456999999999995E-2</v>
          </cell>
        </row>
        <row r="19">
          <cell r="E19">
            <v>8.6359000000000005E-2</v>
          </cell>
        </row>
        <row r="22">
          <cell r="E22">
            <v>51.67</v>
          </cell>
        </row>
        <row r="24">
          <cell r="E24">
            <v>8.9582999999999996E-2</v>
          </cell>
        </row>
        <row r="25">
          <cell r="E25">
            <v>8.1430000000000002E-2</v>
          </cell>
        </row>
        <row r="26">
          <cell r="E26">
            <v>6.4072000000000004E-2</v>
          </cell>
        </row>
        <row r="29">
          <cell r="E29">
            <v>9.01</v>
          </cell>
        </row>
        <row r="30">
          <cell r="E30">
            <v>6.01</v>
          </cell>
        </row>
        <row r="32">
          <cell r="E32">
            <v>2.8300000000000001E-3</v>
          </cell>
        </row>
        <row r="35">
          <cell r="E35">
            <v>104.46</v>
          </cell>
        </row>
        <row r="37">
          <cell r="E37">
            <v>5.6732999999999999E-2</v>
          </cell>
        </row>
        <row r="39">
          <cell r="E39">
            <v>11.65</v>
          </cell>
        </row>
        <row r="40">
          <cell r="E40">
            <v>7.76</v>
          </cell>
        </row>
        <row r="42">
          <cell r="E42">
            <v>1.24E-3</v>
          </cell>
        </row>
        <row r="45">
          <cell r="E45">
            <v>235.05</v>
          </cell>
        </row>
        <row r="46">
          <cell r="E46">
            <v>-0.35</v>
          </cell>
        </row>
        <row r="51">
          <cell r="E51">
            <v>5.4775999999999998E-2</v>
          </cell>
        </row>
        <row r="52">
          <cell r="E52">
            <v>1.1999999999999999E-3</v>
          </cell>
        </row>
        <row r="55">
          <cell r="E55">
            <v>9.56</v>
          </cell>
        </row>
        <row r="56">
          <cell r="E56">
            <v>24.28</v>
          </cell>
        </row>
        <row r="58">
          <cell r="E58">
            <v>8.9582999999999996E-2</v>
          </cell>
        </row>
        <row r="59">
          <cell r="E59">
            <v>6.8035999999999999E-2</v>
          </cell>
        </row>
        <row r="60">
          <cell r="E60">
            <v>6.2075999999999999E-2</v>
          </cell>
        </row>
        <row r="61">
          <cell r="E61">
            <v>5.3189E-2</v>
          </cell>
        </row>
        <row r="64">
          <cell r="E64">
            <v>8.83</v>
          </cell>
        </row>
        <row r="65">
          <cell r="E65">
            <v>4.3499999999999996</v>
          </cell>
        </row>
        <row r="67">
          <cell r="E67">
            <v>2.81E-3</v>
          </cell>
        </row>
        <row r="70">
          <cell r="E70">
            <v>339.51</v>
          </cell>
        </row>
        <row r="72">
          <cell r="E72">
            <v>5.4346999999999999E-2</v>
          </cell>
        </row>
        <row r="74">
          <cell r="E74">
            <v>11.32</v>
          </cell>
        </row>
        <row r="75">
          <cell r="E75">
            <v>7.55</v>
          </cell>
        </row>
        <row r="77">
          <cell r="E77">
            <v>1.06E-3</v>
          </cell>
        </row>
        <row r="80">
          <cell r="E80">
            <v>339.51</v>
          </cell>
        </row>
        <row r="82">
          <cell r="E82">
            <v>4.8598000000000002E-2</v>
          </cell>
        </row>
        <row r="84">
          <cell r="E84">
            <v>4.49</v>
          </cell>
        </row>
        <row r="85">
          <cell r="E85">
            <v>2.99</v>
          </cell>
        </row>
        <row r="87">
          <cell r="E87">
            <v>1.08E-3</v>
          </cell>
        </row>
        <row r="90">
          <cell r="E90">
            <v>339.51</v>
          </cell>
        </row>
        <row r="92">
          <cell r="E92">
            <v>5.5893999999999999E-2</v>
          </cell>
        </row>
        <row r="94">
          <cell r="E94">
            <v>4.75</v>
          </cell>
        </row>
        <row r="98">
          <cell r="E98">
            <v>3.0000000000000001E-3</v>
          </cell>
        </row>
        <row r="103">
          <cell r="E103">
            <v>51.67</v>
          </cell>
        </row>
        <row r="104">
          <cell r="E104">
            <v>104.46</v>
          </cell>
        </row>
        <row r="105">
          <cell r="E105">
            <v>339.51</v>
          </cell>
        </row>
        <row r="108">
          <cell r="E108">
            <v>5.6638000000000001E-2</v>
          </cell>
        </row>
        <row r="109">
          <cell r="E109">
            <v>5.6638000000000001E-2</v>
          </cell>
        </row>
        <row r="110">
          <cell r="E110">
            <v>5.5190999999999997E-2</v>
          </cell>
        </row>
        <row r="111">
          <cell r="E111">
            <v>5.4413000000000003E-2</v>
          </cell>
        </row>
        <row r="114">
          <cell r="E114">
            <v>4.2</v>
          </cell>
        </row>
        <row r="115">
          <cell r="E115">
            <v>4.1100000000000003</v>
          </cell>
        </row>
        <row r="116">
          <cell r="E116">
            <v>4.0199999999999996</v>
          </cell>
        </row>
        <row r="120">
          <cell r="E120">
            <v>1.08E-3</v>
          </cell>
        </row>
        <row r="154">
          <cell r="E154">
            <v>5.4413000000000003E-2</v>
          </cell>
        </row>
        <row r="156">
          <cell r="E156">
            <v>2.09</v>
          </cell>
        </row>
        <row r="162">
          <cell r="E162">
            <v>5.4413000000000003E-2</v>
          </cell>
        </row>
        <row r="164">
          <cell r="E164">
            <v>3.7</v>
          </cell>
        </row>
      </sheetData>
      <sheetData sheetId="2"/>
      <sheetData sheetId="3"/>
      <sheetData sheetId="4">
        <row r="8">
          <cell r="K8">
            <v>1086695.7651479591</v>
          </cell>
        </row>
        <row r="11">
          <cell r="K11">
            <v>270724.13040566456</v>
          </cell>
        </row>
        <row r="12">
          <cell r="K12">
            <v>256769.0544249308</v>
          </cell>
          <cell r="M12">
            <v>3102308.4249307895</v>
          </cell>
        </row>
        <row r="13">
          <cell r="K13">
            <v>155746.29775726225</v>
          </cell>
        </row>
        <row r="17">
          <cell r="K17">
            <v>104149.0508548877</v>
          </cell>
        </row>
        <row r="18">
          <cell r="M18">
            <v>7005.3100210298608</v>
          </cell>
        </row>
        <row r="19">
          <cell r="K19">
            <v>10532.331885134106</v>
          </cell>
        </row>
        <row r="22">
          <cell r="K22">
            <v>45113.185500063344</v>
          </cell>
        </row>
        <row r="24">
          <cell r="K24">
            <v>40853.688192164955</v>
          </cell>
        </row>
      </sheetData>
      <sheetData sheetId="5"/>
      <sheetData sheetId="6">
        <row r="6">
          <cell r="B6" t="str">
            <v>12 MONTHS ENDED SEPTEMBER 2016</v>
          </cell>
        </row>
      </sheetData>
      <sheetData sheetId="7">
        <row r="9">
          <cell r="G9" t="str">
            <v>Proposed Effective December 2017</v>
          </cell>
        </row>
        <row r="18">
          <cell r="G18">
            <v>8.7335999999999997E-2</v>
          </cell>
        </row>
      </sheetData>
      <sheetData sheetId="8">
        <row r="27">
          <cell r="L27">
            <v>-3.9999999999999998E-6</v>
          </cell>
        </row>
        <row r="31">
          <cell r="G31">
            <v>52.3</v>
          </cell>
        </row>
        <row r="49">
          <cell r="L49">
            <v>-9.9999999999999995E-7</v>
          </cell>
        </row>
        <row r="65">
          <cell r="G65">
            <v>105.74</v>
          </cell>
        </row>
        <row r="77">
          <cell r="G77">
            <v>1.2600000000000001E-3</v>
          </cell>
        </row>
        <row r="83">
          <cell r="L83">
            <v>-9.9999999999999995E-7</v>
          </cell>
        </row>
        <row r="101">
          <cell r="D101">
            <v>1.24E-3</v>
          </cell>
        </row>
      </sheetData>
      <sheetData sheetId="9">
        <row r="15">
          <cell r="G15">
            <v>343.66</v>
          </cell>
        </row>
        <row r="17">
          <cell r="G17">
            <v>5.5014E-2</v>
          </cell>
        </row>
        <row r="23">
          <cell r="G23">
            <v>11.46</v>
          </cell>
        </row>
        <row r="24">
          <cell r="G24">
            <v>7.64</v>
          </cell>
        </row>
        <row r="27">
          <cell r="G27">
            <v>1.07E-3</v>
          </cell>
        </row>
        <row r="33">
          <cell r="L33">
            <v>1.9999999999999999E-6</v>
          </cell>
        </row>
        <row r="56">
          <cell r="L56">
            <v>-9.0000000000000002E-6</v>
          </cell>
        </row>
      </sheetData>
      <sheetData sheetId="10"/>
      <sheetData sheetId="11">
        <row r="31">
          <cell r="G31">
            <v>5.0738999999999999E-2</v>
          </cell>
        </row>
        <row r="35">
          <cell r="G35">
            <v>5.48</v>
          </cell>
        </row>
      </sheetData>
      <sheetData sheetId="12"/>
      <sheetData sheetId="13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Req Summary"/>
      <sheetName val="Proforma Revenue"/>
      <sheetName val="Delivered kWh"/>
      <sheetName val="Delivered Revenue"/>
      <sheetName val="Tariff 7"/>
      <sheetName val="Tariff 7A"/>
      <sheetName val="Tariff 24"/>
      <sheetName val="Tariff 25"/>
      <sheetName val="Tariff 26"/>
      <sheetName val="Tariff 26P"/>
      <sheetName val="Tariff 29"/>
      <sheetName val="Tariff 31"/>
      <sheetName val="Tariff 35"/>
      <sheetName val="Tariff 43"/>
      <sheetName val="Tariff 40"/>
      <sheetName val="Tariff 46"/>
      <sheetName val="Tariff 49"/>
      <sheetName val="Tariff 449-459"/>
      <sheetName val="Tariff Lighting"/>
      <sheetName val="Tariff Firm Resale"/>
      <sheetName val="BW Data====&gt; "/>
      <sheetName val="kWh Summary"/>
      <sheetName val="Accounting Data====&gt;"/>
      <sheetName val="Change in Unbilled kWh"/>
      <sheetName val="Billed kWh"/>
      <sheetName val="Change in Unbilled Rev"/>
      <sheetName val="SOE "/>
      <sheetName val="Reconcile revenue data"/>
      <sheetName val="Temperature Adj"/>
      <sheetName val="Rider Revenue Estimates"/>
      <sheetName val="PCA"/>
      <sheetName val="Sch 135-135 Analysis"/>
      <sheetName val="Do Not Print========&gt;"/>
      <sheetName val="Lighting Analysis"/>
      <sheetName val="Tariff Analysis"/>
      <sheetName val="26P Analysis"/>
      <sheetName val="Sch 10 Analysis"/>
      <sheetName val="PSE Compliance Proforma Rev (Mo"/>
    </sheetNames>
    <sheetDataSet>
      <sheetData sheetId="0">
        <row r="8">
          <cell r="D8">
            <v>2142744185.3599999</v>
          </cell>
        </row>
      </sheetData>
      <sheetData sheetId="1">
        <row r="39">
          <cell r="D39">
            <v>22821309438.495499</v>
          </cell>
        </row>
      </sheetData>
      <sheetData sheetId="2"/>
      <sheetData sheetId="3"/>
      <sheetData sheetId="4">
        <row r="7">
          <cell r="D7">
            <v>11996380</v>
          </cell>
        </row>
        <row r="8">
          <cell r="D8">
            <v>2918</v>
          </cell>
        </row>
        <row r="12">
          <cell r="D12">
            <v>5973778123</v>
          </cell>
        </row>
        <row r="13">
          <cell r="D13">
            <v>4254038618</v>
          </cell>
        </row>
        <row r="14">
          <cell r="D14">
            <v>-28359904.933104038</v>
          </cell>
        </row>
        <row r="15">
          <cell r="D15">
            <v>242969649</v>
          </cell>
        </row>
        <row r="16">
          <cell r="E16">
            <v>788389063.69857621</v>
          </cell>
          <cell r="F16">
            <v>1028566034.8299937</v>
          </cell>
          <cell r="G16">
            <v>1248946353.8319292</v>
          </cell>
          <cell r="H16">
            <v>1225806465.9287825</v>
          </cell>
          <cell r="I16">
            <v>1038920912.9571128</v>
          </cell>
          <cell r="J16">
            <v>1001139736.2453095</v>
          </cell>
          <cell r="K16">
            <v>795874664.78726423</v>
          </cell>
          <cell r="L16">
            <v>715559108.06809902</v>
          </cell>
          <cell r="M16">
            <v>618674823.07889044</v>
          </cell>
          <cell r="N16">
            <v>693231423.69833016</v>
          </cell>
          <cell r="O16">
            <v>671821991.57801056</v>
          </cell>
          <cell r="P16">
            <v>615495906.36459756</v>
          </cell>
        </row>
      </sheetData>
      <sheetData sheetId="5">
        <row r="6">
          <cell r="D6">
            <v>48</v>
          </cell>
        </row>
        <row r="9">
          <cell r="D9">
            <v>350730</v>
          </cell>
        </row>
        <row r="10">
          <cell r="D10">
            <v>321450</v>
          </cell>
        </row>
        <row r="11">
          <cell r="D11">
            <v>1852820</v>
          </cell>
        </row>
        <row r="12">
          <cell r="D12">
            <v>5848</v>
          </cell>
        </row>
        <row r="13">
          <cell r="D13">
            <v>0</v>
          </cell>
        </row>
        <row r="14">
          <cell r="E14">
            <v>186387</v>
          </cell>
          <cell r="F14">
            <v>224606</v>
          </cell>
          <cell r="G14">
            <v>264188</v>
          </cell>
          <cell r="H14">
            <v>252203</v>
          </cell>
          <cell r="I14">
            <v>208180</v>
          </cell>
          <cell r="J14">
            <v>204824</v>
          </cell>
          <cell r="K14">
            <v>151818.66666666666</v>
          </cell>
          <cell r="L14">
            <v>43551.333333333343</v>
          </cell>
          <cell r="M14">
            <v>359958</v>
          </cell>
          <cell r="N14">
            <v>216736</v>
          </cell>
          <cell r="O14">
            <v>233522</v>
          </cell>
          <cell r="P14">
            <v>184874</v>
          </cell>
        </row>
        <row r="17">
          <cell r="D17">
            <v>2199</v>
          </cell>
        </row>
        <row r="18">
          <cell r="D18">
            <v>2322</v>
          </cell>
        </row>
        <row r="21">
          <cell r="D21">
            <v>690902</v>
          </cell>
        </row>
      </sheetData>
      <sheetData sheetId="6">
        <row r="7">
          <cell r="D7">
            <v>1066088</v>
          </cell>
        </row>
        <row r="8">
          <cell r="D8">
            <v>455923</v>
          </cell>
        </row>
        <row r="9">
          <cell r="D9">
            <v>0</v>
          </cell>
        </row>
        <row r="10">
          <cell r="D10">
            <v>-12</v>
          </cell>
        </row>
        <row r="14">
          <cell r="D14">
            <v>1448702428</v>
          </cell>
        </row>
        <row r="15">
          <cell r="D15">
            <v>1297406508</v>
          </cell>
        </row>
        <row r="16">
          <cell r="D16">
            <v>-51175</v>
          </cell>
        </row>
        <row r="17">
          <cell r="D17">
            <v>-45055</v>
          </cell>
        </row>
        <row r="18">
          <cell r="D18">
            <v>19022939.703836836</v>
          </cell>
        </row>
        <row r="19">
          <cell r="E19">
            <v>3160062.6388690532</v>
          </cell>
          <cell r="F19">
            <v>-4530539.1210356997</v>
          </cell>
          <cell r="G19">
            <v>4395459.0549333291</v>
          </cell>
          <cell r="H19">
            <v>4602563.3616447747</v>
          </cell>
          <cell r="I19">
            <v>8982207.4596583433</v>
          </cell>
          <cell r="J19">
            <v>4727587.7787793279</v>
          </cell>
          <cell r="K19">
            <v>5227457.7389615634</v>
          </cell>
          <cell r="L19">
            <v>1001886.2246557947</v>
          </cell>
          <cell r="M19">
            <v>-1545986.3858803839</v>
          </cell>
          <cell r="N19">
            <v>-297327.57659151818</v>
          </cell>
          <cell r="O19">
            <v>-3990032.9790699999</v>
          </cell>
          <cell r="P19">
            <v>815129.97233258444</v>
          </cell>
        </row>
        <row r="20">
          <cell r="E20">
            <v>215710510.70449299</v>
          </cell>
          <cell r="F20">
            <v>233750370.5283455</v>
          </cell>
          <cell r="G20">
            <v>269174607.97716194</v>
          </cell>
          <cell r="H20">
            <v>281640441.24406934</v>
          </cell>
          <cell r="I20">
            <v>229077398.29324535</v>
          </cell>
          <cell r="J20">
            <v>253484969.25955233</v>
          </cell>
          <cell r="K20">
            <v>204141936.02314135</v>
          </cell>
          <cell r="L20">
            <v>220142117.8939862</v>
          </cell>
          <cell r="M20">
            <v>204102525.23337504</v>
          </cell>
          <cell r="N20">
            <v>225364756.61116701</v>
          </cell>
          <cell r="O20">
            <v>235005860.14518324</v>
          </cell>
          <cell r="P20">
            <v>215988619.95737374</v>
          </cell>
        </row>
      </sheetData>
      <sheetData sheetId="7">
        <row r="8">
          <cell r="D8">
            <v>86591</v>
          </cell>
        </row>
        <row r="11">
          <cell r="D11">
            <v>729265527</v>
          </cell>
        </row>
        <row r="12">
          <cell r="D12">
            <v>699813215</v>
          </cell>
        </row>
        <row r="13">
          <cell r="D13">
            <v>1366882644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29719659.391902685</v>
          </cell>
        </row>
        <row r="18">
          <cell r="D18">
            <v>11247064.07998576</v>
          </cell>
        </row>
        <row r="19">
          <cell r="E19">
            <v>230957617.26316127</v>
          </cell>
          <cell r="F19">
            <v>234344320.96242312</v>
          </cell>
          <cell r="G19">
            <v>265091061.17093679</v>
          </cell>
          <cell r="H19">
            <v>253003850.89031228</v>
          </cell>
          <cell r="I19">
            <v>231949219.05921569</v>
          </cell>
          <cell r="J19">
            <v>255012360.21982524</v>
          </cell>
          <cell r="K19">
            <v>204172913.40056416</v>
          </cell>
          <cell r="L19">
            <v>217091048.63104883</v>
          </cell>
          <cell r="M19">
            <v>234815782.30494633</v>
          </cell>
          <cell r="N19">
            <v>238882137.3704122</v>
          </cell>
          <cell r="O19">
            <v>227833243.08518243</v>
          </cell>
          <cell r="P19">
            <v>243774555.11386013</v>
          </cell>
        </row>
        <row r="22">
          <cell r="D22">
            <v>2197162</v>
          </cell>
        </row>
        <row r="23">
          <cell r="D23">
            <v>2137144</v>
          </cell>
        </row>
        <row r="24">
          <cell r="D24">
            <v>0</v>
          </cell>
        </row>
        <row r="25">
          <cell r="D25">
            <v>0</v>
          </cell>
        </row>
        <row r="30">
          <cell r="D30">
            <v>686178313</v>
          </cell>
        </row>
        <row r="45">
          <cell r="D45">
            <v>0</v>
          </cell>
        </row>
        <row r="46">
          <cell r="D46">
            <v>2643147</v>
          </cell>
        </row>
      </sheetData>
      <sheetData sheetId="8">
        <row r="9">
          <cell r="D9">
            <v>9687</v>
          </cell>
        </row>
        <row r="15">
          <cell r="D15">
            <v>1877448961</v>
          </cell>
        </row>
        <row r="16">
          <cell r="D16">
            <v>1605471.0577550698</v>
          </cell>
        </row>
        <row r="17">
          <cell r="D17">
            <v>-231987.67610922537</v>
          </cell>
        </row>
        <row r="18">
          <cell r="E18">
            <v>156520796.95407352</v>
          </cell>
          <cell r="F18">
            <v>153493925.22492501</v>
          </cell>
          <cell r="G18">
            <v>165388665.69247249</v>
          </cell>
          <cell r="H18">
            <v>154124686.34980652</v>
          </cell>
          <cell r="I18">
            <v>147927273.11820722</v>
          </cell>
          <cell r="J18">
            <v>154413376.86746776</v>
          </cell>
          <cell r="K18">
            <v>150359140.90693125</v>
          </cell>
          <cell r="L18">
            <v>137050894.28021634</v>
          </cell>
          <cell r="M18">
            <v>170963320.99076775</v>
          </cell>
          <cell r="N18">
            <v>167170572.0508343</v>
          </cell>
          <cell r="O18">
            <v>160342817.62628406</v>
          </cell>
          <cell r="P18">
            <v>161066974.31965962</v>
          </cell>
        </row>
        <row r="24">
          <cell r="D24">
            <v>2228349</v>
          </cell>
        </row>
        <row r="29">
          <cell r="D29">
            <v>2345120</v>
          </cell>
        </row>
        <row r="35">
          <cell r="D35">
            <v>829881702</v>
          </cell>
        </row>
      </sheetData>
      <sheetData sheetId="9">
        <row r="6">
          <cell r="D6">
            <v>24</v>
          </cell>
        </row>
        <row r="9">
          <cell r="D9">
            <v>13232300</v>
          </cell>
        </row>
        <row r="10">
          <cell r="D10">
            <v>0</v>
          </cell>
        </row>
        <row r="11">
          <cell r="D11">
            <v>0</v>
          </cell>
        </row>
        <row r="12">
          <cell r="E12">
            <v>1043200</v>
          </cell>
          <cell r="F12">
            <v>-1522500</v>
          </cell>
          <cell r="G12">
            <v>4001000</v>
          </cell>
          <cell r="H12">
            <v>326700</v>
          </cell>
          <cell r="I12">
            <v>2315100</v>
          </cell>
          <cell r="J12">
            <v>1170900</v>
          </cell>
          <cell r="K12">
            <v>763000</v>
          </cell>
          <cell r="L12">
            <v>0</v>
          </cell>
          <cell r="M12">
            <v>1320900</v>
          </cell>
          <cell r="N12">
            <v>1118700</v>
          </cell>
          <cell r="O12">
            <v>1754900</v>
          </cell>
          <cell r="P12">
            <v>940400</v>
          </cell>
        </row>
        <row r="15">
          <cell r="D15">
            <v>16911</v>
          </cell>
        </row>
        <row r="16">
          <cell r="D16">
            <v>14150</v>
          </cell>
        </row>
        <row r="19">
          <cell r="D19">
            <v>4625110</v>
          </cell>
        </row>
      </sheetData>
      <sheetData sheetId="10">
        <row r="7">
          <cell r="D7">
            <v>2248</v>
          </cell>
        </row>
        <row r="8">
          <cell r="D8">
            <v>5042</v>
          </cell>
        </row>
        <row r="12">
          <cell r="D12">
            <v>1724764</v>
          </cell>
        </row>
        <row r="13">
          <cell r="D13">
            <v>19062</v>
          </cell>
        </row>
        <row r="14">
          <cell r="D14">
            <v>10852548</v>
          </cell>
        </row>
        <row r="15">
          <cell r="D15">
            <v>368027</v>
          </cell>
        </row>
        <row r="16">
          <cell r="D16">
            <v>1521175.2230270188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-47882.071149573654</v>
          </cell>
          <cell r="N17">
            <v>-9420.8260777031428</v>
          </cell>
          <cell r="O17">
            <v>-127072.48305362827</v>
          </cell>
          <cell r="P17">
            <v>25628.546446703462</v>
          </cell>
        </row>
        <row r="18">
          <cell r="E18">
            <v>355044.79382672033</v>
          </cell>
          <cell r="F18">
            <v>311574.04639389709</v>
          </cell>
          <cell r="G18">
            <v>426572.75880937552</v>
          </cell>
          <cell r="H18">
            <v>231144.09494143631</v>
          </cell>
          <cell r="I18">
            <v>309268.2396042769</v>
          </cell>
          <cell r="J18">
            <v>165319.2869411725</v>
          </cell>
          <cell r="K18">
            <v>615258.4868407693</v>
          </cell>
          <cell r="L18">
            <v>3094654.959494072</v>
          </cell>
          <cell r="M18">
            <v>805968.18113837903</v>
          </cell>
          <cell r="N18">
            <v>3527356.3994582877</v>
          </cell>
          <cell r="O18">
            <v>3121560.4136990095</v>
          </cell>
          <cell r="P18">
            <v>1363107.7280454212</v>
          </cell>
        </row>
        <row r="21">
          <cell r="D21">
            <v>1931</v>
          </cell>
        </row>
        <row r="22">
          <cell r="D22">
            <v>3438</v>
          </cell>
        </row>
        <row r="25">
          <cell r="D25">
            <v>144115</v>
          </cell>
        </row>
      </sheetData>
      <sheetData sheetId="11">
        <row r="8">
          <cell r="D8">
            <v>5854</v>
          </cell>
        </row>
        <row r="11">
          <cell r="D11">
            <v>1298591685</v>
          </cell>
        </row>
        <row r="12">
          <cell r="D12">
            <v>0</v>
          </cell>
        </row>
        <row r="13">
          <cell r="D13">
            <v>-15147343.245038178</v>
          </cell>
        </row>
        <row r="14">
          <cell r="D14">
            <v>957232.70373482059</v>
          </cell>
        </row>
        <row r="15">
          <cell r="E15">
            <v>106565055.36138692</v>
          </cell>
          <cell r="F15">
            <v>103524461.90904701</v>
          </cell>
          <cell r="G15">
            <v>113212345.64403586</v>
          </cell>
          <cell r="H15">
            <v>104846532.38647696</v>
          </cell>
          <cell r="I15">
            <v>112799481.29066783</v>
          </cell>
          <cell r="J15">
            <v>106235133.21365285</v>
          </cell>
          <cell r="K15">
            <v>95566793.209115341</v>
          </cell>
          <cell r="L15">
            <v>88670200.915264264</v>
          </cell>
          <cell r="M15">
            <v>115990767.48060417</v>
          </cell>
          <cell r="N15">
            <v>111249832.76293805</v>
          </cell>
          <cell r="O15">
            <v>115523001.3090072</v>
          </cell>
          <cell r="P15">
            <v>110217968.9765002</v>
          </cell>
        </row>
        <row r="18">
          <cell r="D18">
            <v>1595334</v>
          </cell>
        </row>
        <row r="19">
          <cell r="D19">
            <v>0</v>
          </cell>
        </row>
        <row r="20">
          <cell r="D20">
            <v>1682286</v>
          </cell>
        </row>
        <row r="21">
          <cell r="D21">
            <v>0</v>
          </cell>
        </row>
        <row r="26">
          <cell r="D26">
            <v>688319083</v>
          </cell>
        </row>
      </sheetData>
      <sheetData sheetId="12">
        <row r="6">
          <cell r="D6">
            <v>12</v>
          </cell>
        </row>
        <row r="9">
          <cell r="D9">
            <v>4443000</v>
          </cell>
        </row>
        <row r="10">
          <cell r="D10">
            <v>9600</v>
          </cell>
        </row>
        <row r="11">
          <cell r="D11">
            <v>0</v>
          </cell>
        </row>
        <row r="12">
          <cell r="E12">
            <v>782400</v>
          </cell>
          <cell r="F12">
            <v>-776400</v>
          </cell>
          <cell r="G12">
            <v>3600</v>
          </cell>
          <cell r="H12">
            <v>3000</v>
          </cell>
          <cell r="I12">
            <v>2400</v>
          </cell>
          <cell r="J12">
            <v>3600</v>
          </cell>
          <cell r="K12">
            <v>299400</v>
          </cell>
          <cell r="L12">
            <v>802200</v>
          </cell>
          <cell r="M12">
            <v>811200</v>
          </cell>
          <cell r="N12">
            <v>912600</v>
          </cell>
          <cell r="O12">
            <v>848400</v>
          </cell>
          <cell r="P12">
            <v>760200</v>
          </cell>
        </row>
        <row r="15">
          <cell r="D15">
            <v>204</v>
          </cell>
        </row>
        <row r="16">
          <cell r="D16">
            <v>8102</v>
          </cell>
        </row>
        <row r="19">
          <cell r="D19">
            <v>2355612</v>
          </cell>
        </row>
      </sheetData>
      <sheetData sheetId="13">
        <row r="6">
          <cell r="D6">
            <v>1904</v>
          </cell>
        </row>
        <row r="9">
          <cell r="D9">
            <v>116386804</v>
          </cell>
        </row>
        <row r="10">
          <cell r="D10">
            <v>-562522.33265664149</v>
          </cell>
        </row>
        <row r="11">
          <cell r="D11">
            <v>3836119.7974334164</v>
          </cell>
        </row>
        <row r="12">
          <cell r="E12">
            <v>9337075.4695151523</v>
          </cell>
          <cell r="F12">
            <v>12485354.643910935</v>
          </cell>
          <cell r="G12">
            <v>15850434.107288616</v>
          </cell>
          <cell r="H12">
            <v>14123147.660224725</v>
          </cell>
          <cell r="I12">
            <v>12927959.375655247</v>
          </cell>
          <cell r="J12">
            <v>13179188.19975958</v>
          </cell>
          <cell r="K12">
            <v>8623983.9683423489</v>
          </cell>
          <cell r="L12">
            <v>7590553.5698564323</v>
          </cell>
          <cell r="M12">
            <v>6694592.3161879135</v>
          </cell>
          <cell r="N12">
            <v>5879296.8919463623</v>
          </cell>
          <cell r="O12">
            <v>5535078.0361081427</v>
          </cell>
          <cell r="P12">
            <v>7433737.2259813203</v>
          </cell>
        </row>
        <row r="14">
          <cell r="D14">
            <v>604733</v>
          </cell>
        </row>
        <row r="16">
          <cell r="D16">
            <v>49257775</v>
          </cell>
        </row>
      </sheetData>
      <sheetData sheetId="14">
        <row r="6">
          <cell r="D6">
            <v>483</v>
          </cell>
        </row>
        <row r="7">
          <cell r="D7">
            <v>813</v>
          </cell>
        </row>
        <row r="8">
          <cell r="D8">
            <v>387</v>
          </cell>
        </row>
        <row r="9">
          <cell r="D9">
            <v>12</v>
          </cell>
        </row>
        <row r="10">
          <cell r="D10">
            <v>12</v>
          </cell>
        </row>
        <row r="11">
          <cell r="D11">
            <v>0</v>
          </cell>
        </row>
        <row r="15">
          <cell r="D15">
            <v>289915400</v>
          </cell>
        </row>
        <row r="16">
          <cell r="D16">
            <v>339432300</v>
          </cell>
        </row>
        <row r="17">
          <cell r="D17">
            <v>-3712570</v>
          </cell>
        </row>
        <row r="18">
          <cell r="D18">
            <v>3808800</v>
          </cell>
        </row>
        <row r="19">
          <cell r="D19">
            <v>-8158575.4494833089</v>
          </cell>
        </row>
        <row r="20">
          <cell r="D20">
            <v>423503.04529972037</v>
          </cell>
        </row>
        <row r="21">
          <cell r="D21">
            <v>-30131.256685476576</v>
          </cell>
        </row>
        <row r="22">
          <cell r="E22">
            <v>53144004.08998695</v>
          </cell>
          <cell r="F22">
            <v>48441755.184000134</v>
          </cell>
          <cell r="G22">
            <v>56839388.722935259</v>
          </cell>
          <cell r="H22">
            <v>57172868.537418649</v>
          </cell>
          <cell r="I22">
            <v>44963441.933640912</v>
          </cell>
          <cell r="J22">
            <v>45820828.074154593</v>
          </cell>
          <cell r="K22">
            <v>45739724.977565609</v>
          </cell>
          <cell r="L22">
            <v>58590734.122435242</v>
          </cell>
          <cell r="M22">
            <v>49835181.137705147</v>
          </cell>
          <cell r="N22">
            <v>50172203.627229638</v>
          </cell>
          <cell r="O22">
            <v>64817278.500200994</v>
          </cell>
          <cell r="P22">
            <v>46141317.431857787</v>
          </cell>
        </row>
        <row r="36">
          <cell r="D36">
            <v>62502195</v>
          </cell>
        </row>
        <row r="37">
          <cell r="D37">
            <v>97406372</v>
          </cell>
        </row>
        <row r="38">
          <cell r="D38">
            <v>-1306205</v>
          </cell>
        </row>
        <row r="39">
          <cell r="D39">
            <v>1306205</v>
          </cell>
        </row>
        <row r="43">
          <cell r="B43" t="str">
            <v>kW - Cust 12</v>
          </cell>
        </row>
        <row r="44">
          <cell r="B44" t="str">
            <v>kW - Cust 4</v>
          </cell>
        </row>
        <row r="45">
          <cell r="B45" t="str">
            <v xml:space="preserve">kW - Cust 6 </v>
          </cell>
        </row>
        <row r="46">
          <cell r="B46" t="str">
            <v>kW - Cust 10</v>
          </cell>
        </row>
        <row r="47">
          <cell r="B47" t="str">
            <v>kW - Cust 1</v>
          </cell>
        </row>
        <row r="48">
          <cell r="B48" t="str">
            <v>kW - Cust 8</v>
          </cell>
        </row>
        <row r="49">
          <cell r="B49" t="str">
            <v>kW - Cust 3</v>
          </cell>
        </row>
        <row r="50">
          <cell r="B50" t="str">
            <v>kW - Cust 7</v>
          </cell>
        </row>
        <row r="51">
          <cell r="B51" t="str">
            <v>kW - Cust 11</v>
          </cell>
        </row>
        <row r="52">
          <cell r="B52" t="str">
            <v>kW - Cust 5</v>
          </cell>
        </row>
        <row r="53">
          <cell r="B53" t="str">
            <v>kW - Cust 2</v>
          </cell>
        </row>
        <row r="54">
          <cell r="B54" t="str">
            <v>kW - Cust 9</v>
          </cell>
        </row>
        <row r="84">
          <cell r="D84">
            <v>64497</v>
          </cell>
        </row>
        <row r="85">
          <cell r="D85">
            <v>-570722</v>
          </cell>
        </row>
        <row r="111">
          <cell r="D111">
            <v>3441161.8012620001</v>
          </cell>
        </row>
      </sheetData>
      <sheetData sheetId="15">
        <row r="7">
          <cell r="D7">
            <v>57370247</v>
          </cell>
        </row>
        <row r="8">
          <cell r="D8">
            <v>23529960</v>
          </cell>
        </row>
        <row r="9">
          <cell r="D9">
            <v>-17163889.302000009</v>
          </cell>
        </row>
        <row r="10">
          <cell r="D10">
            <v>539040</v>
          </cell>
        </row>
        <row r="12">
          <cell r="E12">
            <v>5929499</v>
          </cell>
          <cell r="F12">
            <v>11395712</v>
          </cell>
          <cell r="G12">
            <v>4434417</v>
          </cell>
          <cell r="H12">
            <v>2497569</v>
          </cell>
          <cell r="I12">
            <v>6617739.7769999998</v>
          </cell>
          <cell r="J12">
            <v>1740893.2230000002</v>
          </cell>
          <cell r="K12">
            <v>7058841</v>
          </cell>
          <cell r="L12">
            <v>6233064</v>
          </cell>
          <cell r="M12">
            <v>4103891</v>
          </cell>
          <cell r="N12">
            <v>4834580</v>
          </cell>
          <cell r="O12">
            <v>3971862.6979999915</v>
          </cell>
          <cell r="P12">
            <v>5457289</v>
          </cell>
        </row>
        <row r="14">
          <cell r="D14">
            <v>334461</v>
          </cell>
        </row>
      </sheetData>
      <sheetData sheetId="16">
        <row r="7">
          <cell r="D7">
            <v>565213426</v>
          </cell>
        </row>
        <row r="8">
          <cell r="D8">
            <v>2770433</v>
          </cell>
        </row>
        <row r="10">
          <cell r="E10">
            <v>49551390</v>
          </cell>
          <cell r="F10">
            <v>74570548.046999991</v>
          </cell>
          <cell r="G10">
            <v>16078171.793000001</v>
          </cell>
          <cell r="H10">
            <v>51561516.159999996</v>
          </cell>
          <cell r="I10">
            <v>89295334.787</v>
          </cell>
          <cell r="J10">
            <v>7444497.2130000032</v>
          </cell>
          <cell r="K10">
            <v>39924274</v>
          </cell>
          <cell r="L10">
            <v>43936996</v>
          </cell>
          <cell r="M10">
            <v>47284949</v>
          </cell>
          <cell r="N10">
            <v>49438522</v>
          </cell>
          <cell r="O10">
            <v>42063164</v>
          </cell>
          <cell r="P10">
            <v>56834496</v>
          </cell>
        </row>
        <row r="12">
          <cell r="D12">
            <v>1412545</v>
          </cell>
        </row>
      </sheetData>
      <sheetData sheetId="17">
        <row r="6">
          <cell r="D6">
            <v>240</v>
          </cell>
        </row>
        <row r="12">
          <cell r="E12">
            <v>177852881.88600001</v>
          </cell>
          <cell r="F12">
            <v>171908908.32499999</v>
          </cell>
          <cell r="G12">
            <v>175155725.25000003</v>
          </cell>
          <cell r="H12">
            <v>180036575.97700003</v>
          </cell>
          <cell r="I12">
            <v>163429294.68999997</v>
          </cell>
          <cell r="J12">
            <v>187804403.67699999</v>
          </cell>
          <cell r="K12">
            <v>171772051.655</v>
          </cell>
          <cell r="L12">
            <v>175463775.18899998</v>
          </cell>
          <cell r="M12">
            <v>172168450.53099999</v>
          </cell>
          <cell r="N12">
            <v>175173145.68300003</v>
          </cell>
          <cell r="O12">
            <v>171255107.55899999</v>
          </cell>
          <cell r="P12">
            <v>176083316.204</v>
          </cell>
        </row>
      </sheetData>
      <sheetData sheetId="18">
        <row r="17">
          <cell r="E17">
            <v>6940542.4285000004</v>
          </cell>
          <cell r="F17">
            <v>5116837.171000001</v>
          </cell>
          <cell r="G17">
            <v>6909456.5325000007</v>
          </cell>
          <cell r="H17">
            <v>8982104.0499999989</v>
          </cell>
          <cell r="I17">
            <v>5840346.4930000007</v>
          </cell>
          <cell r="J17">
            <v>4626216.9330000002</v>
          </cell>
          <cell r="K17">
            <v>6131290.6915000016</v>
          </cell>
          <cell r="L17">
            <v>8258809.4964999985</v>
          </cell>
          <cell r="M17">
            <v>4366334.0478139166</v>
          </cell>
          <cell r="N17">
            <v>6275458.2116860822</v>
          </cell>
          <cell r="O17">
            <v>6395082.9170000004</v>
          </cell>
          <cell r="P17">
            <v>8129870.3335000006</v>
          </cell>
        </row>
      </sheetData>
      <sheetData sheetId="19">
        <row r="7">
          <cell r="D7">
            <v>6797340</v>
          </cell>
        </row>
        <row r="10">
          <cell r="E10">
            <v>472878.08816908946</v>
          </cell>
          <cell r="F10">
            <v>720195.36010173254</v>
          </cell>
          <cell r="G10">
            <v>954376.15630294813</v>
          </cell>
          <cell r="H10">
            <v>993626.39159838611</v>
          </cell>
          <cell r="I10">
            <v>856039.19330273825</v>
          </cell>
          <cell r="J10">
            <v>781417.16849282722</v>
          </cell>
          <cell r="K10">
            <v>535014.30113615491</v>
          </cell>
          <cell r="L10">
            <v>400773.10317194398</v>
          </cell>
          <cell r="M10">
            <v>354758.87880689255</v>
          </cell>
          <cell r="N10">
            <v>237403.97905303221</v>
          </cell>
          <cell r="O10">
            <v>292303.01491862367</v>
          </cell>
          <cell r="P10">
            <v>331017.78712645965</v>
          </cell>
        </row>
      </sheetData>
      <sheetData sheetId="20"/>
      <sheetData sheetId="21">
        <row r="9">
          <cell r="C9">
            <v>154975405.507</v>
          </cell>
        </row>
      </sheetData>
      <sheetData sheetId="22"/>
      <sheetData sheetId="23">
        <row r="82">
          <cell r="F82">
            <v>0</v>
          </cell>
        </row>
      </sheetData>
      <sheetData sheetId="24">
        <row r="83">
          <cell r="F83">
            <v>153082552.69999999</v>
          </cell>
        </row>
      </sheetData>
      <sheetData sheetId="25"/>
      <sheetData sheetId="26">
        <row r="54">
          <cell r="D54">
            <v>1580999369.615</v>
          </cell>
          <cell r="E54">
            <v>1949849778.957</v>
          </cell>
          <cell r="F54">
            <v>2122594833.9889998</v>
          </cell>
          <cell r="G54">
            <v>2109647579.7850001</v>
          </cell>
          <cell r="H54">
            <v>1829822241.2389998</v>
          </cell>
          <cell r="I54">
            <v>1792363775.7639999</v>
          </cell>
          <cell r="J54">
            <v>1488052248</v>
          </cell>
          <cell r="K54">
            <v>1492590366</v>
          </cell>
          <cell r="L54">
            <v>1471268485.3199999</v>
          </cell>
          <cell r="M54">
            <v>1560718751</v>
          </cell>
          <cell r="N54">
            <v>1592669652</v>
          </cell>
          <cell r="O54">
            <v>1468085745</v>
          </cell>
        </row>
        <row r="55">
          <cell r="D55">
            <v>177852881.86899999</v>
          </cell>
          <cell r="E55">
            <v>171908908.37</v>
          </cell>
          <cell r="F55">
            <v>175155725.21599999</v>
          </cell>
          <cell r="G55">
            <v>180036575.947</v>
          </cell>
          <cell r="H55">
            <v>163429294.692</v>
          </cell>
          <cell r="I55">
            <v>187804403.692</v>
          </cell>
          <cell r="J55">
            <v>171772052</v>
          </cell>
          <cell r="K55">
            <v>175463775</v>
          </cell>
          <cell r="L55">
            <v>172168450.509</v>
          </cell>
          <cell r="M55">
            <v>175173146</v>
          </cell>
          <cell r="N55">
            <v>171255108</v>
          </cell>
          <cell r="O55">
            <v>176083316</v>
          </cell>
        </row>
      </sheetData>
      <sheetData sheetId="27"/>
      <sheetData sheetId="28">
        <row r="27">
          <cell r="C27">
            <v>558281.61848886195</v>
          </cell>
        </row>
        <row r="36">
          <cell r="C36">
            <v>45192535.036168337</v>
          </cell>
          <cell r="D36">
            <v>93453897.546413183</v>
          </cell>
          <cell r="E36">
            <v>52367415.719787337</v>
          </cell>
          <cell r="F36">
            <v>71171146.133725539</v>
          </cell>
          <cell r="G36">
            <v>14181372.511321284</v>
          </cell>
          <cell r="H36">
            <v>-11496156.920470042</v>
          </cell>
          <cell r="I36">
            <v>-2207170.5850217612</v>
          </cell>
          <cell r="J36">
            <v>-29579625.601903219</v>
          </cell>
          <cell r="K36">
            <v>6034588.9749646252</v>
          </cell>
          <cell r="L36">
            <v>44229678.104880236</v>
          </cell>
          <cell r="M36">
            <v>-45900458.080219798</v>
          </cell>
          <cell r="N36">
            <v>44259642.039111502</v>
          </cell>
        </row>
        <row r="37">
          <cell r="K37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Customer Demand"/>
      <sheetName val="Customer Impacts"/>
      <sheetName val="Net Adjustment Summary"/>
      <sheetName val="Sch 24 Prof Sch40 Rev Adj"/>
      <sheetName val="Sch 25 Prof Sch40 Rev Adj"/>
      <sheetName val="Sch 26 Prof Sch40 Rev Adj"/>
      <sheetName val="Sch 31 Prof Sch40 Rev Adj"/>
      <sheetName val="Sch 40 Proforma Rev After Adj"/>
      <sheetName val="Cust 12 Sch 40 Adjustment"/>
      <sheetName val="Cust 9 Sch 40 Adj"/>
      <sheetName val="Cust 1 Sch 40 Adj"/>
      <sheetName val="Cust 2 Sch 40 Adj"/>
      <sheetName val="Cust 5 Sch 40 Adjustment"/>
      <sheetName val="Proforma Rev Before Adj"/>
      <sheetName val="Customer 6"/>
      <sheetName val="Customer 11"/>
      <sheetName val="Customer 12"/>
      <sheetName val="Customer 9"/>
      <sheetName val="Customer 1"/>
      <sheetName val="Customer 3"/>
      <sheetName val="Customer 2"/>
      <sheetName val="Customer 4"/>
      <sheetName val="Customer 10"/>
      <sheetName val="Customer 8"/>
      <sheetName val="Customer 5"/>
      <sheetName val="Customer 7"/>
      <sheetName val="Bill Determinant - Basic Charge"/>
      <sheetName val="Bill Determinant - kWh"/>
      <sheetName val="Bill Determinant - kW"/>
      <sheetName val="Bill Determinant - kVarh"/>
      <sheetName val="Bill Determinant - Dist kW-kWh"/>
      <sheetName val="Cust 5  Bill Consol Adj"/>
      <sheetName val="Cust 1 Bill Consol Adj"/>
      <sheetName val="Cust 2 Bill Consol Adj"/>
      <sheetName val="Cust 9 Bill Consol Adj "/>
      <sheetName val="Do Not Print======&gt;"/>
      <sheetName val="Cust 13  Med Sch 40 Adjustment"/>
      <sheetName val="Cust 14 Sch 40 Adjustment"/>
      <sheetName val="New Schedule 40 Adj Bill Determ"/>
      <sheetName val="Customer 12 2016 Addition"/>
      <sheetName val="PSE Compliance Proforma Rev (Mo"/>
    </sheetNames>
    <sheetDataSet>
      <sheetData sheetId="0"/>
      <sheetData sheetId="1">
        <row r="8">
          <cell r="D8">
            <v>67312</v>
          </cell>
        </row>
        <row r="34">
          <cell r="D34">
            <v>570788</v>
          </cell>
          <cell r="G34">
            <v>578556</v>
          </cell>
        </row>
        <row r="35">
          <cell r="D35">
            <v>627620</v>
          </cell>
          <cell r="G35">
            <v>628883</v>
          </cell>
        </row>
      </sheetData>
      <sheetData sheetId="2"/>
      <sheetData sheetId="3"/>
      <sheetData sheetId="4">
        <row r="5">
          <cell r="E5">
            <v>0</v>
          </cell>
        </row>
      </sheetData>
      <sheetData sheetId="5">
        <row r="4">
          <cell r="E4">
            <v>0</v>
          </cell>
        </row>
      </sheetData>
      <sheetData sheetId="6">
        <row r="6">
          <cell r="E6">
            <v>-1</v>
          </cell>
        </row>
      </sheetData>
      <sheetData sheetId="7">
        <row r="4">
          <cell r="E4">
            <v>0</v>
          </cell>
        </row>
      </sheetData>
      <sheetData sheetId="8">
        <row r="8">
          <cell r="E8">
            <v>40</v>
          </cell>
        </row>
      </sheetData>
      <sheetData sheetId="9">
        <row r="56">
          <cell r="C56">
            <v>0.57999999999999996</v>
          </cell>
        </row>
      </sheetData>
      <sheetData sheetId="10">
        <row r="27">
          <cell r="E27">
            <v>3565</v>
          </cell>
        </row>
      </sheetData>
      <sheetData sheetId="11">
        <row r="27">
          <cell r="E27">
            <v>44357</v>
          </cell>
        </row>
      </sheetData>
      <sheetData sheetId="12">
        <row r="27">
          <cell r="E27">
            <v>22083</v>
          </cell>
        </row>
      </sheetData>
      <sheetData sheetId="13">
        <row r="27">
          <cell r="E27">
            <v>4871</v>
          </cell>
        </row>
      </sheetData>
      <sheetData sheetId="14">
        <row r="8">
          <cell r="E8">
            <v>39</v>
          </cell>
        </row>
      </sheetData>
      <sheetData sheetId="15">
        <row r="56">
          <cell r="C56">
            <v>0.87</v>
          </cell>
        </row>
      </sheetData>
      <sheetData sheetId="16">
        <row r="56">
          <cell r="C56">
            <v>2.09</v>
          </cell>
        </row>
      </sheetData>
      <sheetData sheetId="17"/>
      <sheetData sheetId="18">
        <row r="27">
          <cell r="E27">
            <v>3565</v>
          </cell>
        </row>
      </sheetData>
      <sheetData sheetId="19">
        <row r="27">
          <cell r="E27">
            <v>44357</v>
          </cell>
        </row>
      </sheetData>
      <sheetData sheetId="20">
        <row r="56">
          <cell r="C56">
            <v>1.8</v>
          </cell>
        </row>
      </sheetData>
      <sheetData sheetId="21">
        <row r="27">
          <cell r="E27">
            <v>22083</v>
          </cell>
        </row>
      </sheetData>
      <sheetData sheetId="22">
        <row r="56">
          <cell r="C56">
            <v>0.83</v>
          </cell>
        </row>
      </sheetData>
      <sheetData sheetId="23">
        <row r="56">
          <cell r="C56">
            <v>1.31</v>
          </cell>
        </row>
      </sheetData>
      <sheetData sheetId="24">
        <row r="56">
          <cell r="C56">
            <v>1.68</v>
          </cell>
        </row>
      </sheetData>
      <sheetData sheetId="25">
        <row r="27">
          <cell r="E27">
            <v>4608</v>
          </cell>
        </row>
      </sheetData>
      <sheetData sheetId="26">
        <row r="56">
          <cell r="C56">
            <v>1.86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Bill Determinants"/>
      <sheetName val="Tariff Summary"/>
      <sheetName val="Distribution Revenue"/>
      <sheetName val="Dist Line Transformers 2017"/>
      <sheetName val="Distribution Feeders 2017"/>
      <sheetName val="Distribution Subs 2017"/>
      <sheetName val="Sub Net Book 9-16"/>
      <sheetName val="2017 Sub &amp; Feeder NCP %"/>
      <sheetName val="2016 Coincident Demand Fac"/>
      <sheetName val="2017 FCR Rates"/>
      <sheetName val="2017 Handy Whitman"/>
      <sheetName val="LR - 2017 Loss Factor by Class"/>
      <sheetName val="Sch 40 Feeder OH 2017"/>
      <sheetName val="Sch 40 Substation O&amp;M 2017"/>
      <sheetName val="Sch 40 Substation A&amp;G 2017"/>
      <sheetName val="Sch 40 Interim Energy Rates "/>
    </sheetNames>
    <sheetDataSet>
      <sheetData sheetId="0"/>
      <sheetData sheetId="1"/>
      <sheetData sheetId="2">
        <row r="30">
          <cell r="F30">
            <v>0.4</v>
          </cell>
          <cell r="G30">
            <v>1.06</v>
          </cell>
          <cell r="H30">
            <v>2.82</v>
          </cell>
          <cell r="I30">
            <v>0.88980000000000004</v>
          </cell>
        </row>
        <row r="31">
          <cell r="F31">
            <v>0.66</v>
          </cell>
          <cell r="G31">
            <v>2.4</v>
          </cell>
          <cell r="H31">
            <v>4.2</v>
          </cell>
          <cell r="I31">
            <v>0.89859999999999995</v>
          </cell>
        </row>
        <row r="32">
          <cell r="F32">
            <v>0</v>
          </cell>
          <cell r="G32">
            <v>0.56999999999999995</v>
          </cell>
          <cell r="H32">
            <v>0.99</v>
          </cell>
          <cell r="I32">
            <v>1</v>
          </cell>
        </row>
        <row r="33">
          <cell r="F33">
            <v>0</v>
          </cell>
          <cell r="G33">
            <v>0.21</v>
          </cell>
          <cell r="H33">
            <v>0.39</v>
          </cell>
          <cell r="I33">
            <v>1</v>
          </cell>
        </row>
        <row r="34">
          <cell r="F34">
            <v>0.08</v>
          </cell>
          <cell r="G34">
            <v>1.89</v>
          </cell>
          <cell r="H34">
            <v>0.8</v>
          </cell>
          <cell r="I34">
            <v>0.98680000000000001</v>
          </cell>
        </row>
        <row r="35">
          <cell r="F35">
            <v>0</v>
          </cell>
          <cell r="G35">
            <v>0.24</v>
          </cell>
          <cell r="H35">
            <v>0.22</v>
          </cell>
          <cell r="I35">
            <v>1</v>
          </cell>
        </row>
        <row r="36">
          <cell r="F36">
            <v>0</v>
          </cell>
          <cell r="G36">
            <v>0.64</v>
          </cell>
          <cell r="H36">
            <v>1.54</v>
          </cell>
          <cell r="I36">
            <v>1</v>
          </cell>
        </row>
        <row r="37">
          <cell r="F37">
            <v>0.03</v>
          </cell>
          <cell r="G37">
            <v>1.33</v>
          </cell>
          <cell r="H37">
            <v>1.26</v>
          </cell>
          <cell r="I37">
            <v>0.99770000000000003</v>
          </cell>
        </row>
        <row r="38">
          <cell r="F38">
            <v>0.82</v>
          </cell>
          <cell r="G38">
            <v>2.36</v>
          </cell>
          <cell r="H38">
            <v>2.81</v>
          </cell>
          <cell r="I38">
            <v>0.91700000000000004</v>
          </cell>
        </row>
        <row r="39">
          <cell r="F39">
            <v>0.59</v>
          </cell>
          <cell r="G39">
            <v>0.42</v>
          </cell>
          <cell r="H39">
            <v>0.56000000000000005</v>
          </cell>
          <cell r="I39">
            <v>0.95850000000000002</v>
          </cell>
        </row>
        <row r="40">
          <cell r="F40">
            <v>0.71</v>
          </cell>
          <cell r="G40">
            <v>0.52</v>
          </cell>
          <cell r="H40">
            <v>0.86</v>
          </cell>
          <cell r="I40">
            <v>0.94930000000000003</v>
          </cell>
        </row>
        <row r="41">
          <cell r="F41">
            <v>0.22</v>
          </cell>
          <cell r="G41">
            <v>0.27</v>
          </cell>
          <cell r="H41">
            <v>0.35</v>
          </cell>
          <cell r="I41">
            <v>0.97319999999999995</v>
          </cell>
        </row>
      </sheetData>
      <sheetData sheetId="3">
        <row r="30">
          <cell r="H30">
            <v>4898827.5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7">
          <cell r="H7">
            <v>0.95</v>
          </cell>
        </row>
        <row r="10">
          <cell r="G10">
            <v>1.7552976600949292E-2</v>
          </cell>
        </row>
        <row r="11">
          <cell r="G11">
            <v>3.7069728960821585E-2</v>
          </cell>
        </row>
        <row r="12">
          <cell r="G12">
            <v>7.8836606634277315E-2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PCA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">
          <cell r="C9">
            <v>22311829039.999996</v>
          </cell>
          <cell r="E9">
            <v>11362694034.5944</v>
          </cell>
          <cell r="F9">
            <v>2983833723.3713889</v>
          </cell>
          <cell r="G9">
            <v>3080584885.4856691</v>
          </cell>
          <cell r="H9">
            <v>2051022389.543107</v>
          </cell>
          <cell r="I9">
            <v>1342870567.1184549</v>
          </cell>
          <cell r="J9">
            <v>4594563.3633324662</v>
          </cell>
          <cell r="K9">
            <v>124979540.86316925</v>
          </cell>
          <cell r="L9">
            <v>639599439.09802258</v>
          </cell>
          <cell r="M9">
            <v>632887813.72208166</v>
          </cell>
          <cell r="N9">
            <v>0</v>
          </cell>
          <cell r="O9">
            <v>0</v>
          </cell>
          <cell r="P9">
            <v>81534389.017231286</v>
          </cell>
          <cell r="Q9">
            <v>7227693.8231415441</v>
          </cell>
        </row>
        <row r="10">
          <cell r="C10">
            <v>3941657.8585261339</v>
          </cell>
          <cell r="E10">
            <v>2401760.8159533199</v>
          </cell>
          <cell r="F10">
            <v>483797.35950569448</v>
          </cell>
          <cell r="G10">
            <v>452472.55815379717</v>
          </cell>
          <cell r="H10">
            <v>261562.891393383</v>
          </cell>
          <cell r="I10">
            <v>179157.07260351363</v>
          </cell>
          <cell r="J10">
            <v>4.0419526549894496</v>
          </cell>
          <cell r="K10">
            <v>0</v>
          </cell>
          <cell r="L10">
            <v>80420.565981487191</v>
          </cell>
          <cell r="M10">
            <v>67179.705291231017</v>
          </cell>
          <cell r="N10">
            <v>0</v>
          </cell>
          <cell r="O10">
            <v>0</v>
          </cell>
          <cell r="P10">
            <v>13772.381425311305</v>
          </cell>
          <cell r="Q10">
            <v>1530.4662657410647</v>
          </cell>
        </row>
        <row r="15">
          <cell r="E15">
            <v>1199530845.961303</v>
          </cell>
          <cell r="F15">
            <v>267214405.57393074</v>
          </cell>
          <cell r="G15">
            <v>251912322.65464625</v>
          </cell>
          <cell r="H15">
            <v>153008096.02665669</v>
          </cell>
          <cell r="I15">
            <v>104103146.19852759</v>
          </cell>
          <cell r="J15">
            <v>429180.35752772924</v>
          </cell>
          <cell r="K15">
            <v>10935459.949142268</v>
          </cell>
          <cell r="L15">
            <v>46953616.608873129</v>
          </cell>
          <cell r="M15">
            <v>42557366.967938654</v>
          </cell>
          <cell r="N15">
            <v>1121279.5765295029</v>
          </cell>
          <cell r="O15">
            <v>11216018.725058943</v>
          </cell>
          <cell r="P15">
            <v>18495472.952828079</v>
          </cell>
          <cell r="Q15">
            <v>723376.15572802676</v>
          </cell>
        </row>
        <row r="17">
          <cell r="E17">
            <v>60792526.492355719</v>
          </cell>
          <cell r="F17">
            <v>16929189.203066148</v>
          </cell>
          <cell r="G17">
            <v>11900165.035182636</v>
          </cell>
          <cell r="H17">
            <v>7202400.4051362295</v>
          </cell>
          <cell r="I17">
            <v>5549720.1749180267</v>
          </cell>
          <cell r="J17">
            <v>22319.875382678936</v>
          </cell>
          <cell r="K17">
            <v>479441.21714901226</v>
          </cell>
          <cell r="L17">
            <v>2170923.4248753381</v>
          </cell>
          <cell r="M17">
            <v>4835975.8716102857</v>
          </cell>
          <cell r="N17">
            <v>2850.6248341625537</v>
          </cell>
          <cell r="O17">
            <v>875638.69411477575</v>
          </cell>
          <cell r="P17">
            <v>425733.74896333064</v>
          </cell>
          <cell r="Q17">
            <v>38941.217548381959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Summary"/>
      <sheetName val="ETR"/>
      <sheetName val="KJB-3,11 Def"/>
      <sheetName val="KJB-6,13 Cmn Adj"/>
      <sheetName val="KJB-7,14 El Adj"/>
      <sheetName val="Power Cost Bridge to A-1"/>
      <sheetName val="Exh.A-1"/>
      <sheetName val="RJR Prod O&amp;M"/>
      <sheetName val="PKW RY PC1"/>
      <sheetName val="MCC-2r page 7-30 Black Box"/>
      <sheetName val="Work Papers==&gt;"/>
      <sheetName val="Verify Pwr Costs"/>
      <sheetName val="Centralia Equity Kicker"/>
      <sheetName val="For Prod Adj Ratebase"/>
      <sheetName val="For Prod Adj Expense"/>
      <sheetName val="Trans Ratebase"/>
      <sheetName val="Trans OATT Revenue"/>
    </sheetNames>
    <sheetDataSet>
      <sheetData sheetId="0"/>
      <sheetData sheetId="1">
        <row r="13">
          <cell r="A13" t="str">
            <v>LINE</v>
          </cell>
        </row>
        <row r="19">
          <cell r="AT19">
            <v>36228866.83523047</v>
          </cell>
        </row>
        <row r="32">
          <cell r="AT32">
            <v>138209148.65181684</v>
          </cell>
        </row>
      </sheetData>
      <sheetData sheetId="2"/>
      <sheetData sheetId="3">
        <row r="5">
          <cell r="D5" t="str">
            <v>PUGET SOUND ENERGY-ELECTRIC</v>
          </cell>
        </row>
        <row r="19">
          <cell r="H19">
            <v>6.9699999999999998E-2</v>
          </cell>
          <cell r="M19">
            <v>0.95238599999999995</v>
          </cell>
        </row>
      </sheetData>
      <sheetData sheetId="4">
        <row r="4">
          <cell r="E4" t="str">
            <v>Common Adj 01</v>
          </cell>
        </row>
        <row r="14">
          <cell r="AW14">
            <v>10379.814252257231</v>
          </cell>
          <cell r="CC14">
            <v>130546.64316428918</v>
          </cell>
        </row>
      </sheetData>
      <sheetData sheetId="5">
        <row r="4">
          <cell r="E4" t="str">
            <v>Electric Adj 01 Pg. 1 of 2</v>
          </cell>
        </row>
        <row r="17">
          <cell r="BM17">
            <v>0</v>
          </cell>
        </row>
        <row r="19">
          <cell r="BL19">
            <v>8206061.1260157973</v>
          </cell>
          <cell r="BM19">
            <v>0</v>
          </cell>
        </row>
        <row r="21">
          <cell r="BL21">
            <v>2763777.09</v>
          </cell>
          <cell r="BM21">
            <v>0</v>
          </cell>
        </row>
        <row r="23">
          <cell r="BB23">
            <v>6553640.5497812936</v>
          </cell>
        </row>
        <row r="28">
          <cell r="BL28">
            <v>161583689.16694248</v>
          </cell>
          <cell r="BM28">
            <v>0</v>
          </cell>
        </row>
        <row r="31">
          <cell r="BL31">
            <v>1313077.5681575285</v>
          </cell>
          <cell r="BM31">
            <v>-50414.300151840151</v>
          </cell>
        </row>
        <row r="32">
          <cell r="BL32">
            <v>2119540.3036357597</v>
          </cell>
          <cell r="BM32">
            <v>0</v>
          </cell>
        </row>
        <row r="40">
          <cell r="AC40">
            <v>2885052</v>
          </cell>
        </row>
        <row r="45">
          <cell r="AC45">
            <v>687420</v>
          </cell>
        </row>
        <row r="47">
          <cell r="AC47">
            <v>561126.34087998548</v>
          </cell>
          <cell r="BL47">
            <v>19415532.153878614</v>
          </cell>
          <cell r="BM47">
            <v>0</v>
          </cell>
        </row>
        <row r="48">
          <cell r="AC48">
            <v>2203436.1529896799</v>
          </cell>
        </row>
        <row r="49">
          <cell r="AC49">
            <v>4520422.508572978</v>
          </cell>
        </row>
        <row r="50">
          <cell r="AC50">
            <v>-400021.52129608387</v>
          </cell>
        </row>
        <row r="51">
          <cell r="AC51">
            <v>-1381851.7170492394</v>
          </cell>
        </row>
        <row r="52">
          <cell r="AC52">
            <v>3786307.8400000003</v>
          </cell>
        </row>
        <row r="53">
          <cell r="AC53">
            <v>19415532.153878614</v>
          </cell>
        </row>
        <row r="73">
          <cell r="BN73">
            <v>1961447671.7378278</v>
          </cell>
        </row>
        <row r="94">
          <cell r="BN94">
            <v>199079031.3739852</v>
          </cell>
        </row>
      </sheetData>
      <sheetData sheetId="6">
        <row r="9">
          <cell r="N9">
            <v>1</v>
          </cell>
        </row>
        <row r="15">
          <cell r="N15">
            <v>69962949.456452519</v>
          </cell>
        </row>
        <row r="16">
          <cell r="N16">
            <v>171115373.90212974</v>
          </cell>
        </row>
        <row r="17">
          <cell r="N17">
            <v>378349379.60972166</v>
          </cell>
        </row>
        <row r="18">
          <cell r="N18">
            <v>7097340.7299999986</v>
          </cell>
        </row>
        <row r="19">
          <cell r="N19">
            <v>313332.07420681993</v>
          </cell>
        </row>
        <row r="20">
          <cell r="N20">
            <v>108374278.4084733</v>
          </cell>
        </row>
        <row r="22">
          <cell r="N22">
            <v>-16223873.273980575</v>
          </cell>
        </row>
        <row r="26">
          <cell r="N26">
            <v>662134.87</v>
          </cell>
        </row>
        <row r="27">
          <cell r="N27">
            <v>-11639833.365925668</v>
          </cell>
        </row>
        <row r="28">
          <cell r="N28">
            <v>4769481.1386719989</v>
          </cell>
        </row>
      </sheetData>
      <sheetData sheetId="7">
        <row r="1">
          <cell r="A1" t="str">
            <v>Exhibit A-1 Power Cost Baseline Rate</v>
          </cell>
        </row>
        <row r="13">
          <cell r="C13">
            <v>17564314.5402111</v>
          </cell>
        </row>
        <row r="15">
          <cell r="C15">
            <v>7564532.2684628917</v>
          </cell>
        </row>
        <row r="16">
          <cell r="C16">
            <v>173054307.24066657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2">
          <cell r="C62">
            <v>85738601.034227908</v>
          </cell>
          <cell r="F62">
            <v>3490805.0455442886</v>
          </cell>
        </row>
      </sheetData>
      <sheetData sheetId="17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 Cost Production Factor"/>
      <sheetName val="Fixed Cost Production Factor"/>
      <sheetName val="Temperature Adj YE 9-2016"/>
      <sheetName val="Delivered Load YE 9-2016"/>
      <sheetName val="Customer Counts YE 9-2016"/>
      <sheetName val="F2016 Delivered Load"/>
      <sheetName val="F2016 Customer Count"/>
    </sheetNames>
    <sheetDataSet>
      <sheetData sheetId="0">
        <row r="26">
          <cell r="F26">
            <v>20723206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19"/>
  <sheetViews>
    <sheetView tabSelected="1" workbookViewId="0">
      <selection activeCell="F16" sqref="F16"/>
    </sheetView>
  </sheetViews>
  <sheetFormatPr defaultRowHeight="14.4" x14ac:dyDescent="0.3"/>
  <cols>
    <col min="1" max="1" width="5.33203125" customWidth="1"/>
    <col min="2" max="2" width="37.44140625" bestFit="1" customWidth="1"/>
    <col min="3" max="3" width="14" bestFit="1" customWidth="1"/>
    <col min="4" max="4" width="14.6640625" customWidth="1"/>
    <col min="5" max="5" width="14" bestFit="1" customWidth="1"/>
    <col min="6" max="6" width="20.6640625" bestFit="1" customWidth="1"/>
    <col min="7" max="7" width="14" customWidth="1"/>
    <col min="8" max="9" width="14" bestFit="1" customWidth="1"/>
    <col min="10" max="10" width="3.6640625" customWidth="1"/>
    <col min="11" max="11" width="14.33203125" bestFit="1" customWidth="1"/>
    <col min="12" max="13" width="12.88671875" bestFit="1" customWidth="1"/>
  </cols>
  <sheetData>
    <row r="1" spans="1:15" ht="15" x14ac:dyDescent="0.25">
      <c r="A1" s="401" t="s">
        <v>17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13"/>
      <c r="O1" s="13"/>
    </row>
    <row r="2" spans="1:15" ht="15" x14ac:dyDescent="0.25">
      <c r="A2" s="401" t="s">
        <v>41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13"/>
      <c r="O2" s="13"/>
    </row>
    <row r="3" spans="1:15" ht="15" x14ac:dyDescent="0.25">
      <c r="A3" s="401" t="s">
        <v>348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13"/>
      <c r="O3" s="13"/>
    </row>
    <row r="4" spans="1:15" ht="15" x14ac:dyDescent="0.25">
      <c r="A4" s="27"/>
      <c r="B4" s="27"/>
      <c r="C4" s="27"/>
      <c r="D4" s="27"/>
      <c r="E4" s="27"/>
      <c r="F4" s="27"/>
      <c r="G4" s="88"/>
      <c r="H4" s="27"/>
      <c r="I4" s="27"/>
      <c r="J4" s="27"/>
      <c r="K4" s="27"/>
      <c r="L4" s="27"/>
      <c r="M4" s="27"/>
      <c r="N4" s="13"/>
      <c r="O4" s="13"/>
    </row>
    <row r="5" spans="1:15" ht="15" x14ac:dyDescent="0.25">
      <c r="A5" s="47"/>
      <c r="B5" s="27"/>
      <c r="C5" s="27"/>
      <c r="D5" s="27"/>
      <c r="E5" s="27"/>
      <c r="F5" s="27"/>
      <c r="G5" s="88"/>
      <c r="H5" s="27"/>
      <c r="J5" s="27"/>
      <c r="K5" s="27"/>
      <c r="L5" s="27"/>
      <c r="M5" s="27"/>
      <c r="N5" s="13"/>
      <c r="O5" s="13"/>
    </row>
    <row r="6" spans="1:15" ht="15" customHeight="1" x14ac:dyDescent="0.25">
      <c r="A6" s="52" t="s">
        <v>115</v>
      </c>
      <c r="B6" s="46"/>
      <c r="C6" s="46"/>
      <c r="D6" s="46" t="s">
        <v>117</v>
      </c>
      <c r="E6" s="46" t="s">
        <v>118</v>
      </c>
      <c r="F6" s="46" t="s">
        <v>118</v>
      </c>
      <c r="G6" s="89" t="s">
        <v>37</v>
      </c>
      <c r="H6" s="46" t="s">
        <v>118</v>
      </c>
      <c r="I6" s="46" t="s">
        <v>118</v>
      </c>
      <c r="J6" s="46"/>
      <c r="K6" s="46" t="s">
        <v>118</v>
      </c>
      <c r="L6" s="46" t="s">
        <v>37</v>
      </c>
      <c r="M6" s="46" t="s">
        <v>37</v>
      </c>
      <c r="N6" s="13"/>
      <c r="O6" s="13"/>
    </row>
    <row r="7" spans="1:15" ht="15" customHeight="1" x14ac:dyDescent="0.25">
      <c r="A7" s="48" t="s">
        <v>116</v>
      </c>
      <c r="B7" s="19"/>
      <c r="C7" s="49" t="s">
        <v>15</v>
      </c>
      <c r="D7" s="38">
        <v>7</v>
      </c>
      <c r="E7" s="38" t="s">
        <v>59</v>
      </c>
      <c r="F7" s="38" t="s">
        <v>119</v>
      </c>
      <c r="G7" s="38">
        <v>40</v>
      </c>
      <c r="H7" s="38" t="s">
        <v>60</v>
      </c>
      <c r="I7" s="38" t="s">
        <v>61</v>
      </c>
      <c r="J7" s="50"/>
      <c r="K7" s="38" t="s">
        <v>120</v>
      </c>
      <c r="L7" s="38">
        <v>35</v>
      </c>
      <c r="M7" s="38">
        <v>43</v>
      </c>
      <c r="O7" s="13"/>
    </row>
    <row r="8" spans="1:15" x14ac:dyDescent="0.3">
      <c r="A8" s="16"/>
      <c r="B8" s="10" t="s">
        <v>14</v>
      </c>
      <c r="C8" s="10" t="s">
        <v>13</v>
      </c>
      <c r="D8" s="10" t="s">
        <v>12</v>
      </c>
      <c r="E8" s="10" t="s">
        <v>11</v>
      </c>
      <c r="F8" s="30" t="s">
        <v>349</v>
      </c>
      <c r="G8" s="30" t="s">
        <v>9</v>
      </c>
      <c r="H8" s="10" t="s">
        <v>8</v>
      </c>
      <c r="I8" s="10" t="s">
        <v>7</v>
      </c>
      <c r="J8" s="9"/>
      <c r="K8" s="10" t="s">
        <v>6</v>
      </c>
      <c r="L8" s="30" t="s">
        <v>5</v>
      </c>
      <c r="M8" s="10" t="s">
        <v>4</v>
      </c>
      <c r="O8" s="13"/>
    </row>
    <row r="9" spans="1:15" ht="15" x14ac:dyDescent="0.25">
      <c r="A9" s="30">
        <v>1</v>
      </c>
      <c r="B9" s="20" t="s">
        <v>112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ht="15" x14ac:dyDescent="0.25">
      <c r="A10" s="30">
        <f t="shared" ref="A10:A12" si="0">A9+1</f>
        <v>2</v>
      </c>
      <c r="B10" s="16" t="s">
        <v>62</v>
      </c>
      <c r="C10" s="21" t="s">
        <v>281</v>
      </c>
      <c r="D10" s="39">
        <f ca="1">'2017 GRC PCA Costs'!$E$25</f>
        <v>679883571.62213004</v>
      </c>
      <c r="E10" s="39">
        <f ca="1">'2017 GRC PCA Costs'!$F$25</f>
        <v>166680381.29352668</v>
      </c>
      <c r="F10" s="12">
        <f ca="1">SUM(K10:M10)</f>
        <v>173833551.88103783</v>
      </c>
      <c r="G10" s="39">
        <f ca="1">'2017 GRC PCA Costs'!$L$25</f>
        <v>33849538.196057476</v>
      </c>
      <c r="H10" s="39">
        <f ca="1">'2017 GRC PCA Costs'!$H$25</f>
        <v>108842991.86379959</v>
      </c>
      <c r="I10" s="39">
        <f ca="1">'2017 GRC PCA Costs'!$I$25</f>
        <v>71900899.940386742</v>
      </c>
      <c r="J10" s="12"/>
      <c r="K10" s="39">
        <f ca="1">'2017 GRC PCA Costs'!$G$25</f>
        <v>168290699.37488544</v>
      </c>
      <c r="L10" s="39">
        <f ca="1">'2017 GRC PCA Costs'!$J$25</f>
        <v>196858.45808044419</v>
      </c>
      <c r="M10" s="39">
        <f ca="1">'2017 GRC PCA Costs'!$K$25</f>
        <v>5345994.0480719618</v>
      </c>
      <c r="N10" s="13"/>
      <c r="O10" s="13"/>
    </row>
    <row r="11" spans="1:15" ht="15" x14ac:dyDescent="0.25">
      <c r="A11" s="30">
        <f t="shared" si="0"/>
        <v>3</v>
      </c>
      <c r="B11" s="28" t="s">
        <v>63</v>
      </c>
      <c r="C11" s="21" t="s">
        <v>281</v>
      </c>
      <c r="D11" s="39">
        <f ca="1">'2017 GRC PCA Costs'!E24</f>
        <v>382426533.7292971</v>
      </c>
      <c r="E11" s="39">
        <f ca="1">'2017 GRC PCA Costs'!F24</f>
        <v>93755759.249597609</v>
      </c>
      <c r="F11" s="18">
        <f ca="1">SUM(K11:M11)</f>
        <v>97779333.795500353</v>
      </c>
      <c r="G11" s="39">
        <f ca="1">'2017 GRC PCA Costs'!$L$24</f>
        <v>19039968.166564755</v>
      </c>
      <c r="H11" s="39">
        <f ca="1">'2017 GRC PCA Costs'!H24</f>
        <v>61222906.151250936</v>
      </c>
      <c r="I11" s="39">
        <f ca="1">'2017 GRC PCA Costs'!I24</f>
        <v>40443412.789949685</v>
      </c>
      <c r="J11" s="12"/>
      <c r="K11" s="39">
        <f ca="1">'2017 GRC PCA Costs'!G24</f>
        <v>94661544.280682176</v>
      </c>
      <c r="L11" s="39">
        <f ca="1">'2017 GRC PCA Costs'!J24</f>
        <v>110730.57344124233</v>
      </c>
      <c r="M11" s="39">
        <f ca="1">'2017 GRC PCA Costs'!K24</f>
        <v>3007058.9413769376</v>
      </c>
      <c r="N11" s="13"/>
      <c r="O11" s="13"/>
    </row>
    <row r="12" spans="1:15" ht="15.75" thickBot="1" x14ac:dyDescent="0.3">
      <c r="A12" s="30">
        <f t="shared" si="0"/>
        <v>4</v>
      </c>
      <c r="B12" s="85" t="s">
        <v>283</v>
      </c>
      <c r="C12" s="30" t="str">
        <f>"("&amp;A10&amp;") - ("&amp;A11&amp;")"</f>
        <v>(2) - (3)</v>
      </c>
      <c r="D12" s="87">
        <f ca="1">D10-D11</f>
        <v>297457037.89283293</v>
      </c>
      <c r="E12" s="87">
        <f t="shared" ref="E12:M12" ca="1" si="1">E10-E11</f>
        <v>72924622.04392907</v>
      </c>
      <c r="F12" s="87">
        <f t="shared" ca="1" si="1"/>
        <v>76054218.085537478</v>
      </c>
      <c r="G12" s="87">
        <f ca="1">G10-G11</f>
        <v>14809570.029492721</v>
      </c>
      <c r="H12" s="87">
        <f t="shared" ca="1" si="1"/>
        <v>47620085.712548651</v>
      </c>
      <c r="I12" s="87">
        <f t="shared" ca="1" si="1"/>
        <v>31457487.150437057</v>
      </c>
      <c r="J12" s="18"/>
      <c r="K12" s="87">
        <f t="shared" ca="1" si="1"/>
        <v>73629155.094203264</v>
      </c>
      <c r="L12" s="87">
        <f t="shared" ca="1" si="1"/>
        <v>86127.88463920186</v>
      </c>
      <c r="M12" s="87">
        <f t="shared" ca="1" si="1"/>
        <v>2338935.1066950243</v>
      </c>
      <c r="N12" s="13"/>
      <c r="O12" s="13"/>
    </row>
    <row r="13" spans="1:15" ht="15.75" thickTop="1" x14ac:dyDescent="0.25">
      <c r="A13" s="16"/>
      <c r="B13" s="13"/>
      <c r="C13" s="13"/>
      <c r="D13" s="13"/>
      <c r="E13" s="34"/>
      <c r="F13" s="34"/>
      <c r="G13" s="34"/>
      <c r="H13" s="34"/>
      <c r="I13" s="34"/>
      <c r="J13" s="34"/>
      <c r="K13" s="34"/>
      <c r="L13" s="34"/>
      <c r="M13" s="34"/>
      <c r="N13" s="13"/>
      <c r="O13" s="13"/>
    </row>
    <row r="14" spans="1:15" ht="15" x14ac:dyDescent="0.25">
      <c r="A14" s="13"/>
      <c r="B14" s="16"/>
      <c r="C14" s="13"/>
      <c r="D14" s="3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ht="15" x14ac:dyDescent="0.25">
      <c r="A15" s="10"/>
      <c r="B15" s="16"/>
      <c r="C15" s="21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13"/>
      <c r="O15" s="13"/>
    </row>
    <row r="16" spans="1:15" ht="15" x14ac:dyDescent="0.25">
      <c r="A16" s="13"/>
      <c r="B16" s="16"/>
      <c r="C16" s="13"/>
      <c r="D16" s="3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4" ht="15" x14ac:dyDescent="0.25">
      <c r="A17" s="13"/>
      <c r="B17" s="13"/>
      <c r="C17" s="13"/>
      <c r="D17" s="13"/>
    </row>
    <row r="18" spans="1:4" ht="15" x14ac:dyDescent="0.25">
      <c r="A18" s="13"/>
      <c r="B18" s="13"/>
      <c r="C18" s="13"/>
      <c r="D18" s="13"/>
    </row>
    <row r="19" spans="1:4" ht="15" x14ac:dyDescent="0.25">
      <c r="A19" s="13"/>
      <c r="B19" s="13"/>
      <c r="C19" s="13"/>
      <c r="D19" s="13"/>
    </row>
  </sheetData>
  <mergeCells count="3">
    <mergeCell ref="A1:M1"/>
    <mergeCell ref="A2:M2"/>
    <mergeCell ref="A3:M3"/>
  </mergeCells>
  <printOptions horizontalCentered="1"/>
  <pageMargins left="0.7" right="0.7" top="0.75" bottom="0.75" header="0.3" footer="0.3"/>
  <pageSetup scale="58" orientation="landscape" blackAndWhite="1" horizontalDpi="300" verticalDpi="300" r:id="rId1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U47"/>
  <sheetViews>
    <sheetView showGridLines="0" topLeftCell="B1" zoomScaleNormal="100" workbookViewId="0">
      <selection activeCell="C19" sqref="C19"/>
    </sheetView>
  </sheetViews>
  <sheetFormatPr defaultRowHeight="13.2" x14ac:dyDescent="0.25"/>
  <cols>
    <col min="1" max="1" width="5.33203125" style="57" customWidth="1"/>
    <col min="2" max="2" width="37.33203125" style="57" bestFit="1" customWidth="1"/>
    <col min="3" max="3" width="16.109375" style="57" bestFit="1" customWidth="1"/>
    <col min="4" max="4" width="3.33203125" style="57" customWidth="1"/>
    <col min="5" max="5" width="16.33203125" style="57" customWidth="1"/>
    <col min="6" max="7" width="15.33203125" style="57" customWidth="1"/>
    <col min="8" max="8" width="15.44140625" style="57" bestFit="1" customWidth="1"/>
    <col min="9" max="9" width="15" style="57" bestFit="1" customWidth="1"/>
    <col min="10" max="10" width="11.88671875" style="57" customWidth="1"/>
    <col min="11" max="11" width="14.44140625" style="57" customWidth="1"/>
    <col min="12" max="12" width="13.33203125" style="57" bestFit="1" customWidth="1"/>
    <col min="13" max="15" width="15.33203125" style="57" customWidth="1"/>
    <col min="16" max="16" width="13.88671875" style="57" bestFit="1" customWidth="1"/>
    <col min="17" max="17" width="15.33203125" style="57" customWidth="1"/>
    <col min="18" max="256" width="9.109375" style="57"/>
    <col min="257" max="257" width="5.33203125" style="57" customWidth="1"/>
    <col min="258" max="258" width="37.33203125" style="57" bestFit="1" customWidth="1"/>
    <col min="259" max="259" width="15.33203125" style="57" customWidth="1"/>
    <col min="260" max="260" width="3.33203125" style="57" customWidth="1"/>
    <col min="261" max="263" width="15.33203125" style="57" customWidth="1"/>
    <col min="264" max="264" width="14" style="57" customWidth="1"/>
    <col min="265" max="265" width="14.33203125" style="57" customWidth="1"/>
    <col min="266" max="266" width="11.88671875" style="57" customWidth="1"/>
    <col min="267" max="267" width="14.44140625" style="57" customWidth="1"/>
    <col min="268" max="268" width="12.5546875" style="57" customWidth="1"/>
    <col min="269" max="271" width="15.33203125" style="57" customWidth="1"/>
    <col min="272" max="272" width="12.44140625" style="57" customWidth="1"/>
    <col min="273" max="273" width="15.33203125" style="57" customWidth="1"/>
    <col min="274" max="512" width="9.109375" style="57"/>
    <col min="513" max="513" width="5.33203125" style="57" customWidth="1"/>
    <col min="514" max="514" width="37.33203125" style="57" bestFit="1" customWidth="1"/>
    <col min="515" max="515" width="15.33203125" style="57" customWidth="1"/>
    <col min="516" max="516" width="3.33203125" style="57" customWidth="1"/>
    <col min="517" max="519" width="15.33203125" style="57" customWidth="1"/>
    <col min="520" max="520" width="14" style="57" customWidth="1"/>
    <col min="521" max="521" width="14.33203125" style="57" customWidth="1"/>
    <col min="522" max="522" width="11.88671875" style="57" customWidth="1"/>
    <col min="523" max="523" width="14.44140625" style="57" customWidth="1"/>
    <col min="524" max="524" width="12.5546875" style="57" customWidth="1"/>
    <col min="525" max="527" width="15.33203125" style="57" customWidth="1"/>
    <col min="528" max="528" width="12.44140625" style="57" customWidth="1"/>
    <col min="529" max="529" width="15.33203125" style="57" customWidth="1"/>
    <col min="530" max="768" width="9.109375" style="57"/>
    <col min="769" max="769" width="5.33203125" style="57" customWidth="1"/>
    <col min="770" max="770" width="37.33203125" style="57" bestFit="1" customWidth="1"/>
    <col min="771" max="771" width="15.33203125" style="57" customWidth="1"/>
    <col min="772" max="772" width="3.33203125" style="57" customWidth="1"/>
    <col min="773" max="775" width="15.33203125" style="57" customWidth="1"/>
    <col min="776" max="776" width="14" style="57" customWidth="1"/>
    <col min="777" max="777" width="14.33203125" style="57" customWidth="1"/>
    <col min="778" max="778" width="11.88671875" style="57" customWidth="1"/>
    <col min="779" max="779" width="14.44140625" style="57" customWidth="1"/>
    <col min="780" max="780" width="12.5546875" style="57" customWidth="1"/>
    <col min="781" max="783" width="15.33203125" style="57" customWidth="1"/>
    <col min="784" max="784" width="12.44140625" style="57" customWidth="1"/>
    <col min="785" max="785" width="15.33203125" style="57" customWidth="1"/>
    <col min="786" max="1024" width="9.109375" style="57"/>
    <col min="1025" max="1025" width="5.33203125" style="57" customWidth="1"/>
    <col min="1026" max="1026" width="37.33203125" style="57" bestFit="1" customWidth="1"/>
    <col min="1027" max="1027" width="15.33203125" style="57" customWidth="1"/>
    <col min="1028" max="1028" width="3.33203125" style="57" customWidth="1"/>
    <col min="1029" max="1031" width="15.33203125" style="57" customWidth="1"/>
    <col min="1032" max="1032" width="14" style="57" customWidth="1"/>
    <col min="1033" max="1033" width="14.33203125" style="57" customWidth="1"/>
    <col min="1034" max="1034" width="11.88671875" style="57" customWidth="1"/>
    <col min="1035" max="1035" width="14.44140625" style="57" customWidth="1"/>
    <col min="1036" max="1036" width="12.5546875" style="57" customWidth="1"/>
    <col min="1037" max="1039" width="15.33203125" style="57" customWidth="1"/>
    <col min="1040" max="1040" width="12.44140625" style="57" customWidth="1"/>
    <col min="1041" max="1041" width="15.33203125" style="57" customWidth="1"/>
    <col min="1042" max="1280" width="9.109375" style="57"/>
    <col min="1281" max="1281" width="5.33203125" style="57" customWidth="1"/>
    <col min="1282" max="1282" width="37.33203125" style="57" bestFit="1" customWidth="1"/>
    <col min="1283" max="1283" width="15.33203125" style="57" customWidth="1"/>
    <col min="1284" max="1284" width="3.33203125" style="57" customWidth="1"/>
    <col min="1285" max="1287" width="15.33203125" style="57" customWidth="1"/>
    <col min="1288" max="1288" width="14" style="57" customWidth="1"/>
    <col min="1289" max="1289" width="14.33203125" style="57" customWidth="1"/>
    <col min="1290" max="1290" width="11.88671875" style="57" customWidth="1"/>
    <col min="1291" max="1291" width="14.44140625" style="57" customWidth="1"/>
    <col min="1292" max="1292" width="12.5546875" style="57" customWidth="1"/>
    <col min="1293" max="1295" width="15.33203125" style="57" customWidth="1"/>
    <col min="1296" max="1296" width="12.44140625" style="57" customWidth="1"/>
    <col min="1297" max="1297" width="15.33203125" style="57" customWidth="1"/>
    <col min="1298" max="1536" width="9.109375" style="57"/>
    <col min="1537" max="1537" width="5.33203125" style="57" customWidth="1"/>
    <col min="1538" max="1538" width="37.33203125" style="57" bestFit="1" customWidth="1"/>
    <col min="1539" max="1539" width="15.33203125" style="57" customWidth="1"/>
    <col min="1540" max="1540" width="3.33203125" style="57" customWidth="1"/>
    <col min="1541" max="1543" width="15.33203125" style="57" customWidth="1"/>
    <col min="1544" max="1544" width="14" style="57" customWidth="1"/>
    <col min="1545" max="1545" width="14.33203125" style="57" customWidth="1"/>
    <col min="1546" max="1546" width="11.88671875" style="57" customWidth="1"/>
    <col min="1547" max="1547" width="14.44140625" style="57" customWidth="1"/>
    <col min="1548" max="1548" width="12.5546875" style="57" customWidth="1"/>
    <col min="1549" max="1551" width="15.33203125" style="57" customWidth="1"/>
    <col min="1552" max="1552" width="12.44140625" style="57" customWidth="1"/>
    <col min="1553" max="1553" width="15.33203125" style="57" customWidth="1"/>
    <col min="1554" max="1792" width="9.109375" style="57"/>
    <col min="1793" max="1793" width="5.33203125" style="57" customWidth="1"/>
    <col min="1794" max="1794" width="37.33203125" style="57" bestFit="1" customWidth="1"/>
    <col min="1795" max="1795" width="15.33203125" style="57" customWidth="1"/>
    <col min="1796" max="1796" width="3.33203125" style="57" customWidth="1"/>
    <col min="1797" max="1799" width="15.33203125" style="57" customWidth="1"/>
    <col min="1800" max="1800" width="14" style="57" customWidth="1"/>
    <col min="1801" max="1801" width="14.33203125" style="57" customWidth="1"/>
    <col min="1802" max="1802" width="11.88671875" style="57" customWidth="1"/>
    <col min="1803" max="1803" width="14.44140625" style="57" customWidth="1"/>
    <col min="1804" max="1804" width="12.5546875" style="57" customWidth="1"/>
    <col min="1805" max="1807" width="15.33203125" style="57" customWidth="1"/>
    <col min="1808" max="1808" width="12.44140625" style="57" customWidth="1"/>
    <col min="1809" max="1809" width="15.33203125" style="57" customWidth="1"/>
    <col min="1810" max="2048" width="9.109375" style="57"/>
    <col min="2049" max="2049" width="5.33203125" style="57" customWidth="1"/>
    <col min="2050" max="2050" width="37.33203125" style="57" bestFit="1" customWidth="1"/>
    <col min="2051" max="2051" width="15.33203125" style="57" customWidth="1"/>
    <col min="2052" max="2052" width="3.33203125" style="57" customWidth="1"/>
    <col min="2053" max="2055" width="15.33203125" style="57" customWidth="1"/>
    <col min="2056" max="2056" width="14" style="57" customWidth="1"/>
    <col min="2057" max="2057" width="14.33203125" style="57" customWidth="1"/>
    <col min="2058" max="2058" width="11.88671875" style="57" customWidth="1"/>
    <col min="2059" max="2059" width="14.44140625" style="57" customWidth="1"/>
    <col min="2060" max="2060" width="12.5546875" style="57" customWidth="1"/>
    <col min="2061" max="2063" width="15.33203125" style="57" customWidth="1"/>
    <col min="2064" max="2064" width="12.44140625" style="57" customWidth="1"/>
    <col min="2065" max="2065" width="15.33203125" style="57" customWidth="1"/>
    <col min="2066" max="2304" width="9.109375" style="57"/>
    <col min="2305" max="2305" width="5.33203125" style="57" customWidth="1"/>
    <col min="2306" max="2306" width="37.33203125" style="57" bestFit="1" customWidth="1"/>
    <col min="2307" max="2307" width="15.33203125" style="57" customWidth="1"/>
    <col min="2308" max="2308" width="3.33203125" style="57" customWidth="1"/>
    <col min="2309" max="2311" width="15.33203125" style="57" customWidth="1"/>
    <col min="2312" max="2312" width="14" style="57" customWidth="1"/>
    <col min="2313" max="2313" width="14.33203125" style="57" customWidth="1"/>
    <col min="2314" max="2314" width="11.88671875" style="57" customWidth="1"/>
    <col min="2315" max="2315" width="14.44140625" style="57" customWidth="1"/>
    <col min="2316" max="2316" width="12.5546875" style="57" customWidth="1"/>
    <col min="2317" max="2319" width="15.33203125" style="57" customWidth="1"/>
    <col min="2320" max="2320" width="12.44140625" style="57" customWidth="1"/>
    <col min="2321" max="2321" width="15.33203125" style="57" customWidth="1"/>
    <col min="2322" max="2560" width="9.109375" style="57"/>
    <col min="2561" max="2561" width="5.33203125" style="57" customWidth="1"/>
    <col min="2562" max="2562" width="37.33203125" style="57" bestFit="1" customWidth="1"/>
    <col min="2563" max="2563" width="15.33203125" style="57" customWidth="1"/>
    <col min="2564" max="2564" width="3.33203125" style="57" customWidth="1"/>
    <col min="2565" max="2567" width="15.33203125" style="57" customWidth="1"/>
    <col min="2568" max="2568" width="14" style="57" customWidth="1"/>
    <col min="2569" max="2569" width="14.33203125" style="57" customWidth="1"/>
    <col min="2570" max="2570" width="11.88671875" style="57" customWidth="1"/>
    <col min="2571" max="2571" width="14.44140625" style="57" customWidth="1"/>
    <col min="2572" max="2572" width="12.5546875" style="57" customWidth="1"/>
    <col min="2573" max="2575" width="15.33203125" style="57" customWidth="1"/>
    <col min="2576" max="2576" width="12.44140625" style="57" customWidth="1"/>
    <col min="2577" max="2577" width="15.33203125" style="57" customWidth="1"/>
    <col min="2578" max="2816" width="9.109375" style="57"/>
    <col min="2817" max="2817" width="5.33203125" style="57" customWidth="1"/>
    <col min="2818" max="2818" width="37.33203125" style="57" bestFit="1" customWidth="1"/>
    <col min="2819" max="2819" width="15.33203125" style="57" customWidth="1"/>
    <col min="2820" max="2820" width="3.33203125" style="57" customWidth="1"/>
    <col min="2821" max="2823" width="15.33203125" style="57" customWidth="1"/>
    <col min="2824" max="2824" width="14" style="57" customWidth="1"/>
    <col min="2825" max="2825" width="14.33203125" style="57" customWidth="1"/>
    <col min="2826" max="2826" width="11.88671875" style="57" customWidth="1"/>
    <col min="2827" max="2827" width="14.44140625" style="57" customWidth="1"/>
    <col min="2828" max="2828" width="12.5546875" style="57" customWidth="1"/>
    <col min="2829" max="2831" width="15.33203125" style="57" customWidth="1"/>
    <col min="2832" max="2832" width="12.44140625" style="57" customWidth="1"/>
    <col min="2833" max="2833" width="15.33203125" style="57" customWidth="1"/>
    <col min="2834" max="3072" width="9.109375" style="57"/>
    <col min="3073" max="3073" width="5.33203125" style="57" customWidth="1"/>
    <col min="3074" max="3074" width="37.33203125" style="57" bestFit="1" customWidth="1"/>
    <col min="3075" max="3075" width="15.33203125" style="57" customWidth="1"/>
    <col min="3076" max="3076" width="3.33203125" style="57" customWidth="1"/>
    <col min="3077" max="3079" width="15.33203125" style="57" customWidth="1"/>
    <col min="3080" max="3080" width="14" style="57" customWidth="1"/>
    <col min="3081" max="3081" width="14.33203125" style="57" customWidth="1"/>
    <col min="3082" max="3082" width="11.88671875" style="57" customWidth="1"/>
    <col min="3083" max="3083" width="14.44140625" style="57" customWidth="1"/>
    <col min="3084" max="3084" width="12.5546875" style="57" customWidth="1"/>
    <col min="3085" max="3087" width="15.33203125" style="57" customWidth="1"/>
    <col min="3088" max="3088" width="12.44140625" style="57" customWidth="1"/>
    <col min="3089" max="3089" width="15.33203125" style="57" customWidth="1"/>
    <col min="3090" max="3328" width="9.109375" style="57"/>
    <col min="3329" max="3329" width="5.33203125" style="57" customWidth="1"/>
    <col min="3330" max="3330" width="37.33203125" style="57" bestFit="1" customWidth="1"/>
    <col min="3331" max="3331" width="15.33203125" style="57" customWidth="1"/>
    <col min="3332" max="3332" width="3.33203125" style="57" customWidth="1"/>
    <col min="3333" max="3335" width="15.33203125" style="57" customWidth="1"/>
    <col min="3336" max="3336" width="14" style="57" customWidth="1"/>
    <col min="3337" max="3337" width="14.33203125" style="57" customWidth="1"/>
    <col min="3338" max="3338" width="11.88671875" style="57" customWidth="1"/>
    <col min="3339" max="3339" width="14.44140625" style="57" customWidth="1"/>
    <col min="3340" max="3340" width="12.5546875" style="57" customWidth="1"/>
    <col min="3341" max="3343" width="15.33203125" style="57" customWidth="1"/>
    <col min="3344" max="3344" width="12.44140625" style="57" customWidth="1"/>
    <col min="3345" max="3345" width="15.33203125" style="57" customWidth="1"/>
    <col min="3346" max="3584" width="9.109375" style="57"/>
    <col min="3585" max="3585" width="5.33203125" style="57" customWidth="1"/>
    <col min="3586" max="3586" width="37.33203125" style="57" bestFit="1" customWidth="1"/>
    <col min="3587" max="3587" width="15.33203125" style="57" customWidth="1"/>
    <col min="3588" max="3588" width="3.33203125" style="57" customWidth="1"/>
    <col min="3589" max="3591" width="15.33203125" style="57" customWidth="1"/>
    <col min="3592" max="3592" width="14" style="57" customWidth="1"/>
    <col min="3593" max="3593" width="14.33203125" style="57" customWidth="1"/>
    <col min="3594" max="3594" width="11.88671875" style="57" customWidth="1"/>
    <col min="3595" max="3595" width="14.44140625" style="57" customWidth="1"/>
    <col min="3596" max="3596" width="12.5546875" style="57" customWidth="1"/>
    <col min="3597" max="3599" width="15.33203125" style="57" customWidth="1"/>
    <col min="3600" max="3600" width="12.44140625" style="57" customWidth="1"/>
    <col min="3601" max="3601" width="15.33203125" style="57" customWidth="1"/>
    <col min="3602" max="3840" width="9.109375" style="57"/>
    <col min="3841" max="3841" width="5.33203125" style="57" customWidth="1"/>
    <col min="3842" max="3842" width="37.33203125" style="57" bestFit="1" customWidth="1"/>
    <col min="3843" max="3843" width="15.33203125" style="57" customWidth="1"/>
    <col min="3844" max="3844" width="3.33203125" style="57" customWidth="1"/>
    <col min="3845" max="3847" width="15.33203125" style="57" customWidth="1"/>
    <col min="3848" max="3848" width="14" style="57" customWidth="1"/>
    <col min="3849" max="3849" width="14.33203125" style="57" customWidth="1"/>
    <col min="3850" max="3850" width="11.88671875" style="57" customWidth="1"/>
    <col min="3851" max="3851" width="14.44140625" style="57" customWidth="1"/>
    <col min="3852" max="3852" width="12.5546875" style="57" customWidth="1"/>
    <col min="3853" max="3855" width="15.33203125" style="57" customWidth="1"/>
    <col min="3856" max="3856" width="12.44140625" style="57" customWidth="1"/>
    <col min="3857" max="3857" width="15.33203125" style="57" customWidth="1"/>
    <col min="3858" max="4096" width="9.109375" style="57"/>
    <col min="4097" max="4097" width="5.33203125" style="57" customWidth="1"/>
    <col min="4098" max="4098" width="37.33203125" style="57" bestFit="1" customWidth="1"/>
    <col min="4099" max="4099" width="15.33203125" style="57" customWidth="1"/>
    <col min="4100" max="4100" width="3.33203125" style="57" customWidth="1"/>
    <col min="4101" max="4103" width="15.33203125" style="57" customWidth="1"/>
    <col min="4104" max="4104" width="14" style="57" customWidth="1"/>
    <col min="4105" max="4105" width="14.33203125" style="57" customWidth="1"/>
    <col min="4106" max="4106" width="11.88671875" style="57" customWidth="1"/>
    <col min="4107" max="4107" width="14.44140625" style="57" customWidth="1"/>
    <col min="4108" max="4108" width="12.5546875" style="57" customWidth="1"/>
    <col min="4109" max="4111" width="15.33203125" style="57" customWidth="1"/>
    <col min="4112" max="4112" width="12.44140625" style="57" customWidth="1"/>
    <col min="4113" max="4113" width="15.33203125" style="57" customWidth="1"/>
    <col min="4114" max="4352" width="9.109375" style="57"/>
    <col min="4353" max="4353" width="5.33203125" style="57" customWidth="1"/>
    <col min="4354" max="4354" width="37.33203125" style="57" bestFit="1" customWidth="1"/>
    <col min="4355" max="4355" width="15.33203125" style="57" customWidth="1"/>
    <col min="4356" max="4356" width="3.33203125" style="57" customWidth="1"/>
    <col min="4357" max="4359" width="15.33203125" style="57" customWidth="1"/>
    <col min="4360" max="4360" width="14" style="57" customWidth="1"/>
    <col min="4361" max="4361" width="14.33203125" style="57" customWidth="1"/>
    <col min="4362" max="4362" width="11.88671875" style="57" customWidth="1"/>
    <col min="4363" max="4363" width="14.44140625" style="57" customWidth="1"/>
    <col min="4364" max="4364" width="12.5546875" style="57" customWidth="1"/>
    <col min="4365" max="4367" width="15.33203125" style="57" customWidth="1"/>
    <col min="4368" max="4368" width="12.44140625" style="57" customWidth="1"/>
    <col min="4369" max="4369" width="15.33203125" style="57" customWidth="1"/>
    <col min="4370" max="4608" width="9.109375" style="57"/>
    <col min="4609" max="4609" width="5.33203125" style="57" customWidth="1"/>
    <col min="4610" max="4610" width="37.33203125" style="57" bestFit="1" customWidth="1"/>
    <col min="4611" max="4611" width="15.33203125" style="57" customWidth="1"/>
    <col min="4612" max="4612" width="3.33203125" style="57" customWidth="1"/>
    <col min="4613" max="4615" width="15.33203125" style="57" customWidth="1"/>
    <col min="4616" max="4616" width="14" style="57" customWidth="1"/>
    <col min="4617" max="4617" width="14.33203125" style="57" customWidth="1"/>
    <col min="4618" max="4618" width="11.88671875" style="57" customWidth="1"/>
    <col min="4619" max="4619" width="14.44140625" style="57" customWidth="1"/>
    <col min="4620" max="4620" width="12.5546875" style="57" customWidth="1"/>
    <col min="4621" max="4623" width="15.33203125" style="57" customWidth="1"/>
    <col min="4624" max="4624" width="12.44140625" style="57" customWidth="1"/>
    <col min="4625" max="4625" width="15.33203125" style="57" customWidth="1"/>
    <col min="4626" max="4864" width="9.109375" style="57"/>
    <col min="4865" max="4865" width="5.33203125" style="57" customWidth="1"/>
    <col min="4866" max="4866" width="37.33203125" style="57" bestFit="1" customWidth="1"/>
    <col min="4867" max="4867" width="15.33203125" style="57" customWidth="1"/>
    <col min="4868" max="4868" width="3.33203125" style="57" customWidth="1"/>
    <col min="4869" max="4871" width="15.33203125" style="57" customWidth="1"/>
    <col min="4872" max="4872" width="14" style="57" customWidth="1"/>
    <col min="4873" max="4873" width="14.33203125" style="57" customWidth="1"/>
    <col min="4874" max="4874" width="11.88671875" style="57" customWidth="1"/>
    <col min="4875" max="4875" width="14.44140625" style="57" customWidth="1"/>
    <col min="4876" max="4876" width="12.5546875" style="57" customWidth="1"/>
    <col min="4877" max="4879" width="15.33203125" style="57" customWidth="1"/>
    <col min="4880" max="4880" width="12.44140625" style="57" customWidth="1"/>
    <col min="4881" max="4881" width="15.33203125" style="57" customWidth="1"/>
    <col min="4882" max="5120" width="9.109375" style="57"/>
    <col min="5121" max="5121" width="5.33203125" style="57" customWidth="1"/>
    <col min="5122" max="5122" width="37.33203125" style="57" bestFit="1" customWidth="1"/>
    <col min="5123" max="5123" width="15.33203125" style="57" customWidth="1"/>
    <col min="5124" max="5124" width="3.33203125" style="57" customWidth="1"/>
    <col min="5125" max="5127" width="15.33203125" style="57" customWidth="1"/>
    <col min="5128" max="5128" width="14" style="57" customWidth="1"/>
    <col min="5129" max="5129" width="14.33203125" style="57" customWidth="1"/>
    <col min="5130" max="5130" width="11.88671875" style="57" customWidth="1"/>
    <col min="5131" max="5131" width="14.44140625" style="57" customWidth="1"/>
    <col min="5132" max="5132" width="12.5546875" style="57" customWidth="1"/>
    <col min="5133" max="5135" width="15.33203125" style="57" customWidth="1"/>
    <col min="5136" max="5136" width="12.44140625" style="57" customWidth="1"/>
    <col min="5137" max="5137" width="15.33203125" style="57" customWidth="1"/>
    <col min="5138" max="5376" width="9.109375" style="57"/>
    <col min="5377" max="5377" width="5.33203125" style="57" customWidth="1"/>
    <col min="5378" max="5378" width="37.33203125" style="57" bestFit="1" customWidth="1"/>
    <col min="5379" max="5379" width="15.33203125" style="57" customWidth="1"/>
    <col min="5380" max="5380" width="3.33203125" style="57" customWidth="1"/>
    <col min="5381" max="5383" width="15.33203125" style="57" customWidth="1"/>
    <col min="5384" max="5384" width="14" style="57" customWidth="1"/>
    <col min="5385" max="5385" width="14.33203125" style="57" customWidth="1"/>
    <col min="5386" max="5386" width="11.88671875" style="57" customWidth="1"/>
    <col min="5387" max="5387" width="14.44140625" style="57" customWidth="1"/>
    <col min="5388" max="5388" width="12.5546875" style="57" customWidth="1"/>
    <col min="5389" max="5391" width="15.33203125" style="57" customWidth="1"/>
    <col min="5392" max="5392" width="12.44140625" style="57" customWidth="1"/>
    <col min="5393" max="5393" width="15.33203125" style="57" customWidth="1"/>
    <col min="5394" max="5632" width="9.109375" style="57"/>
    <col min="5633" max="5633" width="5.33203125" style="57" customWidth="1"/>
    <col min="5634" max="5634" width="37.33203125" style="57" bestFit="1" customWidth="1"/>
    <col min="5635" max="5635" width="15.33203125" style="57" customWidth="1"/>
    <col min="5636" max="5636" width="3.33203125" style="57" customWidth="1"/>
    <col min="5637" max="5639" width="15.33203125" style="57" customWidth="1"/>
    <col min="5640" max="5640" width="14" style="57" customWidth="1"/>
    <col min="5641" max="5641" width="14.33203125" style="57" customWidth="1"/>
    <col min="5642" max="5642" width="11.88671875" style="57" customWidth="1"/>
    <col min="5643" max="5643" width="14.44140625" style="57" customWidth="1"/>
    <col min="5644" max="5644" width="12.5546875" style="57" customWidth="1"/>
    <col min="5645" max="5647" width="15.33203125" style="57" customWidth="1"/>
    <col min="5648" max="5648" width="12.44140625" style="57" customWidth="1"/>
    <col min="5649" max="5649" width="15.33203125" style="57" customWidth="1"/>
    <col min="5650" max="5888" width="9.109375" style="57"/>
    <col min="5889" max="5889" width="5.33203125" style="57" customWidth="1"/>
    <col min="5890" max="5890" width="37.33203125" style="57" bestFit="1" customWidth="1"/>
    <col min="5891" max="5891" width="15.33203125" style="57" customWidth="1"/>
    <col min="5892" max="5892" width="3.33203125" style="57" customWidth="1"/>
    <col min="5893" max="5895" width="15.33203125" style="57" customWidth="1"/>
    <col min="5896" max="5896" width="14" style="57" customWidth="1"/>
    <col min="5897" max="5897" width="14.33203125" style="57" customWidth="1"/>
    <col min="5898" max="5898" width="11.88671875" style="57" customWidth="1"/>
    <col min="5899" max="5899" width="14.44140625" style="57" customWidth="1"/>
    <col min="5900" max="5900" width="12.5546875" style="57" customWidth="1"/>
    <col min="5901" max="5903" width="15.33203125" style="57" customWidth="1"/>
    <col min="5904" max="5904" width="12.44140625" style="57" customWidth="1"/>
    <col min="5905" max="5905" width="15.33203125" style="57" customWidth="1"/>
    <col min="5906" max="6144" width="9.109375" style="57"/>
    <col min="6145" max="6145" width="5.33203125" style="57" customWidth="1"/>
    <col min="6146" max="6146" width="37.33203125" style="57" bestFit="1" customWidth="1"/>
    <col min="6147" max="6147" width="15.33203125" style="57" customWidth="1"/>
    <col min="6148" max="6148" width="3.33203125" style="57" customWidth="1"/>
    <col min="6149" max="6151" width="15.33203125" style="57" customWidth="1"/>
    <col min="6152" max="6152" width="14" style="57" customWidth="1"/>
    <col min="6153" max="6153" width="14.33203125" style="57" customWidth="1"/>
    <col min="6154" max="6154" width="11.88671875" style="57" customWidth="1"/>
    <col min="6155" max="6155" width="14.44140625" style="57" customWidth="1"/>
    <col min="6156" max="6156" width="12.5546875" style="57" customWidth="1"/>
    <col min="6157" max="6159" width="15.33203125" style="57" customWidth="1"/>
    <col min="6160" max="6160" width="12.44140625" style="57" customWidth="1"/>
    <col min="6161" max="6161" width="15.33203125" style="57" customWidth="1"/>
    <col min="6162" max="6400" width="9.109375" style="57"/>
    <col min="6401" max="6401" width="5.33203125" style="57" customWidth="1"/>
    <col min="6402" max="6402" width="37.33203125" style="57" bestFit="1" customWidth="1"/>
    <col min="6403" max="6403" width="15.33203125" style="57" customWidth="1"/>
    <col min="6404" max="6404" width="3.33203125" style="57" customWidth="1"/>
    <col min="6405" max="6407" width="15.33203125" style="57" customWidth="1"/>
    <col min="6408" max="6408" width="14" style="57" customWidth="1"/>
    <col min="6409" max="6409" width="14.33203125" style="57" customWidth="1"/>
    <col min="6410" max="6410" width="11.88671875" style="57" customWidth="1"/>
    <col min="6411" max="6411" width="14.44140625" style="57" customWidth="1"/>
    <col min="6412" max="6412" width="12.5546875" style="57" customWidth="1"/>
    <col min="6413" max="6415" width="15.33203125" style="57" customWidth="1"/>
    <col min="6416" max="6416" width="12.44140625" style="57" customWidth="1"/>
    <col min="6417" max="6417" width="15.33203125" style="57" customWidth="1"/>
    <col min="6418" max="6656" width="9.109375" style="57"/>
    <col min="6657" max="6657" width="5.33203125" style="57" customWidth="1"/>
    <col min="6658" max="6658" width="37.33203125" style="57" bestFit="1" customWidth="1"/>
    <col min="6659" max="6659" width="15.33203125" style="57" customWidth="1"/>
    <col min="6660" max="6660" width="3.33203125" style="57" customWidth="1"/>
    <col min="6661" max="6663" width="15.33203125" style="57" customWidth="1"/>
    <col min="6664" max="6664" width="14" style="57" customWidth="1"/>
    <col min="6665" max="6665" width="14.33203125" style="57" customWidth="1"/>
    <col min="6666" max="6666" width="11.88671875" style="57" customWidth="1"/>
    <col min="6667" max="6667" width="14.44140625" style="57" customWidth="1"/>
    <col min="6668" max="6668" width="12.5546875" style="57" customWidth="1"/>
    <col min="6669" max="6671" width="15.33203125" style="57" customWidth="1"/>
    <col min="6672" max="6672" width="12.44140625" style="57" customWidth="1"/>
    <col min="6673" max="6673" width="15.33203125" style="57" customWidth="1"/>
    <col min="6674" max="6912" width="9.109375" style="57"/>
    <col min="6913" max="6913" width="5.33203125" style="57" customWidth="1"/>
    <col min="6914" max="6914" width="37.33203125" style="57" bestFit="1" customWidth="1"/>
    <col min="6915" max="6915" width="15.33203125" style="57" customWidth="1"/>
    <col min="6916" max="6916" width="3.33203125" style="57" customWidth="1"/>
    <col min="6917" max="6919" width="15.33203125" style="57" customWidth="1"/>
    <col min="6920" max="6920" width="14" style="57" customWidth="1"/>
    <col min="6921" max="6921" width="14.33203125" style="57" customWidth="1"/>
    <col min="6922" max="6922" width="11.88671875" style="57" customWidth="1"/>
    <col min="6923" max="6923" width="14.44140625" style="57" customWidth="1"/>
    <col min="6924" max="6924" width="12.5546875" style="57" customWidth="1"/>
    <col min="6925" max="6927" width="15.33203125" style="57" customWidth="1"/>
    <col min="6928" max="6928" width="12.44140625" style="57" customWidth="1"/>
    <col min="6929" max="6929" width="15.33203125" style="57" customWidth="1"/>
    <col min="6930" max="7168" width="9.109375" style="57"/>
    <col min="7169" max="7169" width="5.33203125" style="57" customWidth="1"/>
    <col min="7170" max="7170" width="37.33203125" style="57" bestFit="1" customWidth="1"/>
    <col min="7171" max="7171" width="15.33203125" style="57" customWidth="1"/>
    <col min="7172" max="7172" width="3.33203125" style="57" customWidth="1"/>
    <col min="7173" max="7175" width="15.33203125" style="57" customWidth="1"/>
    <col min="7176" max="7176" width="14" style="57" customWidth="1"/>
    <col min="7177" max="7177" width="14.33203125" style="57" customWidth="1"/>
    <col min="7178" max="7178" width="11.88671875" style="57" customWidth="1"/>
    <col min="7179" max="7179" width="14.44140625" style="57" customWidth="1"/>
    <col min="7180" max="7180" width="12.5546875" style="57" customWidth="1"/>
    <col min="7181" max="7183" width="15.33203125" style="57" customWidth="1"/>
    <col min="7184" max="7184" width="12.44140625" style="57" customWidth="1"/>
    <col min="7185" max="7185" width="15.33203125" style="57" customWidth="1"/>
    <col min="7186" max="7424" width="9.109375" style="57"/>
    <col min="7425" max="7425" width="5.33203125" style="57" customWidth="1"/>
    <col min="7426" max="7426" width="37.33203125" style="57" bestFit="1" customWidth="1"/>
    <col min="7427" max="7427" width="15.33203125" style="57" customWidth="1"/>
    <col min="7428" max="7428" width="3.33203125" style="57" customWidth="1"/>
    <col min="7429" max="7431" width="15.33203125" style="57" customWidth="1"/>
    <col min="7432" max="7432" width="14" style="57" customWidth="1"/>
    <col min="7433" max="7433" width="14.33203125" style="57" customWidth="1"/>
    <col min="7434" max="7434" width="11.88671875" style="57" customWidth="1"/>
    <col min="7435" max="7435" width="14.44140625" style="57" customWidth="1"/>
    <col min="7436" max="7436" width="12.5546875" style="57" customWidth="1"/>
    <col min="7437" max="7439" width="15.33203125" style="57" customWidth="1"/>
    <col min="7440" max="7440" width="12.44140625" style="57" customWidth="1"/>
    <col min="7441" max="7441" width="15.33203125" style="57" customWidth="1"/>
    <col min="7442" max="7680" width="9.109375" style="57"/>
    <col min="7681" max="7681" width="5.33203125" style="57" customWidth="1"/>
    <col min="7682" max="7682" width="37.33203125" style="57" bestFit="1" customWidth="1"/>
    <col min="7683" max="7683" width="15.33203125" style="57" customWidth="1"/>
    <col min="7684" max="7684" width="3.33203125" style="57" customWidth="1"/>
    <col min="7685" max="7687" width="15.33203125" style="57" customWidth="1"/>
    <col min="7688" max="7688" width="14" style="57" customWidth="1"/>
    <col min="7689" max="7689" width="14.33203125" style="57" customWidth="1"/>
    <col min="7690" max="7690" width="11.88671875" style="57" customWidth="1"/>
    <col min="7691" max="7691" width="14.44140625" style="57" customWidth="1"/>
    <col min="7692" max="7692" width="12.5546875" style="57" customWidth="1"/>
    <col min="7693" max="7695" width="15.33203125" style="57" customWidth="1"/>
    <col min="7696" max="7696" width="12.44140625" style="57" customWidth="1"/>
    <col min="7697" max="7697" width="15.33203125" style="57" customWidth="1"/>
    <col min="7698" max="7936" width="9.109375" style="57"/>
    <col min="7937" max="7937" width="5.33203125" style="57" customWidth="1"/>
    <col min="7938" max="7938" width="37.33203125" style="57" bestFit="1" customWidth="1"/>
    <col min="7939" max="7939" width="15.33203125" style="57" customWidth="1"/>
    <col min="7940" max="7940" width="3.33203125" style="57" customWidth="1"/>
    <col min="7941" max="7943" width="15.33203125" style="57" customWidth="1"/>
    <col min="7944" max="7944" width="14" style="57" customWidth="1"/>
    <col min="7945" max="7945" width="14.33203125" style="57" customWidth="1"/>
    <col min="7946" max="7946" width="11.88671875" style="57" customWidth="1"/>
    <col min="7947" max="7947" width="14.44140625" style="57" customWidth="1"/>
    <col min="7948" max="7948" width="12.5546875" style="57" customWidth="1"/>
    <col min="7949" max="7951" width="15.33203125" style="57" customWidth="1"/>
    <col min="7952" max="7952" width="12.44140625" style="57" customWidth="1"/>
    <col min="7953" max="7953" width="15.33203125" style="57" customWidth="1"/>
    <col min="7954" max="8192" width="9.109375" style="57"/>
    <col min="8193" max="8193" width="5.33203125" style="57" customWidth="1"/>
    <col min="8194" max="8194" width="37.33203125" style="57" bestFit="1" customWidth="1"/>
    <col min="8195" max="8195" width="15.33203125" style="57" customWidth="1"/>
    <col min="8196" max="8196" width="3.33203125" style="57" customWidth="1"/>
    <col min="8197" max="8199" width="15.33203125" style="57" customWidth="1"/>
    <col min="8200" max="8200" width="14" style="57" customWidth="1"/>
    <col min="8201" max="8201" width="14.33203125" style="57" customWidth="1"/>
    <col min="8202" max="8202" width="11.88671875" style="57" customWidth="1"/>
    <col min="8203" max="8203" width="14.44140625" style="57" customWidth="1"/>
    <col min="8204" max="8204" width="12.5546875" style="57" customWidth="1"/>
    <col min="8205" max="8207" width="15.33203125" style="57" customWidth="1"/>
    <col min="8208" max="8208" width="12.44140625" style="57" customWidth="1"/>
    <col min="8209" max="8209" width="15.33203125" style="57" customWidth="1"/>
    <col min="8210" max="8448" width="9.109375" style="57"/>
    <col min="8449" max="8449" width="5.33203125" style="57" customWidth="1"/>
    <col min="8450" max="8450" width="37.33203125" style="57" bestFit="1" customWidth="1"/>
    <col min="8451" max="8451" width="15.33203125" style="57" customWidth="1"/>
    <col min="8452" max="8452" width="3.33203125" style="57" customWidth="1"/>
    <col min="8453" max="8455" width="15.33203125" style="57" customWidth="1"/>
    <col min="8456" max="8456" width="14" style="57" customWidth="1"/>
    <col min="8457" max="8457" width="14.33203125" style="57" customWidth="1"/>
    <col min="8458" max="8458" width="11.88671875" style="57" customWidth="1"/>
    <col min="8459" max="8459" width="14.44140625" style="57" customWidth="1"/>
    <col min="8460" max="8460" width="12.5546875" style="57" customWidth="1"/>
    <col min="8461" max="8463" width="15.33203125" style="57" customWidth="1"/>
    <col min="8464" max="8464" width="12.44140625" style="57" customWidth="1"/>
    <col min="8465" max="8465" width="15.33203125" style="57" customWidth="1"/>
    <col min="8466" max="8704" width="9.109375" style="57"/>
    <col min="8705" max="8705" width="5.33203125" style="57" customWidth="1"/>
    <col min="8706" max="8706" width="37.33203125" style="57" bestFit="1" customWidth="1"/>
    <col min="8707" max="8707" width="15.33203125" style="57" customWidth="1"/>
    <col min="8708" max="8708" width="3.33203125" style="57" customWidth="1"/>
    <col min="8709" max="8711" width="15.33203125" style="57" customWidth="1"/>
    <col min="8712" max="8712" width="14" style="57" customWidth="1"/>
    <col min="8713" max="8713" width="14.33203125" style="57" customWidth="1"/>
    <col min="8714" max="8714" width="11.88671875" style="57" customWidth="1"/>
    <col min="8715" max="8715" width="14.44140625" style="57" customWidth="1"/>
    <col min="8716" max="8716" width="12.5546875" style="57" customWidth="1"/>
    <col min="8717" max="8719" width="15.33203125" style="57" customWidth="1"/>
    <col min="8720" max="8720" width="12.44140625" style="57" customWidth="1"/>
    <col min="8721" max="8721" width="15.33203125" style="57" customWidth="1"/>
    <col min="8722" max="8960" width="9.109375" style="57"/>
    <col min="8961" max="8961" width="5.33203125" style="57" customWidth="1"/>
    <col min="8962" max="8962" width="37.33203125" style="57" bestFit="1" customWidth="1"/>
    <col min="8963" max="8963" width="15.33203125" style="57" customWidth="1"/>
    <col min="8964" max="8964" width="3.33203125" style="57" customWidth="1"/>
    <col min="8965" max="8967" width="15.33203125" style="57" customWidth="1"/>
    <col min="8968" max="8968" width="14" style="57" customWidth="1"/>
    <col min="8969" max="8969" width="14.33203125" style="57" customWidth="1"/>
    <col min="8970" max="8970" width="11.88671875" style="57" customWidth="1"/>
    <col min="8971" max="8971" width="14.44140625" style="57" customWidth="1"/>
    <col min="8972" max="8972" width="12.5546875" style="57" customWidth="1"/>
    <col min="8973" max="8975" width="15.33203125" style="57" customWidth="1"/>
    <col min="8976" max="8976" width="12.44140625" style="57" customWidth="1"/>
    <col min="8977" max="8977" width="15.33203125" style="57" customWidth="1"/>
    <col min="8978" max="9216" width="9.109375" style="57"/>
    <col min="9217" max="9217" width="5.33203125" style="57" customWidth="1"/>
    <col min="9218" max="9218" width="37.33203125" style="57" bestFit="1" customWidth="1"/>
    <col min="9219" max="9219" width="15.33203125" style="57" customWidth="1"/>
    <col min="9220" max="9220" width="3.33203125" style="57" customWidth="1"/>
    <col min="9221" max="9223" width="15.33203125" style="57" customWidth="1"/>
    <col min="9224" max="9224" width="14" style="57" customWidth="1"/>
    <col min="9225" max="9225" width="14.33203125" style="57" customWidth="1"/>
    <col min="9226" max="9226" width="11.88671875" style="57" customWidth="1"/>
    <col min="9227" max="9227" width="14.44140625" style="57" customWidth="1"/>
    <col min="9228" max="9228" width="12.5546875" style="57" customWidth="1"/>
    <col min="9229" max="9231" width="15.33203125" style="57" customWidth="1"/>
    <col min="9232" max="9232" width="12.44140625" style="57" customWidth="1"/>
    <col min="9233" max="9233" width="15.33203125" style="57" customWidth="1"/>
    <col min="9234" max="9472" width="9.109375" style="57"/>
    <col min="9473" max="9473" width="5.33203125" style="57" customWidth="1"/>
    <col min="9474" max="9474" width="37.33203125" style="57" bestFit="1" customWidth="1"/>
    <col min="9475" max="9475" width="15.33203125" style="57" customWidth="1"/>
    <col min="9476" max="9476" width="3.33203125" style="57" customWidth="1"/>
    <col min="9477" max="9479" width="15.33203125" style="57" customWidth="1"/>
    <col min="9480" max="9480" width="14" style="57" customWidth="1"/>
    <col min="9481" max="9481" width="14.33203125" style="57" customWidth="1"/>
    <col min="9482" max="9482" width="11.88671875" style="57" customWidth="1"/>
    <col min="9483" max="9483" width="14.44140625" style="57" customWidth="1"/>
    <col min="9484" max="9484" width="12.5546875" style="57" customWidth="1"/>
    <col min="9485" max="9487" width="15.33203125" style="57" customWidth="1"/>
    <col min="9488" max="9488" width="12.44140625" style="57" customWidth="1"/>
    <col min="9489" max="9489" width="15.33203125" style="57" customWidth="1"/>
    <col min="9490" max="9728" width="9.109375" style="57"/>
    <col min="9729" max="9729" width="5.33203125" style="57" customWidth="1"/>
    <col min="9730" max="9730" width="37.33203125" style="57" bestFit="1" customWidth="1"/>
    <col min="9731" max="9731" width="15.33203125" style="57" customWidth="1"/>
    <col min="9732" max="9732" width="3.33203125" style="57" customWidth="1"/>
    <col min="9733" max="9735" width="15.33203125" style="57" customWidth="1"/>
    <col min="9736" max="9736" width="14" style="57" customWidth="1"/>
    <col min="9737" max="9737" width="14.33203125" style="57" customWidth="1"/>
    <col min="9738" max="9738" width="11.88671875" style="57" customWidth="1"/>
    <col min="9739" max="9739" width="14.44140625" style="57" customWidth="1"/>
    <col min="9740" max="9740" width="12.5546875" style="57" customWidth="1"/>
    <col min="9741" max="9743" width="15.33203125" style="57" customWidth="1"/>
    <col min="9744" max="9744" width="12.44140625" style="57" customWidth="1"/>
    <col min="9745" max="9745" width="15.33203125" style="57" customWidth="1"/>
    <col min="9746" max="9984" width="9.109375" style="57"/>
    <col min="9985" max="9985" width="5.33203125" style="57" customWidth="1"/>
    <col min="9986" max="9986" width="37.33203125" style="57" bestFit="1" customWidth="1"/>
    <col min="9987" max="9987" width="15.33203125" style="57" customWidth="1"/>
    <col min="9988" max="9988" width="3.33203125" style="57" customWidth="1"/>
    <col min="9989" max="9991" width="15.33203125" style="57" customWidth="1"/>
    <col min="9992" max="9992" width="14" style="57" customWidth="1"/>
    <col min="9993" max="9993" width="14.33203125" style="57" customWidth="1"/>
    <col min="9994" max="9994" width="11.88671875" style="57" customWidth="1"/>
    <col min="9995" max="9995" width="14.44140625" style="57" customWidth="1"/>
    <col min="9996" max="9996" width="12.5546875" style="57" customWidth="1"/>
    <col min="9997" max="9999" width="15.33203125" style="57" customWidth="1"/>
    <col min="10000" max="10000" width="12.44140625" style="57" customWidth="1"/>
    <col min="10001" max="10001" width="15.33203125" style="57" customWidth="1"/>
    <col min="10002" max="10240" width="9.109375" style="57"/>
    <col min="10241" max="10241" width="5.33203125" style="57" customWidth="1"/>
    <col min="10242" max="10242" width="37.33203125" style="57" bestFit="1" customWidth="1"/>
    <col min="10243" max="10243" width="15.33203125" style="57" customWidth="1"/>
    <col min="10244" max="10244" width="3.33203125" style="57" customWidth="1"/>
    <col min="10245" max="10247" width="15.33203125" style="57" customWidth="1"/>
    <col min="10248" max="10248" width="14" style="57" customWidth="1"/>
    <col min="10249" max="10249" width="14.33203125" style="57" customWidth="1"/>
    <col min="10250" max="10250" width="11.88671875" style="57" customWidth="1"/>
    <col min="10251" max="10251" width="14.44140625" style="57" customWidth="1"/>
    <col min="10252" max="10252" width="12.5546875" style="57" customWidth="1"/>
    <col min="10253" max="10255" width="15.33203125" style="57" customWidth="1"/>
    <col min="10256" max="10256" width="12.44140625" style="57" customWidth="1"/>
    <col min="10257" max="10257" width="15.33203125" style="57" customWidth="1"/>
    <col min="10258" max="10496" width="9.109375" style="57"/>
    <col min="10497" max="10497" width="5.33203125" style="57" customWidth="1"/>
    <col min="10498" max="10498" width="37.33203125" style="57" bestFit="1" customWidth="1"/>
    <col min="10499" max="10499" width="15.33203125" style="57" customWidth="1"/>
    <col min="10500" max="10500" width="3.33203125" style="57" customWidth="1"/>
    <col min="10501" max="10503" width="15.33203125" style="57" customWidth="1"/>
    <col min="10504" max="10504" width="14" style="57" customWidth="1"/>
    <col min="10505" max="10505" width="14.33203125" style="57" customWidth="1"/>
    <col min="10506" max="10506" width="11.88671875" style="57" customWidth="1"/>
    <col min="10507" max="10507" width="14.44140625" style="57" customWidth="1"/>
    <col min="10508" max="10508" width="12.5546875" style="57" customWidth="1"/>
    <col min="10509" max="10511" width="15.33203125" style="57" customWidth="1"/>
    <col min="10512" max="10512" width="12.44140625" style="57" customWidth="1"/>
    <col min="10513" max="10513" width="15.33203125" style="57" customWidth="1"/>
    <col min="10514" max="10752" width="9.109375" style="57"/>
    <col min="10753" max="10753" width="5.33203125" style="57" customWidth="1"/>
    <col min="10754" max="10754" width="37.33203125" style="57" bestFit="1" customWidth="1"/>
    <col min="10755" max="10755" width="15.33203125" style="57" customWidth="1"/>
    <col min="10756" max="10756" width="3.33203125" style="57" customWidth="1"/>
    <col min="10757" max="10759" width="15.33203125" style="57" customWidth="1"/>
    <col min="10760" max="10760" width="14" style="57" customWidth="1"/>
    <col min="10761" max="10761" width="14.33203125" style="57" customWidth="1"/>
    <col min="10762" max="10762" width="11.88671875" style="57" customWidth="1"/>
    <col min="10763" max="10763" width="14.44140625" style="57" customWidth="1"/>
    <col min="10764" max="10764" width="12.5546875" style="57" customWidth="1"/>
    <col min="10765" max="10767" width="15.33203125" style="57" customWidth="1"/>
    <col min="10768" max="10768" width="12.44140625" style="57" customWidth="1"/>
    <col min="10769" max="10769" width="15.33203125" style="57" customWidth="1"/>
    <col min="10770" max="11008" width="9.109375" style="57"/>
    <col min="11009" max="11009" width="5.33203125" style="57" customWidth="1"/>
    <col min="11010" max="11010" width="37.33203125" style="57" bestFit="1" customWidth="1"/>
    <col min="11011" max="11011" width="15.33203125" style="57" customWidth="1"/>
    <col min="11012" max="11012" width="3.33203125" style="57" customWidth="1"/>
    <col min="11013" max="11015" width="15.33203125" style="57" customWidth="1"/>
    <col min="11016" max="11016" width="14" style="57" customWidth="1"/>
    <col min="11017" max="11017" width="14.33203125" style="57" customWidth="1"/>
    <col min="11018" max="11018" width="11.88671875" style="57" customWidth="1"/>
    <col min="11019" max="11019" width="14.44140625" style="57" customWidth="1"/>
    <col min="11020" max="11020" width="12.5546875" style="57" customWidth="1"/>
    <col min="11021" max="11023" width="15.33203125" style="57" customWidth="1"/>
    <col min="11024" max="11024" width="12.44140625" style="57" customWidth="1"/>
    <col min="11025" max="11025" width="15.33203125" style="57" customWidth="1"/>
    <col min="11026" max="11264" width="9.109375" style="57"/>
    <col min="11265" max="11265" width="5.33203125" style="57" customWidth="1"/>
    <col min="11266" max="11266" width="37.33203125" style="57" bestFit="1" customWidth="1"/>
    <col min="11267" max="11267" width="15.33203125" style="57" customWidth="1"/>
    <col min="11268" max="11268" width="3.33203125" style="57" customWidth="1"/>
    <col min="11269" max="11271" width="15.33203125" style="57" customWidth="1"/>
    <col min="11272" max="11272" width="14" style="57" customWidth="1"/>
    <col min="11273" max="11273" width="14.33203125" style="57" customWidth="1"/>
    <col min="11274" max="11274" width="11.88671875" style="57" customWidth="1"/>
    <col min="11275" max="11275" width="14.44140625" style="57" customWidth="1"/>
    <col min="11276" max="11276" width="12.5546875" style="57" customWidth="1"/>
    <col min="11277" max="11279" width="15.33203125" style="57" customWidth="1"/>
    <col min="11280" max="11280" width="12.44140625" style="57" customWidth="1"/>
    <col min="11281" max="11281" width="15.33203125" style="57" customWidth="1"/>
    <col min="11282" max="11520" width="9.109375" style="57"/>
    <col min="11521" max="11521" width="5.33203125" style="57" customWidth="1"/>
    <col min="11522" max="11522" width="37.33203125" style="57" bestFit="1" customWidth="1"/>
    <col min="11523" max="11523" width="15.33203125" style="57" customWidth="1"/>
    <col min="11524" max="11524" width="3.33203125" style="57" customWidth="1"/>
    <col min="11525" max="11527" width="15.33203125" style="57" customWidth="1"/>
    <col min="11528" max="11528" width="14" style="57" customWidth="1"/>
    <col min="11529" max="11529" width="14.33203125" style="57" customWidth="1"/>
    <col min="11530" max="11530" width="11.88671875" style="57" customWidth="1"/>
    <col min="11531" max="11531" width="14.44140625" style="57" customWidth="1"/>
    <col min="11532" max="11532" width="12.5546875" style="57" customWidth="1"/>
    <col min="11533" max="11535" width="15.33203125" style="57" customWidth="1"/>
    <col min="11536" max="11536" width="12.44140625" style="57" customWidth="1"/>
    <col min="11537" max="11537" width="15.33203125" style="57" customWidth="1"/>
    <col min="11538" max="11776" width="9.109375" style="57"/>
    <col min="11777" max="11777" width="5.33203125" style="57" customWidth="1"/>
    <col min="11778" max="11778" width="37.33203125" style="57" bestFit="1" customWidth="1"/>
    <col min="11779" max="11779" width="15.33203125" style="57" customWidth="1"/>
    <col min="11780" max="11780" width="3.33203125" style="57" customWidth="1"/>
    <col min="11781" max="11783" width="15.33203125" style="57" customWidth="1"/>
    <col min="11784" max="11784" width="14" style="57" customWidth="1"/>
    <col min="11785" max="11785" width="14.33203125" style="57" customWidth="1"/>
    <col min="11786" max="11786" width="11.88671875" style="57" customWidth="1"/>
    <col min="11787" max="11787" width="14.44140625" style="57" customWidth="1"/>
    <col min="11788" max="11788" width="12.5546875" style="57" customWidth="1"/>
    <col min="11789" max="11791" width="15.33203125" style="57" customWidth="1"/>
    <col min="11792" max="11792" width="12.44140625" style="57" customWidth="1"/>
    <col min="11793" max="11793" width="15.33203125" style="57" customWidth="1"/>
    <col min="11794" max="12032" width="9.109375" style="57"/>
    <col min="12033" max="12033" width="5.33203125" style="57" customWidth="1"/>
    <col min="12034" max="12034" width="37.33203125" style="57" bestFit="1" customWidth="1"/>
    <col min="12035" max="12035" width="15.33203125" style="57" customWidth="1"/>
    <col min="12036" max="12036" width="3.33203125" style="57" customWidth="1"/>
    <col min="12037" max="12039" width="15.33203125" style="57" customWidth="1"/>
    <col min="12040" max="12040" width="14" style="57" customWidth="1"/>
    <col min="12041" max="12041" width="14.33203125" style="57" customWidth="1"/>
    <col min="12042" max="12042" width="11.88671875" style="57" customWidth="1"/>
    <col min="12043" max="12043" width="14.44140625" style="57" customWidth="1"/>
    <col min="12044" max="12044" width="12.5546875" style="57" customWidth="1"/>
    <col min="12045" max="12047" width="15.33203125" style="57" customWidth="1"/>
    <col min="12048" max="12048" width="12.44140625" style="57" customWidth="1"/>
    <col min="12049" max="12049" width="15.33203125" style="57" customWidth="1"/>
    <col min="12050" max="12288" width="9.109375" style="57"/>
    <col min="12289" max="12289" width="5.33203125" style="57" customWidth="1"/>
    <col min="12290" max="12290" width="37.33203125" style="57" bestFit="1" customWidth="1"/>
    <col min="12291" max="12291" width="15.33203125" style="57" customWidth="1"/>
    <col min="12292" max="12292" width="3.33203125" style="57" customWidth="1"/>
    <col min="12293" max="12295" width="15.33203125" style="57" customWidth="1"/>
    <col min="12296" max="12296" width="14" style="57" customWidth="1"/>
    <col min="12297" max="12297" width="14.33203125" style="57" customWidth="1"/>
    <col min="12298" max="12298" width="11.88671875" style="57" customWidth="1"/>
    <col min="12299" max="12299" width="14.44140625" style="57" customWidth="1"/>
    <col min="12300" max="12300" width="12.5546875" style="57" customWidth="1"/>
    <col min="12301" max="12303" width="15.33203125" style="57" customWidth="1"/>
    <col min="12304" max="12304" width="12.44140625" style="57" customWidth="1"/>
    <col min="12305" max="12305" width="15.33203125" style="57" customWidth="1"/>
    <col min="12306" max="12544" width="9.109375" style="57"/>
    <col min="12545" max="12545" width="5.33203125" style="57" customWidth="1"/>
    <col min="12546" max="12546" width="37.33203125" style="57" bestFit="1" customWidth="1"/>
    <col min="12547" max="12547" width="15.33203125" style="57" customWidth="1"/>
    <col min="12548" max="12548" width="3.33203125" style="57" customWidth="1"/>
    <col min="12549" max="12551" width="15.33203125" style="57" customWidth="1"/>
    <col min="12552" max="12552" width="14" style="57" customWidth="1"/>
    <col min="12553" max="12553" width="14.33203125" style="57" customWidth="1"/>
    <col min="12554" max="12554" width="11.88671875" style="57" customWidth="1"/>
    <col min="12555" max="12555" width="14.44140625" style="57" customWidth="1"/>
    <col min="12556" max="12556" width="12.5546875" style="57" customWidth="1"/>
    <col min="12557" max="12559" width="15.33203125" style="57" customWidth="1"/>
    <col min="12560" max="12560" width="12.44140625" style="57" customWidth="1"/>
    <col min="12561" max="12561" width="15.33203125" style="57" customWidth="1"/>
    <col min="12562" max="12800" width="9.109375" style="57"/>
    <col min="12801" max="12801" width="5.33203125" style="57" customWidth="1"/>
    <col min="12802" max="12802" width="37.33203125" style="57" bestFit="1" customWidth="1"/>
    <col min="12803" max="12803" width="15.33203125" style="57" customWidth="1"/>
    <col min="12804" max="12804" width="3.33203125" style="57" customWidth="1"/>
    <col min="12805" max="12807" width="15.33203125" style="57" customWidth="1"/>
    <col min="12808" max="12808" width="14" style="57" customWidth="1"/>
    <col min="12809" max="12809" width="14.33203125" style="57" customWidth="1"/>
    <col min="12810" max="12810" width="11.88671875" style="57" customWidth="1"/>
    <col min="12811" max="12811" width="14.44140625" style="57" customWidth="1"/>
    <col min="12812" max="12812" width="12.5546875" style="57" customWidth="1"/>
    <col min="12813" max="12815" width="15.33203125" style="57" customWidth="1"/>
    <col min="12816" max="12816" width="12.44140625" style="57" customWidth="1"/>
    <col min="12817" max="12817" width="15.33203125" style="57" customWidth="1"/>
    <col min="12818" max="13056" width="9.109375" style="57"/>
    <col min="13057" max="13057" width="5.33203125" style="57" customWidth="1"/>
    <col min="13058" max="13058" width="37.33203125" style="57" bestFit="1" customWidth="1"/>
    <col min="13059" max="13059" width="15.33203125" style="57" customWidth="1"/>
    <col min="13060" max="13060" width="3.33203125" style="57" customWidth="1"/>
    <col min="13061" max="13063" width="15.33203125" style="57" customWidth="1"/>
    <col min="13064" max="13064" width="14" style="57" customWidth="1"/>
    <col min="13065" max="13065" width="14.33203125" style="57" customWidth="1"/>
    <col min="13066" max="13066" width="11.88671875" style="57" customWidth="1"/>
    <col min="13067" max="13067" width="14.44140625" style="57" customWidth="1"/>
    <col min="13068" max="13068" width="12.5546875" style="57" customWidth="1"/>
    <col min="13069" max="13071" width="15.33203125" style="57" customWidth="1"/>
    <col min="13072" max="13072" width="12.44140625" style="57" customWidth="1"/>
    <col min="13073" max="13073" width="15.33203125" style="57" customWidth="1"/>
    <col min="13074" max="13312" width="9.109375" style="57"/>
    <col min="13313" max="13313" width="5.33203125" style="57" customWidth="1"/>
    <col min="13314" max="13314" width="37.33203125" style="57" bestFit="1" customWidth="1"/>
    <col min="13315" max="13315" width="15.33203125" style="57" customWidth="1"/>
    <col min="13316" max="13316" width="3.33203125" style="57" customWidth="1"/>
    <col min="13317" max="13319" width="15.33203125" style="57" customWidth="1"/>
    <col min="13320" max="13320" width="14" style="57" customWidth="1"/>
    <col min="13321" max="13321" width="14.33203125" style="57" customWidth="1"/>
    <col min="13322" max="13322" width="11.88671875" style="57" customWidth="1"/>
    <col min="13323" max="13323" width="14.44140625" style="57" customWidth="1"/>
    <col min="13324" max="13324" width="12.5546875" style="57" customWidth="1"/>
    <col min="13325" max="13327" width="15.33203125" style="57" customWidth="1"/>
    <col min="13328" max="13328" width="12.44140625" style="57" customWidth="1"/>
    <col min="13329" max="13329" width="15.33203125" style="57" customWidth="1"/>
    <col min="13330" max="13568" width="9.109375" style="57"/>
    <col min="13569" max="13569" width="5.33203125" style="57" customWidth="1"/>
    <col min="13570" max="13570" width="37.33203125" style="57" bestFit="1" customWidth="1"/>
    <col min="13571" max="13571" width="15.33203125" style="57" customWidth="1"/>
    <col min="13572" max="13572" width="3.33203125" style="57" customWidth="1"/>
    <col min="13573" max="13575" width="15.33203125" style="57" customWidth="1"/>
    <col min="13576" max="13576" width="14" style="57" customWidth="1"/>
    <col min="13577" max="13577" width="14.33203125" style="57" customWidth="1"/>
    <col min="13578" max="13578" width="11.88671875" style="57" customWidth="1"/>
    <col min="13579" max="13579" width="14.44140625" style="57" customWidth="1"/>
    <col min="13580" max="13580" width="12.5546875" style="57" customWidth="1"/>
    <col min="13581" max="13583" width="15.33203125" style="57" customWidth="1"/>
    <col min="13584" max="13584" width="12.44140625" style="57" customWidth="1"/>
    <col min="13585" max="13585" width="15.33203125" style="57" customWidth="1"/>
    <col min="13586" max="13824" width="9.109375" style="57"/>
    <col min="13825" max="13825" width="5.33203125" style="57" customWidth="1"/>
    <col min="13826" max="13826" width="37.33203125" style="57" bestFit="1" customWidth="1"/>
    <col min="13827" max="13827" width="15.33203125" style="57" customWidth="1"/>
    <col min="13828" max="13828" width="3.33203125" style="57" customWidth="1"/>
    <col min="13829" max="13831" width="15.33203125" style="57" customWidth="1"/>
    <col min="13832" max="13832" width="14" style="57" customWidth="1"/>
    <col min="13833" max="13833" width="14.33203125" style="57" customWidth="1"/>
    <col min="13834" max="13834" width="11.88671875" style="57" customWidth="1"/>
    <col min="13835" max="13835" width="14.44140625" style="57" customWidth="1"/>
    <col min="13836" max="13836" width="12.5546875" style="57" customWidth="1"/>
    <col min="13837" max="13839" width="15.33203125" style="57" customWidth="1"/>
    <col min="13840" max="13840" width="12.44140625" style="57" customWidth="1"/>
    <col min="13841" max="13841" width="15.33203125" style="57" customWidth="1"/>
    <col min="13842" max="14080" width="9.109375" style="57"/>
    <col min="14081" max="14081" width="5.33203125" style="57" customWidth="1"/>
    <col min="14082" max="14082" width="37.33203125" style="57" bestFit="1" customWidth="1"/>
    <col min="14083" max="14083" width="15.33203125" style="57" customWidth="1"/>
    <col min="14084" max="14084" width="3.33203125" style="57" customWidth="1"/>
    <col min="14085" max="14087" width="15.33203125" style="57" customWidth="1"/>
    <col min="14088" max="14088" width="14" style="57" customWidth="1"/>
    <col min="14089" max="14089" width="14.33203125" style="57" customWidth="1"/>
    <col min="14090" max="14090" width="11.88671875" style="57" customWidth="1"/>
    <col min="14091" max="14091" width="14.44140625" style="57" customWidth="1"/>
    <col min="14092" max="14092" width="12.5546875" style="57" customWidth="1"/>
    <col min="14093" max="14095" width="15.33203125" style="57" customWidth="1"/>
    <col min="14096" max="14096" width="12.44140625" style="57" customWidth="1"/>
    <col min="14097" max="14097" width="15.33203125" style="57" customWidth="1"/>
    <col min="14098" max="14336" width="9.109375" style="57"/>
    <col min="14337" max="14337" width="5.33203125" style="57" customWidth="1"/>
    <col min="14338" max="14338" width="37.33203125" style="57" bestFit="1" customWidth="1"/>
    <col min="14339" max="14339" width="15.33203125" style="57" customWidth="1"/>
    <col min="14340" max="14340" width="3.33203125" style="57" customWidth="1"/>
    <col min="14341" max="14343" width="15.33203125" style="57" customWidth="1"/>
    <col min="14344" max="14344" width="14" style="57" customWidth="1"/>
    <col min="14345" max="14345" width="14.33203125" style="57" customWidth="1"/>
    <col min="14346" max="14346" width="11.88671875" style="57" customWidth="1"/>
    <col min="14347" max="14347" width="14.44140625" style="57" customWidth="1"/>
    <col min="14348" max="14348" width="12.5546875" style="57" customWidth="1"/>
    <col min="14349" max="14351" width="15.33203125" style="57" customWidth="1"/>
    <col min="14352" max="14352" width="12.44140625" style="57" customWidth="1"/>
    <col min="14353" max="14353" width="15.33203125" style="57" customWidth="1"/>
    <col min="14354" max="14592" width="9.109375" style="57"/>
    <col min="14593" max="14593" width="5.33203125" style="57" customWidth="1"/>
    <col min="14594" max="14594" width="37.33203125" style="57" bestFit="1" customWidth="1"/>
    <col min="14595" max="14595" width="15.33203125" style="57" customWidth="1"/>
    <col min="14596" max="14596" width="3.33203125" style="57" customWidth="1"/>
    <col min="14597" max="14599" width="15.33203125" style="57" customWidth="1"/>
    <col min="14600" max="14600" width="14" style="57" customWidth="1"/>
    <col min="14601" max="14601" width="14.33203125" style="57" customWidth="1"/>
    <col min="14602" max="14602" width="11.88671875" style="57" customWidth="1"/>
    <col min="14603" max="14603" width="14.44140625" style="57" customWidth="1"/>
    <col min="14604" max="14604" width="12.5546875" style="57" customWidth="1"/>
    <col min="14605" max="14607" width="15.33203125" style="57" customWidth="1"/>
    <col min="14608" max="14608" width="12.44140625" style="57" customWidth="1"/>
    <col min="14609" max="14609" width="15.33203125" style="57" customWidth="1"/>
    <col min="14610" max="14848" width="9.109375" style="57"/>
    <col min="14849" max="14849" width="5.33203125" style="57" customWidth="1"/>
    <col min="14850" max="14850" width="37.33203125" style="57" bestFit="1" customWidth="1"/>
    <col min="14851" max="14851" width="15.33203125" style="57" customWidth="1"/>
    <col min="14852" max="14852" width="3.33203125" style="57" customWidth="1"/>
    <col min="14853" max="14855" width="15.33203125" style="57" customWidth="1"/>
    <col min="14856" max="14856" width="14" style="57" customWidth="1"/>
    <col min="14857" max="14857" width="14.33203125" style="57" customWidth="1"/>
    <col min="14858" max="14858" width="11.88671875" style="57" customWidth="1"/>
    <col min="14859" max="14859" width="14.44140625" style="57" customWidth="1"/>
    <col min="14860" max="14860" width="12.5546875" style="57" customWidth="1"/>
    <col min="14861" max="14863" width="15.33203125" style="57" customWidth="1"/>
    <col min="14864" max="14864" width="12.44140625" style="57" customWidth="1"/>
    <col min="14865" max="14865" width="15.33203125" style="57" customWidth="1"/>
    <col min="14866" max="15104" width="9.109375" style="57"/>
    <col min="15105" max="15105" width="5.33203125" style="57" customWidth="1"/>
    <col min="15106" max="15106" width="37.33203125" style="57" bestFit="1" customWidth="1"/>
    <col min="15107" max="15107" width="15.33203125" style="57" customWidth="1"/>
    <col min="15108" max="15108" width="3.33203125" style="57" customWidth="1"/>
    <col min="15109" max="15111" width="15.33203125" style="57" customWidth="1"/>
    <col min="15112" max="15112" width="14" style="57" customWidth="1"/>
    <col min="15113" max="15113" width="14.33203125" style="57" customWidth="1"/>
    <col min="15114" max="15114" width="11.88671875" style="57" customWidth="1"/>
    <col min="15115" max="15115" width="14.44140625" style="57" customWidth="1"/>
    <col min="15116" max="15116" width="12.5546875" style="57" customWidth="1"/>
    <col min="15117" max="15119" width="15.33203125" style="57" customWidth="1"/>
    <col min="15120" max="15120" width="12.44140625" style="57" customWidth="1"/>
    <col min="15121" max="15121" width="15.33203125" style="57" customWidth="1"/>
    <col min="15122" max="15360" width="9.109375" style="57"/>
    <col min="15361" max="15361" width="5.33203125" style="57" customWidth="1"/>
    <col min="15362" max="15362" width="37.33203125" style="57" bestFit="1" customWidth="1"/>
    <col min="15363" max="15363" width="15.33203125" style="57" customWidth="1"/>
    <col min="15364" max="15364" width="3.33203125" style="57" customWidth="1"/>
    <col min="15365" max="15367" width="15.33203125" style="57" customWidth="1"/>
    <col min="15368" max="15368" width="14" style="57" customWidth="1"/>
    <col min="15369" max="15369" width="14.33203125" style="57" customWidth="1"/>
    <col min="15370" max="15370" width="11.88671875" style="57" customWidth="1"/>
    <col min="15371" max="15371" width="14.44140625" style="57" customWidth="1"/>
    <col min="15372" max="15372" width="12.5546875" style="57" customWidth="1"/>
    <col min="15373" max="15375" width="15.33203125" style="57" customWidth="1"/>
    <col min="15376" max="15376" width="12.44140625" style="57" customWidth="1"/>
    <col min="15377" max="15377" width="15.33203125" style="57" customWidth="1"/>
    <col min="15378" max="15616" width="9.109375" style="57"/>
    <col min="15617" max="15617" width="5.33203125" style="57" customWidth="1"/>
    <col min="15618" max="15618" width="37.33203125" style="57" bestFit="1" customWidth="1"/>
    <col min="15619" max="15619" width="15.33203125" style="57" customWidth="1"/>
    <col min="15620" max="15620" width="3.33203125" style="57" customWidth="1"/>
    <col min="15621" max="15623" width="15.33203125" style="57" customWidth="1"/>
    <col min="15624" max="15624" width="14" style="57" customWidth="1"/>
    <col min="15625" max="15625" width="14.33203125" style="57" customWidth="1"/>
    <col min="15626" max="15626" width="11.88671875" style="57" customWidth="1"/>
    <col min="15627" max="15627" width="14.44140625" style="57" customWidth="1"/>
    <col min="15628" max="15628" width="12.5546875" style="57" customWidth="1"/>
    <col min="15629" max="15631" width="15.33203125" style="57" customWidth="1"/>
    <col min="15632" max="15632" width="12.44140625" style="57" customWidth="1"/>
    <col min="15633" max="15633" width="15.33203125" style="57" customWidth="1"/>
    <col min="15634" max="15872" width="9.109375" style="57"/>
    <col min="15873" max="15873" width="5.33203125" style="57" customWidth="1"/>
    <col min="15874" max="15874" width="37.33203125" style="57" bestFit="1" customWidth="1"/>
    <col min="15875" max="15875" width="15.33203125" style="57" customWidth="1"/>
    <col min="15876" max="15876" width="3.33203125" style="57" customWidth="1"/>
    <col min="15877" max="15879" width="15.33203125" style="57" customWidth="1"/>
    <col min="15880" max="15880" width="14" style="57" customWidth="1"/>
    <col min="15881" max="15881" width="14.33203125" style="57" customWidth="1"/>
    <col min="15882" max="15882" width="11.88671875" style="57" customWidth="1"/>
    <col min="15883" max="15883" width="14.44140625" style="57" customWidth="1"/>
    <col min="15884" max="15884" width="12.5546875" style="57" customWidth="1"/>
    <col min="15885" max="15887" width="15.33203125" style="57" customWidth="1"/>
    <col min="15888" max="15888" width="12.44140625" style="57" customWidth="1"/>
    <col min="15889" max="15889" width="15.33203125" style="57" customWidth="1"/>
    <col min="15890" max="16128" width="9.109375" style="57"/>
    <col min="16129" max="16129" width="5.33203125" style="57" customWidth="1"/>
    <col min="16130" max="16130" width="37.33203125" style="57" bestFit="1" customWidth="1"/>
    <col min="16131" max="16131" width="15.33203125" style="57" customWidth="1"/>
    <col min="16132" max="16132" width="3.33203125" style="57" customWidth="1"/>
    <col min="16133" max="16135" width="15.33203125" style="57" customWidth="1"/>
    <col min="16136" max="16136" width="14" style="57" customWidth="1"/>
    <col min="16137" max="16137" width="14.33203125" style="57" customWidth="1"/>
    <col min="16138" max="16138" width="11.88671875" style="57" customWidth="1"/>
    <col min="16139" max="16139" width="14.44140625" style="57" customWidth="1"/>
    <col min="16140" max="16140" width="12.5546875" style="57" customWidth="1"/>
    <col min="16141" max="16143" width="15.33203125" style="57" customWidth="1"/>
    <col min="16144" max="16144" width="12.44140625" style="57" customWidth="1"/>
    <col min="16145" max="16145" width="15.33203125" style="57" customWidth="1"/>
    <col min="16146" max="16384" width="9.109375" style="57"/>
  </cols>
  <sheetData>
    <row r="1" spans="1:21" ht="12.75" x14ac:dyDescent="0.2">
      <c r="A1" s="433" t="s">
        <v>17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</row>
    <row r="2" spans="1:21" ht="12.75" x14ac:dyDescent="0.2">
      <c r="A2" s="433" t="s">
        <v>87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</row>
    <row r="3" spans="1:21" ht="12.75" x14ac:dyDescent="0.2">
      <c r="A3" s="433" t="s">
        <v>125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</row>
    <row r="4" spans="1:21" ht="12.75" x14ac:dyDescent="0.2">
      <c r="A4" s="433" t="s">
        <v>88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</row>
    <row r="6" spans="1:21" ht="38.25" x14ac:dyDescent="0.2">
      <c r="A6" s="58" t="s">
        <v>16</v>
      </c>
      <c r="B6" s="58" t="s">
        <v>19</v>
      </c>
      <c r="C6" s="58" t="s">
        <v>89</v>
      </c>
      <c r="D6" s="58"/>
      <c r="E6" s="58" t="s">
        <v>90</v>
      </c>
      <c r="F6" s="58" t="s">
        <v>91</v>
      </c>
      <c r="G6" s="58" t="s">
        <v>92</v>
      </c>
      <c r="H6" s="58" t="s">
        <v>93</v>
      </c>
      <c r="I6" s="58" t="s">
        <v>94</v>
      </c>
      <c r="J6" s="58" t="s">
        <v>95</v>
      </c>
      <c r="K6" s="58" t="s">
        <v>96</v>
      </c>
      <c r="L6" s="58" t="s">
        <v>97</v>
      </c>
      <c r="M6" s="58" t="s">
        <v>98</v>
      </c>
      <c r="N6" s="58" t="s">
        <v>99</v>
      </c>
      <c r="O6" s="58" t="s">
        <v>100</v>
      </c>
      <c r="P6" s="58" t="s">
        <v>101</v>
      </c>
      <c r="Q6" s="58" t="s">
        <v>102</v>
      </c>
    </row>
    <row r="7" spans="1:21" ht="12.75" x14ac:dyDescent="0.2">
      <c r="A7" s="59"/>
      <c r="B7" s="60" t="s">
        <v>14</v>
      </c>
      <c r="C7" s="60" t="s">
        <v>13</v>
      </c>
      <c r="D7" s="60"/>
      <c r="E7" s="60" t="s">
        <v>12</v>
      </c>
      <c r="F7" s="60" t="s">
        <v>11</v>
      </c>
      <c r="G7" s="60" t="s">
        <v>10</v>
      </c>
      <c r="H7" s="60" t="s">
        <v>8</v>
      </c>
      <c r="I7" s="60" t="s">
        <v>7</v>
      </c>
      <c r="J7" s="60" t="s">
        <v>6</v>
      </c>
      <c r="K7" s="60" t="s">
        <v>5</v>
      </c>
      <c r="L7" s="60" t="s">
        <v>4</v>
      </c>
      <c r="M7" s="60" t="s">
        <v>3</v>
      </c>
      <c r="N7" s="60" t="s">
        <v>2</v>
      </c>
      <c r="O7" s="60" t="s">
        <v>1</v>
      </c>
      <c r="P7" s="60" t="s">
        <v>22</v>
      </c>
      <c r="Q7" s="60" t="s">
        <v>103</v>
      </c>
    </row>
    <row r="8" spans="1:21" ht="12.75" x14ac:dyDescent="0.2">
      <c r="C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</row>
    <row r="9" spans="1:21" ht="12.75" x14ac:dyDescent="0.2">
      <c r="A9" s="62">
        <v>1</v>
      </c>
      <c r="B9" s="63" t="s">
        <v>58</v>
      </c>
      <c r="C9" s="64">
        <f ca="1">'[59]PCA Costs'!C9</f>
        <v>22311829039.999996</v>
      </c>
      <c r="D9" s="64"/>
      <c r="E9" s="64">
        <f ca="1">'[59]PCA Costs'!E9</f>
        <v>11362694034.5944</v>
      </c>
      <c r="F9" s="64">
        <f ca="1">'[59]PCA Costs'!F9</f>
        <v>2983833723.3713889</v>
      </c>
      <c r="G9" s="64">
        <f ca="1">'[59]PCA Costs'!G9</f>
        <v>3080584885.4856691</v>
      </c>
      <c r="H9" s="64">
        <f ca="1">'[59]PCA Costs'!H9</f>
        <v>2051022389.543107</v>
      </c>
      <c r="I9" s="64">
        <f ca="1">'[59]PCA Costs'!I9</f>
        <v>1342870567.1184549</v>
      </c>
      <c r="J9" s="64">
        <f ca="1">'[59]PCA Costs'!J9</f>
        <v>4594563.3633324662</v>
      </c>
      <c r="K9" s="64">
        <f ca="1">'[59]PCA Costs'!K9</f>
        <v>124979540.86316925</v>
      </c>
      <c r="L9" s="64">
        <f ca="1">'[59]PCA Costs'!L9</f>
        <v>639599439.09802258</v>
      </c>
      <c r="M9" s="64">
        <f ca="1">'[59]PCA Costs'!M9</f>
        <v>632887813.72208166</v>
      </c>
      <c r="N9" s="64">
        <f ca="1">'[59]PCA Costs'!N9</f>
        <v>0</v>
      </c>
      <c r="O9" s="64">
        <f ca="1">'[59]PCA Costs'!O9</f>
        <v>0</v>
      </c>
      <c r="P9" s="64">
        <f ca="1">'[59]PCA Costs'!P9</f>
        <v>81534389.017231286</v>
      </c>
      <c r="Q9" s="64">
        <f ca="1">'[59]PCA Costs'!Q9</f>
        <v>7227693.8231415441</v>
      </c>
      <c r="R9" s="65"/>
      <c r="S9" s="66"/>
      <c r="T9" s="66"/>
      <c r="U9" s="66"/>
    </row>
    <row r="10" spans="1:21" ht="12.75" x14ac:dyDescent="0.2">
      <c r="A10" s="62">
        <f>+A9+1</f>
        <v>2</v>
      </c>
      <c r="B10" s="63" t="s">
        <v>104</v>
      </c>
      <c r="C10" s="64">
        <f ca="1">'[59]PCA Costs'!C10</f>
        <v>3941657.8585261339</v>
      </c>
      <c r="D10" s="64"/>
      <c r="E10" s="64">
        <f ca="1">'[59]PCA Costs'!E10</f>
        <v>2401760.8159533199</v>
      </c>
      <c r="F10" s="64">
        <f ca="1">'[59]PCA Costs'!F10</f>
        <v>483797.35950569448</v>
      </c>
      <c r="G10" s="64">
        <f ca="1">'[59]PCA Costs'!G10</f>
        <v>452472.55815379717</v>
      </c>
      <c r="H10" s="64">
        <f ca="1">'[59]PCA Costs'!H10</f>
        <v>261562.891393383</v>
      </c>
      <c r="I10" s="64">
        <f ca="1">'[59]PCA Costs'!I10</f>
        <v>179157.07260351363</v>
      </c>
      <c r="J10" s="64">
        <f ca="1">'[59]PCA Costs'!J10</f>
        <v>4.0419526549894496</v>
      </c>
      <c r="K10" s="64">
        <f ca="1">'[59]PCA Costs'!K10</f>
        <v>0</v>
      </c>
      <c r="L10" s="64">
        <f ca="1">'[59]PCA Costs'!L10</f>
        <v>80420.565981487191</v>
      </c>
      <c r="M10" s="64">
        <f ca="1">'[59]PCA Costs'!M10</f>
        <v>67179.705291231017</v>
      </c>
      <c r="N10" s="64">
        <f ca="1">'[59]PCA Costs'!N10</f>
        <v>0</v>
      </c>
      <c r="O10" s="64">
        <f ca="1">'[59]PCA Costs'!O10</f>
        <v>0</v>
      </c>
      <c r="P10" s="64">
        <f ca="1">'[59]PCA Costs'!P10</f>
        <v>13772.381425311305</v>
      </c>
      <c r="Q10" s="64">
        <f ca="1">'[59]PCA Costs'!Q10</f>
        <v>1530.4662657410647</v>
      </c>
      <c r="R10" s="66"/>
      <c r="S10" s="66"/>
      <c r="T10" s="66"/>
      <c r="U10" s="66"/>
    </row>
    <row r="11" spans="1:21" ht="12.75" x14ac:dyDescent="0.2">
      <c r="A11" s="62">
        <f t="shared" ref="A11:A30" si="0">+A10+1</f>
        <v>3</v>
      </c>
      <c r="B11" s="67" t="s">
        <v>105</v>
      </c>
      <c r="C11" s="68">
        <f ca="1">SUM(E11:Q11)</f>
        <v>1.0000000000000002</v>
      </c>
      <c r="D11" s="69"/>
      <c r="E11" s="68">
        <f t="shared" ref="E11:Q11" ca="1" si="1">(E9/$C$9*$C$12+E10/$C$10*$C$13)</f>
        <v>0.53428267414961672</v>
      </c>
      <c r="F11" s="68">
        <f t="shared" ca="1" si="1"/>
        <v>0.13098483852655646</v>
      </c>
      <c r="G11" s="68">
        <f t="shared" ca="1" si="1"/>
        <v>0.13225029791791532</v>
      </c>
      <c r="H11" s="68">
        <f t="shared" ca="1" si="1"/>
        <v>8.5533651911442882E-2</v>
      </c>
      <c r="I11" s="68">
        <f t="shared" ca="1" si="1"/>
        <v>5.6502917113085652E-2</v>
      </c>
      <c r="J11" s="68">
        <f t="shared" ca="1" si="1"/>
        <v>1.5470011013980859E-4</v>
      </c>
      <c r="K11" s="68">
        <f t="shared" ca="1" si="1"/>
        <v>4.2011193022020825E-3</v>
      </c>
      <c r="L11" s="68">
        <f t="shared" ca="1" si="1"/>
        <v>2.6600468875824963E-2</v>
      </c>
      <c r="M11" s="68">
        <f t="shared" ca="1" si="1"/>
        <v>2.5535058472508355E-2</v>
      </c>
      <c r="N11" s="68">
        <f t="shared" ca="1" si="1"/>
        <v>0</v>
      </c>
      <c r="O11" s="68">
        <f t="shared" ca="1" si="1"/>
        <v>0</v>
      </c>
      <c r="P11" s="68">
        <f t="shared" ca="1" si="1"/>
        <v>3.614248664337222E-3</v>
      </c>
      <c r="Q11" s="68">
        <f t="shared" ca="1" si="1"/>
        <v>3.4002495637072092E-4</v>
      </c>
      <c r="R11" s="66"/>
      <c r="S11" s="66"/>
      <c r="T11" s="66"/>
      <c r="U11" s="66"/>
    </row>
    <row r="12" spans="1:21" ht="12.75" x14ac:dyDescent="0.2">
      <c r="A12" s="62">
        <f t="shared" si="0"/>
        <v>4</v>
      </c>
      <c r="B12" s="70" t="s">
        <v>106</v>
      </c>
      <c r="C12" s="71">
        <v>0.75</v>
      </c>
      <c r="D12" s="66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66"/>
      <c r="S12" s="66"/>
      <c r="T12" s="66"/>
      <c r="U12" s="66"/>
    </row>
    <row r="13" spans="1:21" ht="12.75" x14ac:dyDescent="0.2">
      <c r="A13" s="62">
        <f t="shared" si="0"/>
        <v>5</v>
      </c>
      <c r="B13" s="70" t="s">
        <v>107</v>
      </c>
      <c r="C13" s="71">
        <v>0.25</v>
      </c>
      <c r="D13" s="66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66"/>
      <c r="S13" s="66"/>
      <c r="T13" s="66"/>
      <c r="U13" s="66"/>
    </row>
    <row r="14" spans="1:21" ht="12.75" x14ac:dyDescent="0.2">
      <c r="A14" s="62">
        <f t="shared" si="0"/>
        <v>6</v>
      </c>
      <c r="C14" s="72"/>
      <c r="D14" s="66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66"/>
      <c r="S14" s="66"/>
      <c r="T14" s="66"/>
      <c r="U14" s="66"/>
    </row>
    <row r="15" spans="1:21" ht="12.75" x14ac:dyDescent="0.2">
      <c r="A15" s="62">
        <f t="shared" si="0"/>
        <v>7</v>
      </c>
      <c r="B15" s="67" t="s">
        <v>108</v>
      </c>
      <c r="C15" s="72">
        <f ca="1">SUM(E15:Q15)</f>
        <v>2108200587.7086906</v>
      </c>
      <c r="D15" s="66"/>
      <c r="E15" s="72">
        <f ca="1">'[59]PCA Costs'!E15</f>
        <v>1199530845.961303</v>
      </c>
      <c r="F15" s="72">
        <f ca="1">'[59]PCA Costs'!F15</f>
        <v>267214405.57393074</v>
      </c>
      <c r="G15" s="72">
        <f ca="1">'[59]PCA Costs'!G15</f>
        <v>251912322.65464625</v>
      </c>
      <c r="H15" s="72">
        <f ca="1">'[59]PCA Costs'!H15</f>
        <v>153008096.02665669</v>
      </c>
      <c r="I15" s="72">
        <f ca="1">'[59]PCA Costs'!I15</f>
        <v>104103146.19852759</v>
      </c>
      <c r="J15" s="72">
        <f ca="1">'[59]PCA Costs'!J15</f>
        <v>429180.35752772924</v>
      </c>
      <c r="K15" s="72">
        <f ca="1">'[59]PCA Costs'!K15</f>
        <v>10935459.949142268</v>
      </c>
      <c r="L15" s="72">
        <f ca="1">'[59]PCA Costs'!L15</f>
        <v>46953616.608873129</v>
      </c>
      <c r="M15" s="72">
        <f ca="1">'[59]PCA Costs'!M15</f>
        <v>42557366.967938654</v>
      </c>
      <c r="N15" s="72">
        <f ca="1">'[59]PCA Costs'!N15</f>
        <v>1121279.5765295029</v>
      </c>
      <c r="O15" s="72">
        <f ca="1">'[59]PCA Costs'!O15</f>
        <v>11216018.725058943</v>
      </c>
      <c r="P15" s="72">
        <f ca="1">'[59]PCA Costs'!P15</f>
        <v>18495472.952828079</v>
      </c>
      <c r="Q15" s="72">
        <f ca="1">'[59]PCA Costs'!Q15</f>
        <v>723376.15572802676</v>
      </c>
      <c r="R15" s="66"/>
      <c r="S15" s="66"/>
      <c r="T15" s="66"/>
      <c r="U15" s="66"/>
    </row>
    <row r="16" spans="1:21" ht="10.199999999999999" customHeight="1" x14ac:dyDescent="0.2">
      <c r="A16" s="62">
        <f t="shared" si="0"/>
        <v>8</v>
      </c>
      <c r="B16" s="63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</row>
    <row r="17" spans="1:21" ht="10.95" customHeight="1" x14ac:dyDescent="0.2">
      <c r="A17" s="62">
        <f t="shared" si="0"/>
        <v>9</v>
      </c>
      <c r="B17" s="63" t="s">
        <v>109</v>
      </c>
      <c r="C17" s="72">
        <f ca="1">SUM(E17:Q17)</f>
        <v>111225825.98513673</v>
      </c>
      <c r="D17" s="66"/>
      <c r="E17" s="72">
        <f ca="1">'[59]PCA Costs'!E17</f>
        <v>60792526.492355719</v>
      </c>
      <c r="F17" s="72">
        <f ca="1">'[59]PCA Costs'!F17</f>
        <v>16929189.203066148</v>
      </c>
      <c r="G17" s="72">
        <f ca="1">'[59]PCA Costs'!G17</f>
        <v>11900165.035182636</v>
      </c>
      <c r="H17" s="72">
        <f ca="1">'[59]PCA Costs'!H17</f>
        <v>7202400.4051362295</v>
      </c>
      <c r="I17" s="72">
        <f ca="1">'[59]PCA Costs'!I17</f>
        <v>5549720.1749180267</v>
      </c>
      <c r="J17" s="72">
        <f ca="1">'[59]PCA Costs'!J17</f>
        <v>22319.875382678936</v>
      </c>
      <c r="K17" s="72">
        <f ca="1">'[59]PCA Costs'!K17</f>
        <v>479441.21714901226</v>
      </c>
      <c r="L17" s="72">
        <f ca="1">'[59]PCA Costs'!L17</f>
        <v>2170923.4248753381</v>
      </c>
      <c r="M17" s="72">
        <f ca="1">'[59]PCA Costs'!M17</f>
        <v>4835975.8716102857</v>
      </c>
      <c r="N17" s="72">
        <f ca="1">'[59]PCA Costs'!N17</f>
        <v>2850.6248341625537</v>
      </c>
      <c r="O17" s="72">
        <f ca="1">'[59]PCA Costs'!O17</f>
        <v>875638.69411477575</v>
      </c>
      <c r="P17" s="72">
        <f ca="1">'[59]PCA Costs'!P17</f>
        <v>425733.74896333064</v>
      </c>
      <c r="Q17" s="72">
        <f ca="1">'[59]PCA Costs'!Q17</f>
        <v>38941.217548381959</v>
      </c>
      <c r="R17" s="66"/>
      <c r="S17" s="66"/>
      <c r="T17" s="66"/>
      <c r="U17" s="66"/>
    </row>
    <row r="18" spans="1:21" ht="12.75" x14ac:dyDescent="0.2">
      <c r="A18" s="62">
        <f t="shared" si="0"/>
        <v>10</v>
      </c>
      <c r="C18" s="72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</row>
    <row r="19" spans="1:21" ht="12.75" x14ac:dyDescent="0.2">
      <c r="A19" s="62">
        <f t="shared" si="0"/>
        <v>11</v>
      </c>
      <c r="B19" s="63" t="s">
        <v>288</v>
      </c>
      <c r="C19" s="86">
        <f ca="1">'Exhibit A-1'!F38</f>
        <v>556740939.36561978</v>
      </c>
      <c r="D19" s="66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66"/>
      <c r="S19" s="66"/>
      <c r="T19" s="66"/>
      <c r="U19" s="66"/>
    </row>
    <row r="20" spans="1:21" ht="12.75" x14ac:dyDescent="0.2">
      <c r="A20" s="79">
        <f t="shared" si="0"/>
        <v>12</v>
      </c>
      <c r="B20" s="63"/>
      <c r="C20" s="72"/>
      <c r="D20" s="66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66"/>
      <c r="S20" s="66"/>
      <c r="T20" s="66"/>
      <c r="U20" s="66"/>
    </row>
    <row r="21" spans="1:21" ht="12.75" x14ac:dyDescent="0.2">
      <c r="A21" s="79">
        <f t="shared" si="0"/>
        <v>13</v>
      </c>
      <c r="B21" s="63" t="s">
        <v>130</v>
      </c>
      <c r="C21" s="86">
        <f ca="1">'Exhibit A-1'!G38</f>
        <v>715775660.02487493</v>
      </c>
      <c r="D21" s="66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66"/>
      <c r="S21" s="66"/>
      <c r="T21" s="66"/>
      <c r="U21" s="66"/>
    </row>
    <row r="22" spans="1:21" ht="12.75" x14ac:dyDescent="0.2">
      <c r="A22" s="79">
        <f t="shared" si="0"/>
        <v>14</v>
      </c>
      <c r="B22" s="63"/>
      <c r="C22" s="72"/>
      <c r="D22" s="66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66"/>
      <c r="S22" s="66"/>
      <c r="T22" s="66"/>
      <c r="U22" s="66"/>
    </row>
    <row r="23" spans="1:21" ht="12.75" x14ac:dyDescent="0.2">
      <c r="A23" s="79">
        <f t="shared" si="0"/>
        <v>15</v>
      </c>
      <c r="B23" s="67" t="s">
        <v>131</v>
      </c>
      <c r="C23" s="72">
        <f ca="1">SUM(E23:Q23)</f>
        <v>556740939.3656199</v>
      </c>
      <c r="D23" s="66"/>
      <c r="E23" s="72">
        <f ca="1">+$C$19*E$11</f>
        <v>297457037.89283293</v>
      </c>
      <c r="F23" s="72">
        <f t="shared" ref="F23:Q23" ca="1" si="2">+$C$19*F$11</f>
        <v>72924622.04392907</v>
      </c>
      <c r="G23" s="72">
        <f t="shared" ca="1" si="2"/>
        <v>73629155.094203249</v>
      </c>
      <c r="H23" s="72">
        <f t="shared" ca="1" si="2"/>
        <v>47620085.712548651</v>
      </c>
      <c r="I23" s="72">
        <f t="shared" ca="1" si="2"/>
        <v>31457487.150437061</v>
      </c>
      <c r="J23" s="72">
        <f t="shared" ca="1" si="2"/>
        <v>86127.884639201875</v>
      </c>
      <c r="K23" s="72">
        <f t="shared" ca="1" si="2"/>
        <v>2338935.1066950243</v>
      </c>
      <c r="L23" s="72">
        <f t="shared" ca="1" si="2"/>
        <v>14809570.029492723</v>
      </c>
      <c r="M23" s="72">
        <f t="shared" ca="1" si="2"/>
        <v>14216412.44074033</v>
      </c>
      <c r="N23" s="72">
        <f ca="1">+$C$19*N$11</f>
        <v>0</v>
      </c>
      <c r="O23" s="72">
        <f t="shared" ca="1" si="2"/>
        <v>0</v>
      </c>
      <c r="P23" s="72">
        <f t="shared" ca="1" si="2"/>
        <v>2012200.1964840416</v>
      </c>
      <c r="Q23" s="72">
        <f t="shared" ca="1" si="2"/>
        <v>189305.81361758904</v>
      </c>
      <c r="R23" s="66"/>
      <c r="S23" s="66"/>
      <c r="T23" s="66"/>
      <c r="U23" s="66"/>
    </row>
    <row r="24" spans="1:21" ht="12.75" x14ac:dyDescent="0.2">
      <c r="A24" s="79">
        <f t="shared" si="0"/>
        <v>16</v>
      </c>
      <c r="B24" s="67" t="s">
        <v>132</v>
      </c>
      <c r="C24" s="72">
        <f ca="1">SUM(E24:Q24)</f>
        <v>715775660.02487504</v>
      </c>
      <c r="D24" s="66"/>
      <c r="E24" s="72">
        <f t="shared" ref="E24:Q24" ca="1" si="3">+$C$21*E$11</f>
        <v>382426533.7292971</v>
      </c>
      <c r="F24" s="72">
        <f t="shared" ca="1" si="3"/>
        <v>93755759.249597609</v>
      </c>
      <c r="G24" s="72">
        <f t="shared" ca="1" si="3"/>
        <v>94661544.280682176</v>
      </c>
      <c r="H24" s="72">
        <f t="shared" ca="1" si="3"/>
        <v>61222906.151250936</v>
      </c>
      <c r="I24" s="72">
        <f t="shared" ca="1" si="3"/>
        <v>40443412.789949685</v>
      </c>
      <c r="J24" s="72">
        <f t="shared" ca="1" si="3"/>
        <v>110730.57344124233</v>
      </c>
      <c r="K24" s="72">
        <f t="shared" ca="1" si="3"/>
        <v>3007058.9413769376</v>
      </c>
      <c r="L24" s="72">
        <f t="shared" ca="1" si="3"/>
        <v>19039968.166564755</v>
      </c>
      <c r="M24" s="72">
        <f t="shared" ca="1" si="3"/>
        <v>18277373.331933443</v>
      </c>
      <c r="N24" s="72">
        <f t="shared" ca="1" si="3"/>
        <v>0</v>
      </c>
      <c r="O24" s="72">
        <f t="shared" ca="1" si="3"/>
        <v>0</v>
      </c>
      <c r="P24" s="72">
        <f t="shared" ca="1" si="3"/>
        <v>2586991.2232099976</v>
      </c>
      <c r="Q24" s="72">
        <f t="shared" ca="1" si="3"/>
        <v>243381.58757118206</v>
      </c>
      <c r="R24" s="66"/>
      <c r="S24" s="66"/>
      <c r="T24" s="66"/>
      <c r="U24" s="66"/>
    </row>
    <row r="25" spans="1:21" ht="12.75" x14ac:dyDescent="0.2">
      <c r="A25" s="79">
        <f t="shared" si="0"/>
        <v>17</v>
      </c>
      <c r="B25" s="70" t="s">
        <v>280</v>
      </c>
      <c r="C25" s="72">
        <f ca="1">SUM(E25:Q25)</f>
        <v>1272516599.3904951</v>
      </c>
      <c r="D25" s="66"/>
      <c r="E25" s="72">
        <f ca="1">SUM(E23:E24)</f>
        <v>679883571.62213004</v>
      </c>
      <c r="F25" s="72">
        <f t="shared" ref="F25:Q25" ca="1" si="4">SUM(F23:F24)</f>
        <v>166680381.29352668</v>
      </c>
      <c r="G25" s="72">
        <f t="shared" ca="1" si="4"/>
        <v>168290699.37488544</v>
      </c>
      <c r="H25" s="72">
        <f t="shared" ca="1" si="4"/>
        <v>108842991.86379959</v>
      </c>
      <c r="I25" s="72">
        <f t="shared" ca="1" si="4"/>
        <v>71900899.940386742</v>
      </c>
      <c r="J25" s="72">
        <f t="shared" ca="1" si="4"/>
        <v>196858.45808044419</v>
      </c>
      <c r="K25" s="72">
        <f t="shared" ca="1" si="4"/>
        <v>5345994.0480719618</v>
      </c>
      <c r="L25" s="72">
        <f t="shared" ca="1" si="4"/>
        <v>33849538.196057476</v>
      </c>
      <c r="M25" s="72">
        <f t="shared" ca="1" si="4"/>
        <v>32493785.772673771</v>
      </c>
      <c r="N25" s="72">
        <f t="shared" ca="1" si="4"/>
        <v>0</v>
      </c>
      <c r="O25" s="72">
        <f t="shared" ca="1" si="4"/>
        <v>0</v>
      </c>
      <c r="P25" s="72">
        <f t="shared" ca="1" si="4"/>
        <v>4599191.419694039</v>
      </c>
      <c r="Q25" s="72">
        <f t="shared" ca="1" si="4"/>
        <v>432687.40118877112</v>
      </c>
      <c r="R25" s="66"/>
      <c r="S25" s="66"/>
      <c r="T25" s="66"/>
      <c r="U25" s="66"/>
    </row>
    <row r="26" spans="1:21" ht="12.75" x14ac:dyDescent="0.2">
      <c r="A26" s="79">
        <f t="shared" si="0"/>
        <v>18</v>
      </c>
      <c r="B26" s="63"/>
      <c r="C26" s="72"/>
      <c r="D26" s="66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66"/>
      <c r="S26" s="66"/>
      <c r="T26" s="66"/>
      <c r="U26" s="66"/>
    </row>
    <row r="27" spans="1:21" s="75" customFormat="1" ht="12.75" x14ac:dyDescent="0.2">
      <c r="A27" s="79">
        <f t="shared" si="0"/>
        <v>19</v>
      </c>
      <c r="B27" s="73" t="s">
        <v>126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</row>
    <row r="28" spans="1:21" s="75" customFormat="1" ht="12.75" x14ac:dyDescent="0.2">
      <c r="A28" s="79">
        <f t="shared" si="0"/>
        <v>20</v>
      </c>
      <c r="B28" s="73" t="s">
        <v>127</v>
      </c>
      <c r="C28" s="76">
        <f ca="1">SUM(E28:Q28)</f>
        <v>0.74999999999999989</v>
      </c>
      <c r="D28" s="76"/>
      <c r="E28" s="76">
        <f t="shared" ref="E28:Q28" ca="1" si="5">ROUND(+$C$12*E9/$C$9,6)</f>
        <v>0.38195099999999998</v>
      </c>
      <c r="F28" s="76">
        <f t="shared" ca="1" si="5"/>
        <v>0.1003</v>
      </c>
      <c r="G28" s="76">
        <f t="shared" ca="1" si="5"/>
        <v>0.10355200000000001</v>
      </c>
      <c r="H28" s="76">
        <f t="shared" ca="1" si="5"/>
        <v>6.8944000000000005E-2</v>
      </c>
      <c r="I28" s="76">
        <f t="shared" ca="1" si="5"/>
        <v>4.514E-2</v>
      </c>
      <c r="J28" s="76">
        <f t="shared" ca="1" si="5"/>
        <v>1.54E-4</v>
      </c>
      <c r="K28" s="76">
        <f t="shared" ca="1" si="5"/>
        <v>4.2009999999999999E-3</v>
      </c>
      <c r="L28" s="76">
        <f t="shared" ca="1" si="5"/>
        <v>2.1499999999999998E-2</v>
      </c>
      <c r="M28" s="76">
        <f t="shared" ca="1" si="5"/>
        <v>2.1274000000000001E-2</v>
      </c>
      <c r="N28" s="76">
        <f t="shared" ca="1" si="5"/>
        <v>0</v>
      </c>
      <c r="O28" s="76">
        <f t="shared" ca="1" si="5"/>
        <v>0</v>
      </c>
      <c r="P28" s="76">
        <f t="shared" ca="1" si="5"/>
        <v>2.7409999999999999E-3</v>
      </c>
      <c r="Q28" s="76">
        <f t="shared" ca="1" si="5"/>
        <v>2.43E-4</v>
      </c>
      <c r="R28" s="74"/>
      <c r="S28" s="74"/>
      <c r="T28" s="74"/>
      <c r="U28" s="74"/>
    </row>
    <row r="29" spans="1:21" s="75" customFormat="1" ht="12.75" x14ac:dyDescent="0.2">
      <c r="A29" s="79">
        <f t="shared" si="0"/>
        <v>21</v>
      </c>
      <c r="B29" s="73" t="s">
        <v>128</v>
      </c>
      <c r="C29" s="76">
        <f ca="1">SUM(E29:Q29)</f>
        <v>0.25</v>
      </c>
      <c r="D29" s="76"/>
      <c r="E29" s="76">
        <f ca="1">ROUND(+$C$13*E10/$C$10,6)-0.000001</f>
        <v>0.15233099999999999</v>
      </c>
      <c r="F29" s="76">
        <f t="shared" ref="F29:Q29" ca="1" si="6">ROUND(+$C$13*F10/$C$10,6)</f>
        <v>3.0685E-2</v>
      </c>
      <c r="G29" s="76">
        <f t="shared" ca="1" si="6"/>
        <v>2.8698000000000001E-2</v>
      </c>
      <c r="H29" s="76">
        <f t="shared" ca="1" si="6"/>
        <v>1.6590000000000001E-2</v>
      </c>
      <c r="I29" s="76">
        <f t="shared" ca="1" si="6"/>
        <v>1.1363E-2</v>
      </c>
      <c r="J29" s="76">
        <f t="shared" ca="1" si="6"/>
        <v>0</v>
      </c>
      <c r="K29" s="76">
        <f t="shared" ca="1" si="6"/>
        <v>0</v>
      </c>
      <c r="L29" s="76">
        <f t="shared" ca="1" si="6"/>
        <v>5.1009999999999996E-3</v>
      </c>
      <c r="M29" s="76">
        <f t="shared" ca="1" si="6"/>
        <v>4.261E-3</v>
      </c>
      <c r="N29" s="76">
        <f t="shared" ca="1" si="6"/>
        <v>0</v>
      </c>
      <c r="O29" s="76">
        <f t="shared" ca="1" si="6"/>
        <v>0</v>
      </c>
      <c r="P29" s="76">
        <f t="shared" ca="1" si="6"/>
        <v>8.7399999999999999E-4</v>
      </c>
      <c r="Q29" s="76">
        <f t="shared" ca="1" si="6"/>
        <v>9.7E-5</v>
      </c>
      <c r="R29" s="74"/>
      <c r="S29" s="74"/>
      <c r="T29" s="74"/>
      <c r="U29" s="74"/>
    </row>
    <row r="30" spans="1:21" s="75" customFormat="1" ht="12.75" x14ac:dyDescent="0.2">
      <c r="A30" s="79">
        <f t="shared" si="0"/>
        <v>22</v>
      </c>
      <c r="B30" s="73" t="s">
        <v>129</v>
      </c>
      <c r="C30" s="76">
        <f ca="1">SUM(E30:Q30)</f>
        <v>0.99999999999999989</v>
      </c>
      <c r="D30" s="74"/>
      <c r="E30" s="77">
        <f ca="1">SUM(E28:E29)</f>
        <v>0.53428199999999992</v>
      </c>
      <c r="F30" s="77">
        <f t="shared" ref="F30:Q30" ca="1" si="7">SUM(F28:F29)</f>
        <v>0.13098499999999999</v>
      </c>
      <c r="G30" s="77">
        <f t="shared" ca="1" si="7"/>
        <v>0.13225000000000001</v>
      </c>
      <c r="H30" s="77">
        <f t="shared" ca="1" si="7"/>
        <v>8.5533999999999999E-2</v>
      </c>
      <c r="I30" s="77">
        <f t="shared" ca="1" si="7"/>
        <v>5.6502999999999998E-2</v>
      </c>
      <c r="J30" s="77">
        <f t="shared" ca="1" si="7"/>
        <v>1.54E-4</v>
      </c>
      <c r="K30" s="77">
        <f t="shared" ca="1" si="7"/>
        <v>4.2009999999999999E-3</v>
      </c>
      <c r="L30" s="77">
        <f t="shared" ca="1" si="7"/>
        <v>2.6601E-2</v>
      </c>
      <c r="M30" s="77">
        <f t="shared" ca="1" si="7"/>
        <v>2.5535000000000002E-2</v>
      </c>
      <c r="N30" s="77">
        <f t="shared" ca="1" si="7"/>
        <v>0</v>
      </c>
      <c r="O30" s="77">
        <f t="shared" ca="1" si="7"/>
        <v>0</v>
      </c>
      <c r="P30" s="77">
        <f t="shared" ca="1" si="7"/>
        <v>3.6150000000000002E-3</v>
      </c>
      <c r="Q30" s="77">
        <f t="shared" ca="1" si="7"/>
        <v>3.4000000000000002E-4</v>
      </c>
      <c r="R30" s="74"/>
      <c r="S30" s="74"/>
      <c r="T30" s="74"/>
      <c r="U30" s="74"/>
    </row>
    <row r="31" spans="1:21" s="75" customFormat="1" ht="12.75" x14ac:dyDescent="0.2">
      <c r="A31" s="62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</row>
    <row r="32" spans="1:21" ht="12.75" x14ac:dyDescent="0.2">
      <c r="A32" s="78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</row>
    <row r="33" spans="1:21" x14ac:dyDescent="0.25">
      <c r="A33" s="78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</row>
    <row r="34" spans="1:21" x14ac:dyDescent="0.25">
      <c r="A34" s="78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</row>
    <row r="35" spans="1:21" x14ac:dyDescent="0.25">
      <c r="A35" s="78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</row>
    <row r="36" spans="1:21" x14ac:dyDescent="0.25">
      <c r="A36" s="78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</row>
    <row r="37" spans="1:21" x14ac:dyDescent="0.25">
      <c r="A37" s="78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</row>
    <row r="38" spans="1:21" x14ac:dyDescent="0.25">
      <c r="A38" s="78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</row>
    <row r="39" spans="1:21" x14ac:dyDescent="0.25">
      <c r="A39" s="78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</row>
    <row r="40" spans="1:21" x14ac:dyDescent="0.25">
      <c r="A40" s="78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</row>
    <row r="41" spans="1:21" x14ac:dyDescent="0.25">
      <c r="A41" s="78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</row>
    <row r="42" spans="1:21" x14ac:dyDescent="0.25">
      <c r="A42" s="78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</row>
    <row r="43" spans="1:21" x14ac:dyDescent="0.25">
      <c r="A43" s="78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</row>
    <row r="44" spans="1:21" x14ac:dyDescent="0.25">
      <c r="A44" s="78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</row>
    <row r="45" spans="1:21" x14ac:dyDescent="0.25">
      <c r="A45" s="78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</row>
    <row r="46" spans="1:21" x14ac:dyDescent="0.25">
      <c r="A46" s="78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</row>
    <row r="47" spans="1:21" x14ac:dyDescent="0.25">
      <c r="A47" s="78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</row>
  </sheetData>
  <mergeCells count="4">
    <mergeCell ref="A1:Q1"/>
    <mergeCell ref="A2:Q2"/>
    <mergeCell ref="A3:Q3"/>
    <mergeCell ref="A4:Q4"/>
  </mergeCells>
  <printOptions horizontalCentered="1"/>
  <pageMargins left="0.5" right="0.5" top="0.57999999999999996" bottom="0.72" header="0.22" footer="0.46"/>
  <pageSetup scale="50" pageOrder="overThenDown" orientation="landscape" blackAndWhite="1" r:id="rId1"/>
  <headerFooter alignWithMargins="0">
    <oddFooter>&amp;R&amp;F
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workbookViewId="0">
      <selection activeCell="C13" sqref="C13"/>
    </sheetView>
  </sheetViews>
  <sheetFormatPr defaultRowHeight="14.4" x14ac:dyDescent="0.3"/>
  <cols>
    <col min="1" max="1" width="8.109375" customWidth="1"/>
    <col min="2" max="2" width="41.6640625" customWidth="1"/>
    <col min="3" max="3" width="17.44140625" customWidth="1"/>
    <col min="4" max="4" width="12.5546875" customWidth="1"/>
    <col min="5" max="5" width="5.44140625" customWidth="1"/>
    <col min="6" max="7" width="15.88671875" customWidth="1"/>
  </cols>
  <sheetData>
    <row r="1" spans="1:7" ht="18" x14ac:dyDescent="0.25">
      <c r="A1" s="325" t="s">
        <v>396</v>
      </c>
      <c r="B1" s="74"/>
      <c r="C1" s="326"/>
      <c r="D1" s="326"/>
      <c r="E1" s="326"/>
      <c r="F1" s="326"/>
      <c r="G1" s="222" t="s">
        <v>397</v>
      </c>
    </row>
    <row r="2" spans="1:7" ht="18" x14ac:dyDescent="0.25">
      <c r="A2" s="327" t="s">
        <v>398</v>
      </c>
      <c r="B2" s="328"/>
      <c r="C2" s="326"/>
      <c r="D2" s="326"/>
      <c r="E2" s="326"/>
      <c r="F2" s="326"/>
      <c r="G2" s="222"/>
    </row>
    <row r="3" spans="1:7" ht="15.75" x14ac:dyDescent="0.25">
      <c r="A3" s="329"/>
      <c r="B3" s="328"/>
      <c r="C3" s="326"/>
      <c r="D3" s="330"/>
      <c r="E3" s="326"/>
      <c r="F3" s="326"/>
      <c r="G3" s="331"/>
    </row>
    <row r="4" spans="1:7" ht="15" x14ac:dyDescent="0.25">
      <c r="A4" s="332" t="s">
        <v>110</v>
      </c>
      <c r="B4" s="333"/>
      <c r="C4" s="334" t="s">
        <v>289</v>
      </c>
      <c r="D4" s="335"/>
      <c r="E4" s="335"/>
      <c r="F4" s="335"/>
      <c r="G4" s="335"/>
    </row>
    <row r="5" spans="1:7" ht="15" x14ac:dyDescent="0.25">
      <c r="A5" s="332">
        <v>3</v>
      </c>
      <c r="B5" s="336" t="s">
        <v>290</v>
      </c>
      <c r="C5" s="337">
        <f ca="1">+'[60]KJB-7,14 El Adj'!BN94</f>
        <v>199079031.3739852</v>
      </c>
      <c r="D5" s="326"/>
      <c r="E5" s="338"/>
      <c r="F5" s="338"/>
      <c r="G5" s="338"/>
    </row>
    <row r="6" spans="1:7" ht="15" x14ac:dyDescent="0.25">
      <c r="A6" s="332">
        <v>4</v>
      </c>
      <c r="B6" s="336" t="s">
        <v>291</v>
      </c>
      <c r="C6" s="339">
        <f ca="1">+'[60]Trans Ratebase'!C62</f>
        <v>85738601.034227908</v>
      </c>
      <c r="D6" s="326"/>
      <c r="E6" s="338"/>
      <c r="F6" s="338"/>
      <c r="G6" s="338"/>
    </row>
    <row r="7" spans="1:7" ht="15" x14ac:dyDescent="0.25">
      <c r="A7" s="332">
        <v>5</v>
      </c>
      <c r="B7" s="336" t="s">
        <v>292</v>
      </c>
      <c r="C7" s="340">
        <f ca="1">+'[60]KJB-7,14 El Adj'!BN73</f>
        <v>1961447671.7378278</v>
      </c>
      <c r="D7" s="326"/>
      <c r="E7" s="338"/>
      <c r="F7" s="341"/>
      <c r="G7" s="342"/>
    </row>
    <row r="8" spans="1:7" ht="15" x14ac:dyDescent="0.25">
      <c r="A8" s="332">
        <v>6</v>
      </c>
      <c r="B8" s="343"/>
      <c r="C8" s="344">
        <f ca="1">SUM(C5:C7)</f>
        <v>2246265304.1460409</v>
      </c>
      <c r="D8" s="326"/>
      <c r="E8" s="332"/>
      <c r="F8" s="332"/>
      <c r="G8" s="335"/>
    </row>
    <row r="9" spans="1:7" ht="15" x14ac:dyDescent="0.25">
      <c r="A9" s="332">
        <v>7</v>
      </c>
      <c r="B9" s="336" t="s">
        <v>293</v>
      </c>
      <c r="C9" s="345">
        <f ca="1">+'[60]KJB-3,11 Def'!H19</f>
        <v>6.9699999999999998E-2</v>
      </c>
      <c r="D9" s="346"/>
      <c r="E9" s="332"/>
      <c r="F9" s="332" t="s">
        <v>294</v>
      </c>
      <c r="G9" s="332" t="s">
        <v>295</v>
      </c>
    </row>
    <row r="10" spans="1:7" ht="15" x14ac:dyDescent="0.25">
      <c r="A10" s="332">
        <v>8</v>
      </c>
      <c r="B10" s="347"/>
      <c r="C10" s="338"/>
      <c r="D10" s="332" t="s">
        <v>296</v>
      </c>
      <c r="E10" s="332"/>
      <c r="F10" s="332" t="s">
        <v>297</v>
      </c>
      <c r="G10" s="332" t="s">
        <v>297</v>
      </c>
    </row>
    <row r="11" spans="1:7" ht="15" x14ac:dyDescent="0.25">
      <c r="A11" s="332">
        <v>9</v>
      </c>
      <c r="B11" s="348"/>
      <c r="C11" s="338"/>
      <c r="D11" s="349" t="s">
        <v>298</v>
      </c>
      <c r="E11" s="350" t="s">
        <v>299</v>
      </c>
      <c r="F11" s="350" t="s">
        <v>300</v>
      </c>
      <c r="G11" s="350" t="s">
        <v>301</v>
      </c>
    </row>
    <row r="12" spans="1:7" ht="15" x14ac:dyDescent="0.25">
      <c r="A12" s="332" t="s">
        <v>302</v>
      </c>
      <c r="B12" s="336"/>
      <c r="C12" s="349" t="s">
        <v>303</v>
      </c>
      <c r="D12" s="349" t="s">
        <v>304</v>
      </c>
      <c r="E12" s="349" t="s">
        <v>305</v>
      </c>
      <c r="F12" s="350" t="s">
        <v>306</v>
      </c>
      <c r="G12" s="350" t="s">
        <v>307</v>
      </c>
    </row>
    <row r="13" spans="1:7" ht="15" x14ac:dyDescent="0.25">
      <c r="A13" s="332">
        <v>10</v>
      </c>
      <c r="B13" s="336" t="s">
        <v>308</v>
      </c>
      <c r="C13" s="337">
        <f ca="1">'[60]Exh.A-1'!$C$13</f>
        <v>17564314.5402111</v>
      </c>
      <c r="D13" s="351">
        <f t="shared" ref="D13:D34" ca="1" si="0">+C13/$C$39</f>
        <v>0.8475674343154771</v>
      </c>
      <c r="E13" s="352" t="s">
        <v>309</v>
      </c>
      <c r="F13" s="337">
        <f ca="1">+C13</f>
        <v>17564314.5402111</v>
      </c>
      <c r="G13" s="353">
        <v>0</v>
      </c>
    </row>
    <row r="14" spans="1:7" ht="15" x14ac:dyDescent="0.25">
      <c r="A14" s="332" t="s">
        <v>310</v>
      </c>
      <c r="B14" s="336" t="s">
        <v>311</v>
      </c>
      <c r="C14" s="339">
        <f ca="1">+'[60]Power Cost Bridge to A-1'!N28</f>
        <v>4769481.1386719989</v>
      </c>
      <c r="D14" s="351">
        <f t="shared" ca="1" si="0"/>
        <v>0.23015170233177235</v>
      </c>
      <c r="E14" s="352" t="s">
        <v>312</v>
      </c>
      <c r="F14" s="338"/>
      <c r="G14" s="341">
        <f ca="1">+C14</f>
        <v>4769481.1386719989</v>
      </c>
    </row>
    <row r="15" spans="1:7" ht="15" x14ac:dyDescent="0.25">
      <c r="A15" s="332">
        <v>11</v>
      </c>
      <c r="B15" s="343" t="s">
        <v>313</v>
      </c>
      <c r="C15" s="354">
        <f ca="1">'[60]Exh.A-1'!$C$15</f>
        <v>7564532.2684628917</v>
      </c>
      <c r="D15" s="351">
        <f t="shared" ca="1" si="0"/>
        <v>0.36502712314218622</v>
      </c>
      <c r="E15" s="352" t="s">
        <v>309</v>
      </c>
      <c r="F15" s="341">
        <f ca="1">+C15</f>
        <v>7564532.2684628917</v>
      </c>
      <c r="G15" s="338"/>
    </row>
    <row r="16" spans="1:7" ht="15" x14ac:dyDescent="0.25">
      <c r="A16" s="332">
        <v>12</v>
      </c>
      <c r="B16" s="343" t="s">
        <v>314</v>
      </c>
      <c r="C16" s="339">
        <f ca="1">'[60]Exh.A-1'!$C$16</f>
        <v>173054307.24066657</v>
      </c>
      <c r="D16" s="351">
        <f t="shared" ca="1" si="0"/>
        <v>8.3507497459932871</v>
      </c>
      <c r="E16" s="352" t="s">
        <v>309</v>
      </c>
      <c r="F16" s="339">
        <f ca="1">+C16</f>
        <v>173054307.24066657</v>
      </c>
      <c r="G16" s="338"/>
    </row>
    <row r="17" spans="1:7" ht="15" x14ac:dyDescent="0.25">
      <c r="A17" s="332">
        <v>13</v>
      </c>
      <c r="B17" s="343" t="s">
        <v>315</v>
      </c>
      <c r="C17" s="339">
        <f ca="1">+'[60]Power Cost Bridge to A-1'!N15</f>
        <v>69962949.456452519</v>
      </c>
      <c r="D17" s="351">
        <f t="shared" ca="1" si="0"/>
        <v>3.3760678466668006</v>
      </c>
      <c r="E17" s="352" t="s">
        <v>312</v>
      </c>
      <c r="F17" s="339"/>
      <c r="G17" s="339">
        <f ca="1">+C17</f>
        <v>69962949.456452519</v>
      </c>
    </row>
    <row r="18" spans="1:7" ht="15" x14ac:dyDescent="0.25">
      <c r="A18" s="332">
        <v>14</v>
      </c>
      <c r="B18" s="343" t="s">
        <v>316</v>
      </c>
      <c r="C18" s="339">
        <f ca="1">+'[60]Power Cost Bridge to A-1'!N17</f>
        <v>378349379.60972166</v>
      </c>
      <c r="D18" s="351">
        <f t="shared" ca="1" si="0"/>
        <v>18.257280249480782</v>
      </c>
      <c r="E18" s="352" t="s">
        <v>312</v>
      </c>
      <c r="F18" s="339"/>
      <c r="G18" s="339">
        <f ca="1">+C18</f>
        <v>378349379.60972166</v>
      </c>
    </row>
    <row r="19" spans="1:7" ht="15" x14ac:dyDescent="0.25">
      <c r="A19" s="332">
        <v>15</v>
      </c>
      <c r="B19" s="343" t="s">
        <v>317</v>
      </c>
      <c r="C19" s="339">
        <f ca="1">+'[60]Power Cost Bridge to A-1'!N18+'[60]KJB-6,13 Cmn Adj'!AW14+'[60]KJB-6,13 Cmn Adj'!CC14+'[60]KJB-7,14 El Adj'!BM17</f>
        <v>7238267.1874165451</v>
      </c>
      <c r="D19" s="351">
        <f t="shared" ca="1" si="0"/>
        <v>0.34928317497864692</v>
      </c>
      <c r="E19" s="352" t="s">
        <v>309</v>
      </c>
      <c r="F19" s="339">
        <f ca="1">+C19</f>
        <v>7238267.1874165451</v>
      </c>
      <c r="G19" s="338"/>
    </row>
    <row r="20" spans="1:7" ht="15" x14ac:dyDescent="0.25">
      <c r="A20" s="332" t="s">
        <v>318</v>
      </c>
      <c r="B20" s="355" t="s">
        <v>319</v>
      </c>
      <c r="C20" s="339">
        <f ca="1">SUM('[60]KJB-7,14 El Adj'!BL19:BM19)</f>
        <v>8206061.1260157973</v>
      </c>
      <c r="D20" s="351">
        <f t="shared" ca="1" si="0"/>
        <v>0.39598415061915598</v>
      </c>
      <c r="E20" s="352" t="s">
        <v>309</v>
      </c>
      <c r="F20" s="339">
        <f ca="1">+C20</f>
        <v>8206061.1260157973</v>
      </c>
      <c r="G20" s="338"/>
    </row>
    <row r="21" spans="1:7" ht="15" x14ac:dyDescent="0.25">
      <c r="A21" s="332" t="s">
        <v>320</v>
      </c>
      <c r="B21" s="355" t="s">
        <v>321</v>
      </c>
      <c r="C21" s="339">
        <f ca="1">SUM('[60]KJB-7,14 El Adj'!BL21:BM21)</f>
        <v>2763777.09</v>
      </c>
      <c r="D21" s="351">
        <f t="shared" ca="1" si="0"/>
        <v>0.13336628946312651</v>
      </c>
      <c r="E21" s="352" t="s">
        <v>309</v>
      </c>
      <c r="F21" s="339">
        <f ca="1">+C21</f>
        <v>2763777.09</v>
      </c>
      <c r="G21" s="338"/>
    </row>
    <row r="22" spans="1:7" ht="15" x14ac:dyDescent="0.25">
      <c r="A22" s="332" t="s">
        <v>322</v>
      </c>
      <c r="B22" s="355" t="s">
        <v>323</v>
      </c>
      <c r="C22" s="339">
        <f ca="1">SUM('[60]KJB-7,14 El Adj'!BL31:BM31)</f>
        <v>1262663.2680056884</v>
      </c>
      <c r="D22" s="351">
        <f t="shared" ca="1" si="0"/>
        <v>6.092991924153475E-2</v>
      </c>
      <c r="E22" s="352" t="s">
        <v>312</v>
      </c>
      <c r="F22" s="339"/>
      <c r="G22" s="339">
        <f ca="1">+C22</f>
        <v>1262663.2680056884</v>
      </c>
    </row>
    <row r="23" spans="1:7" ht="15" x14ac:dyDescent="0.25">
      <c r="A23" s="332" t="s">
        <v>324</v>
      </c>
      <c r="B23" s="355" t="s">
        <v>325</v>
      </c>
      <c r="C23" s="339">
        <f ca="1">SUM('[60]KJB-7,14 El Adj'!BL32:BM32)</f>
        <v>2119540.3036357597</v>
      </c>
      <c r="D23" s="351">
        <f t="shared" ca="1" si="0"/>
        <v>0.1022785906599471</v>
      </c>
      <c r="E23" s="352" t="s">
        <v>309</v>
      </c>
      <c r="F23" s="339">
        <f ca="1">+C23</f>
        <v>2119540.3036357597</v>
      </c>
      <c r="G23" s="339"/>
    </row>
    <row r="24" spans="1:7" ht="15" x14ac:dyDescent="0.25">
      <c r="A24" s="332" t="s">
        <v>326</v>
      </c>
      <c r="B24" s="355" t="s">
        <v>327</v>
      </c>
      <c r="C24" s="339">
        <f ca="1">+'[60]Power Cost Bridge to A-1'!N19</f>
        <v>313332.07420681993</v>
      </c>
      <c r="D24" s="351">
        <f t="shared" ca="1" si="0"/>
        <v>1.5119864861007507E-2</v>
      </c>
      <c r="E24" s="352" t="s">
        <v>312</v>
      </c>
      <c r="F24" s="338"/>
      <c r="G24" s="341">
        <f ca="1">+C24</f>
        <v>313332.07420681993</v>
      </c>
    </row>
    <row r="25" spans="1:7" ht="15" x14ac:dyDescent="0.25">
      <c r="A25" s="332">
        <v>16</v>
      </c>
      <c r="B25" s="343" t="s">
        <v>328</v>
      </c>
      <c r="C25" s="339">
        <f ca="1">+'[60]Power Cost Bridge to A-1'!N16</f>
        <v>171115373.90212974</v>
      </c>
      <c r="D25" s="351">
        <f t="shared" ca="1" si="0"/>
        <v>8.2571863592018406</v>
      </c>
      <c r="E25" s="352" t="s">
        <v>312</v>
      </c>
      <c r="F25" s="338"/>
      <c r="G25" s="339">
        <f ca="1">+C25</f>
        <v>171115373.90212974</v>
      </c>
    </row>
    <row r="26" spans="1:7" ht="15" x14ac:dyDescent="0.25">
      <c r="A26" s="332">
        <v>17</v>
      </c>
      <c r="B26" s="343" t="s">
        <v>329</v>
      </c>
      <c r="C26" s="339">
        <f ca="1">+'[60]Power Cost Bridge to A-1'!N20</f>
        <v>108374278.4084733</v>
      </c>
      <c r="D26" s="351">
        <f t="shared" ca="1" si="0"/>
        <v>5.2296096660175699</v>
      </c>
      <c r="E26" s="352" t="s">
        <v>312</v>
      </c>
      <c r="F26" s="338"/>
      <c r="G26" s="339">
        <f ca="1">+C26</f>
        <v>108374278.4084733</v>
      </c>
    </row>
    <row r="27" spans="1:7" ht="15" x14ac:dyDescent="0.25">
      <c r="A27" s="332">
        <v>18</v>
      </c>
      <c r="B27" s="343" t="s">
        <v>330</v>
      </c>
      <c r="C27" s="339">
        <f ca="1">+'[60]Power Cost Bridge to A-1'!N27</f>
        <v>-11639833.365925668</v>
      </c>
      <c r="D27" s="351">
        <f t="shared" ca="1" si="0"/>
        <v>-0.56168111082453498</v>
      </c>
      <c r="E27" s="352" t="s">
        <v>309</v>
      </c>
      <c r="F27" s="339">
        <f ca="1">+C27</f>
        <v>-11639833.365925668</v>
      </c>
      <c r="G27" s="339"/>
    </row>
    <row r="28" spans="1:7" ht="15" x14ac:dyDescent="0.25">
      <c r="A28" s="332">
        <v>19</v>
      </c>
      <c r="B28" s="343" t="s">
        <v>331</v>
      </c>
      <c r="C28" s="339">
        <f ca="1">+[60]Summary!AT32</f>
        <v>138209148.65181684</v>
      </c>
      <c r="D28" s="351">
        <f t="shared" ca="1" si="0"/>
        <v>6.6692937691116345</v>
      </c>
      <c r="E28" s="352" t="s">
        <v>309</v>
      </c>
      <c r="F28" s="339">
        <f ca="1">+C28</f>
        <v>138209148.65181684</v>
      </c>
      <c r="G28" s="339"/>
    </row>
    <row r="29" spans="1:7" x14ac:dyDescent="0.3">
      <c r="A29" s="332">
        <v>20</v>
      </c>
      <c r="B29" s="343" t="s">
        <v>332</v>
      </c>
      <c r="C29" s="339">
        <f ca="1">-[60]Summary!AT19</f>
        <v>-36228866.83523047</v>
      </c>
      <c r="D29" s="351">
        <f t="shared" ca="1" si="0"/>
        <v>-1.7482269314521348</v>
      </c>
      <c r="E29" s="352" t="s">
        <v>312</v>
      </c>
      <c r="F29" s="339"/>
      <c r="G29" s="339">
        <f ca="1">+C29</f>
        <v>-36228866.83523047</v>
      </c>
    </row>
    <row r="30" spans="1:7" x14ac:dyDescent="0.3">
      <c r="A30" s="356">
        <v>21</v>
      </c>
      <c r="B30" s="357" t="s">
        <v>333</v>
      </c>
      <c r="C30" s="339">
        <f ca="1">+'[60]Power Cost Bridge to A-1'!N22</f>
        <v>-16223873.273980575</v>
      </c>
      <c r="D30" s="351">
        <f t="shared" ca="1" si="0"/>
        <v>-0.78288433140994562</v>
      </c>
      <c r="E30" s="352" t="s">
        <v>312</v>
      </c>
      <c r="F30" s="339"/>
      <c r="G30" s="339">
        <f ca="1">+C30</f>
        <v>-16223873.273980575</v>
      </c>
    </row>
    <row r="31" spans="1:7" x14ac:dyDescent="0.3">
      <c r="A31" s="332">
        <v>22</v>
      </c>
      <c r="B31" s="343" t="s">
        <v>334</v>
      </c>
      <c r="C31" s="339">
        <f ca="1">+'[60]Power Cost Bridge to A-1'!N26</f>
        <v>662134.87</v>
      </c>
      <c r="D31" s="351">
        <f t="shared" ca="1" si="0"/>
        <v>3.1951372292491807E-2</v>
      </c>
      <c r="E31" s="352" t="s">
        <v>309</v>
      </c>
      <c r="F31" s="339">
        <f ca="1">+C31</f>
        <v>662134.87</v>
      </c>
      <c r="G31" s="338"/>
    </row>
    <row r="32" spans="1:7" x14ac:dyDescent="0.3">
      <c r="A32" s="332">
        <v>23</v>
      </c>
      <c r="B32" s="358" t="s">
        <v>335</v>
      </c>
      <c r="C32" s="339">
        <f ca="1">SUM('[60]KJB-7,14 El Adj'!BL28:BM28)</f>
        <v>161583689.16694248</v>
      </c>
      <c r="D32" s="351">
        <f t="shared" ca="1" si="0"/>
        <v>7.7972341329301305</v>
      </c>
      <c r="E32" s="352" t="s">
        <v>309</v>
      </c>
      <c r="F32" s="339">
        <f ca="1">+C32</f>
        <v>161583689.16694248</v>
      </c>
      <c r="G32" s="338"/>
    </row>
    <row r="33" spans="1:7" x14ac:dyDescent="0.3">
      <c r="A33" s="332">
        <v>24</v>
      </c>
      <c r="B33" s="333" t="s">
        <v>336</v>
      </c>
      <c r="C33" s="339">
        <f ca="1">+'[60]Trans Ratebase'!F62</f>
        <v>3490805.0455442886</v>
      </c>
      <c r="D33" s="351">
        <f t="shared" ca="1" si="0"/>
        <v>0.16844908290465715</v>
      </c>
      <c r="E33" s="352" t="s">
        <v>309</v>
      </c>
      <c r="F33" s="341">
        <f ca="1">+C33</f>
        <v>3490805.0455442886</v>
      </c>
      <c r="G33" s="338"/>
    </row>
    <row r="34" spans="1:7" x14ac:dyDescent="0.3">
      <c r="A34" s="332">
        <f t="shared" ref="A34:A45" si="1">+A33+1</f>
        <v>25</v>
      </c>
      <c r="B34" s="333" t="s">
        <v>337</v>
      </c>
      <c r="C34" s="339">
        <f ca="1">+F57</f>
        <v>19415532.153878614</v>
      </c>
      <c r="D34" s="351">
        <f t="shared" ca="1" si="0"/>
        <v>0.93689809163112181</v>
      </c>
      <c r="E34" s="352" t="s">
        <v>309</v>
      </c>
      <c r="F34" s="339">
        <f ca="1">+C34</f>
        <v>19415532.153878614</v>
      </c>
      <c r="G34" s="338"/>
    </row>
    <row r="35" spans="1:7" x14ac:dyDescent="0.3">
      <c r="A35" s="332">
        <f t="shared" si="1"/>
        <v>26</v>
      </c>
      <c r="B35" s="359" t="s">
        <v>338</v>
      </c>
      <c r="C35" s="360"/>
      <c r="D35" s="360"/>
      <c r="E35" s="352"/>
      <c r="F35" s="360"/>
      <c r="G35" s="360"/>
    </row>
    <row r="36" spans="1:7" x14ac:dyDescent="0.3">
      <c r="A36" s="332">
        <f t="shared" si="1"/>
        <v>27</v>
      </c>
      <c r="B36" s="361" t="s">
        <v>339</v>
      </c>
      <c r="C36" s="362">
        <f ca="1">SUM(C13:C35)</f>
        <v>1211926994.0271161</v>
      </c>
      <c r="D36" s="363">
        <f ca="1">SUM(D13:D35)</f>
        <v>58.48163619215655</v>
      </c>
      <c r="E36" s="363"/>
      <c r="F36" s="362">
        <f ca="1">SUM(F13:F35)</f>
        <v>530232276.27866518</v>
      </c>
      <c r="G36" s="362">
        <f ca="1">SUM(G13:G35)</f>
        <v>681694717.74845052</v>
      </c>
    </row>
    <row r="37" spans="1:7" x14ac:dyDescent="0.3">
      <c r="A37" s="332">
        <f t="shared" si="1"/>
        <v>28</v>
      </c>
      <c r="B37" s="343" t="s">
        <v>340</v>
      </c>
      <c r="C37" s="364">
        <f ca="1">+'[60]KJB-3,11 Def'!M19</f>
        <v>0.95238599999999995</v>
      </c>
      <c r="D37" s="364">
        <f ca="1">+C37</f>
        <v>0.95238599999999995</v>
      </c>
      <c r="E37" s="364"/>
      <c r="F37" s="365">
        <f ca="1">+D37</f>
        <v>0.95238599999999995</v>
      </c>
      <c r="G37" s="365">
        <f ca="1">+F37</f>
        <v>0.95238599999999995</v>
      </c>
    </row>
    <row r="38" spans="1:7" x14ac:dyDescent="0.3">
      <c r="A38" s="332">
        <f t="shared" si="1"/>
        <v>29</v>
      </c>
      <c r="B38" s="343" t="s">
        <v>341</v>
      </c>
      <c r="C38" s="362">
        <f ca="1">+C36/C37</f>
        <v>1272516599.3904951</v>
      </c>
      <c r="D38" s="363">
        <f ca="1">+D36/C37</f>
        <v>61.405392553183852</v>
      </c>
      <c r="E38" s="363"/>
      <c r="F38" s="362">
        <f ca="1">+F36/F37</f>
        <v>556740939.36561978</v>
      </c>
      <c r="G38" s="362">
        <f ca="1">+G36/G37</f>
        <v>715775660.02487493</v>
      </c>
    </row>
    <row r="39" spans="1:7" x14ac:dyDescent="0.3">
      <c r="A39" s="332">
        <f t="shared" si="1"/>
        <v>30</v>
      </c>
      <c r="B39" s="343" t="s">
        <v>342</v>
      </c>
      <c r="C39" s="354">
        <f ca="1">+'[61]Variable Cost Production Factor'!$F$26</f>
        <v>20723206</v>
      </c>
      <c r="D39" s="366" t="s">
        <v>343</v>
      </c>
      <c r="E39" s="366"/>
      <c r="F39" s="338"/>
      <c r="G39" s="338"/>
    </row>
    <row r="40" spans="1:7" x14ac:dyDescent="0.3">
      <c r="A40" s="332">
        <f t="shared" si="1"/>
        <v>31</v>
      </c>
      <c r="B40" s="336"/>
      <c r="C40" s="353"/>
      <c r="D40" s="367" t="s">
        <v>21</v>
      </c>
      <c r="E40" s="367"/>
      <c r="F40" s="367" t="s">
        <v>294</v>
      </c>
      <c r="G40" s="367" t="s">
        <v>344</v>
      </c>
    </row>
    <row r="41" spans="1:7" x14ac:dyDescent="0.3">
      <c r="A41" s="332">
        <f t="shared" si="1"/>
        <v>32</v>
      </c>
      <c r="B41" s="343" t="s">
        <v>345</v>
      </c>
      <c r="C41" s="335"/>
      <c r="D41" s="335"/>
      <c r="E41" s="335"/>
      <c r="F41" s="335"/>
      <c r="G41" s="335"/>
    </row>
    <row r="42" spans="1:7" x14ac:dyDescent="0.3">
      <c r="A42" s="332">
        <f t="shared" si="1"/>
        <v>33</v>
      </c>
      <c r="B42" s="343" t="s">
        <v>346</v>
      </c>
      <c r="C42" s="368"/>
      <c r="D42" s="369">
        <f ca="1">+F42+G42</f>
        <v>58.481636192156543</v>
      </c>
      <c r="E42" s="369"/>
      <c r="F42" s="369">
        <f ca="1">+F36/$C$39</f>
        <v>25.586401847217328</v>
      </c>
      <c r="G42" s="369">
        <f ca="1">+G36/$C$39</f>
        <v>32.895234344939219</v>
      </c>
    </row>
    <row r="43" spans="1:7" x14ac:dyDescent="0.3">
      <c r="A43" s="332">
        <f t="shared" si="1"/>
        <v>34</v>
      </c>
      <c r="B43" s="343" t="s">
        <v>341</v>
      </c>
      <c r="C43" s="335"/>
      <c r="D43" s="369">
        <f ca="1">+F43+G43</f>
        <v>61.405392553183837</v>
      </c>
      <c r="E43" s="369"/>
      <c r="F43" s="369">
        <f ca="1">+F38/$C$39</f>
        <v>26.865579552006565</v>
      </c>
      <c r="G43" s="369">
        <f ca="1">+G38/$C$39</f>
        <v>34.539813001177272</v>
      </c>
    </row>
    <row r="44" spans="1:7" x14ac:dyDescent="0.3">
      <c r="A44" s="332">
        <f t="shared" si="1"/>
        <v>35</v>
      </c>
      <c r="B44" s="343"/>
      <c r="C44" s="335"/>
      <c r="D44" s="335"/>
      <c r="E44" s="335"/>
      <c r="F44" s="335"/>
      <c r="G44" s="335"/>
    </row>
    <row r="45" spans="1:7" x14ac:dyDescent="0.3">
      <c r="A45" s="332">
        <f t="shared" si="1"/>
        <v>36</v>
      </c>
      <c r="B45" s="343" t="s">
        <v>347</v>
      </c>
      <c r="C45" s="335"/>
      <c r="D45" s="335"/>
      <c r="E45" s="335"/>
      <c r="F45" s="335"/>
      <c r="G45" s="335"/>
    </row>
    <row r="46" spans="1:7" x14ac:dyDescent="0.3">
      <c r="A46" s="326"/>
      <c r="B46" s="370"/>
      <c r="C46" s="326"/>
      <c r="D46" s="326"/>
      <c r="E46" s="326"/>
      <c r="F46" s="326"/>
      <c r="G46" s="326"/>
    </row>
    <row r="47" spans="1:7" ht="15" thickBot="1" x14ac:dyDescent="0.35">
      <c r="A47" s="326"/>
      <c r="B47" s="371"/>
      <c r="C47" s="372"/>
      <c r="D47" s="373" t="s">
        <v>399</v>
      </c>
      <c r="E47" s="373"/>
      <c r="F47" s="373" t="s">
        <v>400</v>
      </c>
      <c r="G47" s="326"/>
    </row>
    <row r="48" spans="1:7" x14ac:dyDescent="0.3">
      <c r="A48" s="326"/>
      <c r="B48" s="374" t="s">
        <v>401</v>
      </c>
      <c r="C48" s="375"/>
      <c r="D48" s="376" t="s">
        <v>402</v>
      </c>
      <c r="E48" s="376"/>
      <c r="F48" s="377">
        <f ca="1">+'[60]Power Cost Bridge to A-1'!N9</f>
        <v>1</v>
      </c>
      <c r="G48" s="326"/>
    </row>
    <row r="49" spans="1:7" x14ac:dyDescent="0.3">
      <c r="A49" s="326"/>
      <c r="B49" s="378" t="s">
        <v>403</v>
      </c>
      <c r="C49" s="379">
        <v>407</v>
      </c>
      <c r="D49" s="380">
        <f ca="1">+'[60]KJB-7,14 El Adj'!BB23</f>
        <v>6553640.5497812936</v>
      </c>
      <c r="E49" s="380"/>
      <c r="F49" s="381">
        <f t="shared" ref="F49:F56" ca="1" si="2">+D49*$F$48</f>
        <v>6553640.5497812936</v>
      </c>
      <c r="G49" s="330"/>
    </row>
    <row r="50" spans="1:7" x14ac:dyDescent="0.3">
      <c r="A50" s="326"/>
      <c r="B50" s="382" t="s">
        <v>404</v>
      </c>
      <c r="C50" s="373">
        <v>407.3</v>
      </c>
      <c r="D50" s="383">
        <f ca="1">+'[60]KJB-7,14 El Adj'!AC45</f>
        <v>687420</v>
      </c>
      <c r="E50" s="383"/>
      <c r="F50" s="384">
        <f t="shared" ca="1" si="2"/>
        <v>687420</v>
      </c>
      <c r="G50" s="330"/>
    </row>
    <row r="51" spans="1:7" x14ac:dyDescent="0.3">
      <c r="A51" s="326"/>
      <c r="B51" s="382" t="s">
        <v>405</v>
      </c>
      <c r="C51" s="373">
        <v>407.3</v>
      </c>
      <c r="D51" s="383">
        <f ca="1">+'[60]KJB-7,14 El Adj'!AC40</f>
        <v>2885052</v>
      </c>
      <c r="E51" s="383"/>
      <c r="F51" s="384">
        <f t="shared" ca="1" si="2"/>
        <v>2885052</v>
      </c>
      <c r="G51" s="330"/>
    </row>
    <row r="52" spans="1:7" x14ac:dyDescent="0.3">
      <c r="A52" s="326"/>
      <c r="B52" s="385" t="s">
        <v>406</v>
      </c>
      <c r="C52" s="373">
        <v>407.3</v>
      </c>
      <c r="D52" s="383">
        <f ca="1">+'[60]KJB-7,14 El Adj'!AC49</f>
        <v>4520422.508572978</v>
      </c>
      <c r="E52" s="383"/>
      <c r="F52" s="384">
        <f t="shared" ca="1" si="2"/>
        <v>4520422.508572978</v>
      </c>
      <c r="G52" s="330"/>
    </row>
    <row r="53" spans="1:7" x14ac:dyDescent="0.3">
      <c r="A53" s="326"/>
      <c r="B53" s="385" t="s">
        <v>407</v>
      </c>
      <c r="C53" s="373">
        <v>407.3</v>
      </c>
      <c r="D53" s="383">
        <f ca="1">+'[60]KJB-7,14 El Adj'!AC47</f>
        <v>561126.34087998548</v>
      </c>
      <c r="E53" s="383"/>
      <c r="F53" s="384">
        <f t="shared" ca="1" si="2"/>
        <v>561126.34087998548</v>
      </c>
      <c r="G53" s="330"/>
    </row>
    <row r="54" spans="1:7" x14ac:dyDescent="0.3">
      <c r="A54" s="326"/>
      <c r="B54" s="385" t="s">
        <v>408</v>
      </c>
      <c r="C54" s="373">
        <v>407.3</v>
      </c>
      <c r="D54" s="383">
        <f ca="1">+'[60]KJB-7,14 El Adj'!AC48</f>
        <v>2203436.1529896799</v>
      </c>
      <c r="E54" s="383"/>
      <c r="F54" s="384">
        <f t="shared" ca="1" si="2"/>
        <v>2203436.1529896799</v>
      </c>
      <c r="G54" s="330"/>
    </row>
    <row r="55" spans="1:7" x14ac:dyDescent="0.3">
      <c r="A55" s="326"/>
      <c r="B55" s="385" t="s">
        <v>409</v>
      </c>
      <c r="C55" s="373">
        <v>407.4</v>
      </c>
      <c r="D55" s="383">
        <f ca="1">+'[60]KJB-7,14 El Adj'!AC50+'[60]KJB-7,14 El Adj'!AC51</f>
        <v>-1781873.2383453234</v>
      </c>
      <c r="E55" s="383"/>
      <c r="F55" s="384">
        <f t="shared" ca="1" si="2"/>
        <v>-1781873.2383453234</v>
      </c>
      <c r="G55" s="330"/>
    </row>
    <row r="56" spans="1:7" x14ac:dyDescent="0.3">
      <c r="A56" s="326"/>
      <c r="B56" s="385" t="s">
        <v>410</v>
      </c>
      <c r="C56" s="373">
        <v>407</v>
      </c>
      <c r="D56" s="386">
        <f ca="1">+'[60]KJB-7,14 El Adj'!AC52</f>
        <v>3786307.8400000003</v>
      </c>
      <c r="E56" s="386"/>
      <c r="F56" s="387">
        <f t="shared" ca="1" si="2"/>
        <v>3786307.8400000003</v>
      </c>
      <c r="G56" s="330"/>
    </row>
    <row r="57" spans="1:7" x14ac:dyDescent="0.3">
      <c r="A57" s="326"/>
      <c r="B57" s="382" t="s">
        <v>411</v>
      </c>
      <c r="C57" s="388"/>
      <c r="D57" s="386">
        <f ca="1">SUM(D49:D56)</f>
        <v>19415532.153878614</v>
      </c>
      <c r="E57" s="386"/>
      <c r="F57" s="387">
        <f ca="1">SUM(F49:F56)</f>
        <v>19415532.153878614</v>
      </c>
      <c r="G57" s="330">
        <f ca="1">+SUM('[60]KJB-7,14 El Adj'!BL47:BM47)-F57</f>
        <v>0</v>
      </c>
    </row>
    <row r="58" spans="1:7" ht="15" thickBot="1" x14ac:dyDescent="0.35">
      <c r="A58" s="326"/>
      <c r="B58" s="389"/>
      <c r="C58" s="390" t="s">
        <v>412</v>
      </c>
      <c r="D58" s="391">
        <f ca="1">+'[60]KJB-7,14 El Adj'!AC53-D57</f>
        <v>0</v>
      </c>
      <c r="E58" s="391"/>
      <c r="F58" s="392">
        <f ca="1">+F57/D57-F48</f>
        <v>0</v>
      </c>
      <c r="G58" s="326"/>
    </row>
    <row r="59" spans="1:7" x14ac:dyDescent="0.3">
      <c r="A59" s="393"/>
      <c r="B59" s="393"/>
      <c r="C59" s="393"/>
      <c r="D59" s="393"/>
      <c r="E59" s="393"/>
      <c r="F59" s="393"/>
      <c r="G59" s="326"/>
    </row>
    <row r="60" spans="1:7" x14ac:dyDescent="0.3">
      <c r="A60" s="393"/>
      <c r="B60" s="393"/>
      <c r="C60" s="393"/>
      <c r="D60" s="393"/>
      <c r="E60" s="393"/>
      <c r="F60" s="393"/>
      <c r="G60" s="326"/>
    </row>
  </sheetData>
  <pageMargins left="0.7" right="0.7" top="0.75" bottom="0.75" header="0.3" footer="0.3"/>
  <pageSetup scale="7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2"/>
  <sheetViews>
    <sheetView zoomScale="90" zoomScaleNormal="90" workbookViewId="0">
      <selection activeCell="S25" sqref="S25"/>
    </sheetView>
  </sheetViews>
  <sheetFormatPr defaultColWidth="9.109375" defaultRowHeight="14.4" x14ac:dyDescent="0.3"/>
  <cols>
    <col min="1" max="1" width="8.33203125" style="54" bestFit="1" customWidth="1"/>
    <col min="2" max="2" width="10" style="54" bestFit="1" customWidth="1"/>
    <col min="3" max="3" width="26.5546875" style="54" bestFit="1" customWidth="1"/>
    <col min="4" max="4" width="16.6640625" style="54" bestFit="1" customWidth="1"/>
    <col min="5" max="5" width="15.33203125" style="54" bestFit="1" customWidth="1"/>
    <col min="6" max="10" width="15.6640625" style="54" bestFit="1" customWidth="1"/>
    <col min="11" max="16" width="15.33203125" style="54" bestFit="1" customWidth="1"/>
    <col min="17" max="16384" width="9.109375" style="54"/>
  </cols>
  <sheetData>
    <row r="1" spans="1:16" ht="15" x14ac:dyDescent="0.25">
      <c r="A1" s="435" t="s">
        <v>17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</row>
    <row r="2" spans="1:16" ht="15" x14ac:dyDescent="0.25">
      <c r="A2" s="435" t="s">
        <v>248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</row>
    <row r="3" spans="1:16" ht="15" x14ac:dyDescent="0.25">
      <c r="A3" s="436" t="s">
        <v>249</v>
      </c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  <c r="O3" s="435"/>
      <c r="P3" s="435"/>
    </row>
    <row r="4" spans="1:16" ht="15" x14ac:dyDescent="0.25">
      <c r="A4" s="435" t="s">
        <v>250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</row>
    <row r="5" spans="1:16" ht="15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</row>
    <row r="6" spans="1:16" ht="26.25" x14ac:dyDescent="0.25">
      <c r="A6" s="55" t="s">
        <v>16</v>
      </c>
      <c r="B6" s="55" t="s">
        <v>251</v>
      </c>
      <c r="C6" s="55" t="s">
        <v>19</v>
      </c>
      <c r="D6" s="55" t="s">
        <v>240</v>
      </c>
      <c r="E6" s="56">
        <v>42278</v>
      </c>
      <c r="F6" s="56">
        <v>42309</v>
      </c>
      <c r="G6" s="56">
        <v>42339</v>
      </c>
      <c r="H6" s="56">
        <v>42370</v>
      </c>
      <c r="I6" s="56">
        <v>42401</v>
      </c>
      <c r="J6" s="56">
        <v>42430</v>
      </c>
      <c r="K6" s="56">
        <v>42461</v>
      </c>
      <c r="L6" s="56">
        <v>42491</v>
      </c>
      <c r="M6" s="56">
        <v>42522</v>
      </c>
      <c r="N6" s="56">
        <v>42552</v>
      </c>
      <c r="O6" s="56">
        <v>42583</v>
      </c>
      <c r="P6" s="56">
        <v>42614</v>
      </c>
    </row>
    <row r="7" spans="1:16" ht="15" x14ac:dyDescent="0.25">
      <c r="A7" s="394">
        <f>ROW()-6</f>
        <v>1</v>
      </c>
      <c r="B7" s="394">
        <v>7</v>
      </c>
      <c r="C7" t="s">
        <v>0</v>
      </c>
      <c r="D7" s="395">
        <f ca="1">SUM(E7:P7)</f>
        <v>10442426485.066896</v>
      </c>
      <c r="E7" s="395">
        <f ca="1">+'[56]Tariff 7'!E16</f>
        <v>788389063.69857621</v>
      </c>
      <c r="F7" s="395">
        <f ca="1">+'[56]Tariff 7'!F16</f>
        <v>1028566034.8299937</v>
      </c>
      <c r="G7" s="395">
        <f ca="1">+'[56]Tariff 7'!G16</f>
        <v>1248946353.8319292</v>
      </c>
      <c r="H7" s="395">
        <f ca="1">+'[56]Tariff 7'!H16</f>
        <v>1225806465.9287825</v>
      </c>
      <c r="I7" s="395">
        <f ca="1">+'[56]Tariff 7'!I16</f>
        <v>1038920912.9571128</v>
      </c>
      <c r="J7" s="395">
        <f ca="1">+'[56]Tariff 7'!J16</f>
        <v>1001139736.2453095</v>
      </c>
      <c r="K7" s="395">
        <f ca="1">+'[56]Tariff 7'!K16</f>
        <v>795874664.78726423</v>
      </c>
      <c r="L7" s="395">
        <f ca="1">+'[56]Tariff 7'!L16</f>
        <v>715559108.06809902</v>
      </c>
      <c r="M7" s="395">
        <f ca="1">+'[56]Tariff 7'!M16</f>
        <v>618674823.07889044</v>
      </c>
      <c r="N7" s="395">
        <f ca="1">+'[56]Tariff 7'!N16</f>
        <v>693231423.69833016</v>
      </c>
      <c r="O7" s="395">
        <f ca="1">+'[56]Tariff 7'!O16</f>
        <v>671821991.57801056</v>
      </c>
      <c r="P7" s="395">
        <f ca="1">+'[56]Tariff 7'!P16</f>
        <v>615495906.36459756</v>
      </c>
    </row>
    <row r="8" spans="1:16" ht="15" x14ac:dyDescent="0.25">
      <c r="A8" s="394">
        <f t="shared" ref="A8:A45" si="0">ROW()-6</f>
        <v>2</v>
      </c>
      <c r="B8" s="394" t="s">
        <v>51</v>
      </c>
      <c r="C8" s="247" t="s">
        <v>252</v>
      </c>
      <c r="D8" s="395">
        <f ca="1">SUM(E8:P8)</f>
        <v>2530848</v>
      </c>
      <c r="E8" s="395">
        <f ca="1">+'[56]Tariff 7A'!E14</f>
        <v>186387</v>
      </c>
      <c r="F8" s="395">
        <f ca="1">+'[56]Tariff 7A'!F14</f>
        <v>224606</v>
      </c>
      <c r="G8" s="395">
        <f ca="1">+'[56]Tariff 7A'!G14</f>
        <v>264188</v>
      </c>
      <c r="H8" s="395">
        <f ca="1">+'[56]Tariff 7A'!H14</f>
        <v>252203</v>
      </c>
      <c r="I8" s="395">
        <f ca="1">+'[56]Tariff 7A'!I14</f>
        <v>208180</v>
      </c>
      <c r="J8" s="395">
        <f ca="1">+'[56]Tariff 7A'!J14</f>
        <v>204824</v>
      </c>
      <c r="K8" s="395">
        <f ca="1">+'[56]Tariff 7A'!K14</f>
        <v>151818.66666666666</v>
      </c>
      <c r="L8" s="395">
        <f ca="1">+'[56]Tariff 7A'!L14</f>
        <v>43551.333333333343</v>
      </c>
      <c r="M8" s="395">
        <f ca="1">+'[56]Tariff 7A'!M14</f>
        <v>359958</v>
      </c>
      <c r="N8" s="395">
        <f ca="1">+'[56]Tariff 7A'!N14</f>
        <v>216736</v>
      </c>
      <c r="O8" s="395">
        <f ca="1">+'[56]Tariff 7A'!O14</f>
        <v>233522</v>
      </c>
      <c r="P8" s="395">
        <f ca="1">+'[56]Tariff 7A'!P14</f>
        <v>184874</v>
      </c>
    </row>
    <row r="9" spans="1:16" ht="15" x14ac:dyDescent="0.25">
      <c r="A9" s="394">
        <f t="shared" si="0"/>
        <v>3</v>
      </c>
      <c r="B9" s="434" t="s">
        <v>42</v>
      </c>
      <c r="C9" s="434"/>
      <c r="D9" s="395">
        <f ca="1">SUM(D7:D8)</f>
        <v>10444957333.066896</v>
      </c>
      <c r="E9" s="395">
        <f t="shared" ref="E9:P9" ca="1" si="1">SUM(E7:E8)</f>
        <v>788575450.69857621</v>
      </c>
      <c r="F9" s="395">
        <f t="shared" ca="1" si="1"/>
        <v>1028790640.8299937</v>
      </c>
      <c r="G9" s="395">
        <f t="shared" ca="1" si="1"/>
        <v>1249210541.8319292</v>
      </c>
      <c r="H9" s="395">
        <f t="shared" ca="1" si="1"/>
        <v>1226058668.9287825</v>
      </c>
      <c r="I9" s="395">
        <f t="shared" ca="1" si="1"/>
        <v>1039129092.9571128</v>
      </c>
      <c r="J9" s="395">
        <f t="shared" ca="1" si="1"/>
        <v>1001344560.2453095</v>
      </c>
      <c r="K9" s="395">
        <f t="shared" ca="1" si="1"/>
        <v>796026483.45393085</v>
      </c>
      <c r="L9" s="395">
        <f t="shared" ca="1" si="1"/>
        <v>715602659.40143239</v>
      </c>
      <c r="M9" s="395">
        <f t="shared" ca="1" si="1"/>
        <v>619034781.07889044</v>
      </c>
      <c r="N9" s="395">
        <f t="shared" ca="1" si="1"/>
        <v>693448159.69833016</v>
      </c>
      <c r="O9" s="395">
        <f t="shared" ca="1" si="1"/>
        <v>672055513.57801056</v>
      </c>
      <c r="P9" s="395">
        <f t="shared" ca="1" si="1"/>
        <v>615680780.36459756</v>
      </c>
    </row>
    <row r="10" spans="1:16" ht="15" x14ac:dyDescent="0.25">
      <c r="A10" s="394">
        <f t="shared" si="0"/>
        <v>4</v>
      </c>
      <c r="B10"/>
      <c r="C10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  <c r="O10" s="395"/>
      <c r="P10" s="395"/>
    </row>
    <row r="11" spans="1:16" ht="15" x14ac:dyDescent="0.25">
      <c r="A11" s="394">
        <f t="shared" si="0"/>
        <v>5</v>
      </c>
      <c r="B11" s="396" t="s">
        <v>253</v>
      </c>
      <c r="C11" t="s">
        <v>254</v>
      </c>
      <c r="D11" s="395">
        <f t="shared" ref="D11:D26" ca="1" si="2">SUM(E11:P11)</f>
        <v>2787584113.8710937</v>
      </c>
      <c r="E11" s="395">
        <f ca="1">+'[56]Tariff 24'!E20</f>
        <v>215710510.70449299</v>
      </c>
      <c r="F11" s="395">
        <f ca="1">+'[56]Tariff 24'!F20</f>
        <v>233750370.5283455</v>
      </c>
      <c r="G11" s="395">
        <f ca="1">+'[56]Tariff 24'!G20</f>
        <v>269174607.97716194</v>
      </c>
      <c r="H11" s="395">
        <f ca="1">+'[56]Tariff 24'!H20</f>
        <v>281640441.24406934</v>
      </c>
      <c r="I11" s="395">
        <f ca="1">+'[56]Tariff 24'!I20</f>
        <v>229077398.29324535</v>
      </c>
      <c r="J11" s="395">
        <f ca="1">+'[56]Tariff 24'!J20</f>
        <v>253484969.25955233</v>
      </c>
      <c r="K11" s="395">
        <f ca="1">+'[56]Tariff 24'!K20</f>
        <v>204141936.02314135</v>
      </c>
      <c r="L11" s="395">
        <f ca="1">+'[56]Tariff 24'!L20</f>
        <v>220142117.8939862</v>
      </c>
      <c r="M11" s="395">
        <f ca="1">+'[56]Tariff 24'!M20</f>
        <v>204102525.23337504</v>
      </c>
      <c r="N11" s="395">
        <f ca="1">+'[56]Tariff 24'!N20</f>
        <v>225364756.61116701</v>
      </c>
      <c r="O11" s="395">
        <f ca="1">+'[56]Tariff 24'!O20</f>
        <v>235005860.14518324</v>
      </c>
      <c r="P11" s="395">
        <f ca="1">+'[56]Tariff 24'!P20</f>
        <v>215988619.95737374</v>
      </c>
    </row>
    <row r="12" spans="1:16" ht="15" x14ac:dyDescent="0.25">
      <c r="A12" s="394">
        <f t="shared" si="0"/>
        <v>6</v>
      </c>
      <c r="B12" s="397" t="s">
        <v>255</v>
      </c>
      <c r="C12" s="247" t="s">
        <v>256</v>
      </c>
      <c r="D12" s="395">
        <f t="shared" ca="1" si="2"/>
        <v>2836928109.4718885</v>
      </c>
      <c r="E12" s="395">
        <f ca="1">+'[56]Tariff 25'!E19</f>
        <v>230957617.26316127</v>
      </c>
      <c r="F12" s="395">
        <f ca="1">+'[56]Tariff 25'!F19</f>
        <v>234344320.96242312</v>
      </c>
      <c r="G12" s="395">
        <f ca="1">+'[56]Tariff 25'!G19</f>
        <v>265091061.17093679</v>
      </c>
      <c r="H12" s="395">
        <f ca="1">+'[56]Tariff 25'!H19</f>
        <v>253003850.89031228</v>
      </c>
      <c r="I12" s="395">
        <f ca="1">+'[56]Tariff 25'!I19</f>
        <v>231949219.05921569</v>
      </c>
      <c r="J12" s="395">
        <f ca="1">+'[56]Tariff 25'!J19</f>
        <v>255012360.21982524</v>
      </c>
      <c r="K12" s="395">
        <f ca="1">+'[56]Tariff 25'!K19</f>
        <v>204172913.40056416</v>
      </c>
      <c r="L12" s="395">
        <f ca="1">+'[56]Tariff 25'!L19</f>
        <v>217091048.63104883</v>
      </c>
      <c r="M12" s="395">
        <f ca="1">+'[56]Tariff 25'!M19</f>
        <v>234815782.30494633</v>
      </c>
      <c r="N12" s="395">
        <f ca="1">+'[56]Tariff 25'!N19</f>
        <v>238882137.3704122</v>
      </c>
      <c r="O12" s="395">
        <f ca="1">+'[56]Tariff 25'!O19</f>
        <v>227833243.08518243</v>
      </c>
      <c r="P12" s="395">
        <f ca="1">+'[56]Tariff 25'!P19</f>
        <v>243774555.11386013</v>
      </c>
    </row>
    <row r="13" spans="1:16" ht="15" x14ac:dyDescent="0.25">
      <c r="A13" s="394">
        <f t="shared" si="0"/>
        <v>7</v>
      </c>
      <c r="B13" s="397" t="s">
        <v>257</v>
      </c>
      <c r="C13" s="247" t="s">
        <v>258</v>
      </c>
      <c r="D13" s="395">
        <f t="shared" ca="1" si="2"/>
        <v>1878822444.3816462</v>
      </c>
      <c r="E13" s="395">
        <f ca="1">+'[56]Tariff 26'!E18</f>
        <v>156520796.95407352</v>
      </c>
      <c r="F13" s="395">
        <f ca="1">+'[56]Tariff 26'!F18</f>
        <v>153493925.22492501</v>
      </c>
      <c r="G13" s="395">
        <f ca="1">+'[56]Tariff 26'!G18</f>
        <v>165388665.69247249</v>
      </c>
      <c r="H13" s="395">
        <f ca="1">+'[56]Tariff 26'!H18</f>
        <v>154124686.34980652</v>
      </c>
      <c r="I13" s="395">
        <f ca="1">+'[56]Tariff 26'!I18</f>
        <v>147927273.11820722</v>
      </c>
      <c r="J13" s="395">
        <f ca="1">+'[56]Tariff 26'!J18</f>
        <v>154413376.86746776</v>
      </c>
      <c r="K13" s="395">
        <f ca="1">+'[56]Tariff 26'!K18</f>
        <v>150359140.90693125</v>
      </c>
      <c r="L13" s="395">
        <f ca="1">+'[56]Tariff 26'!L18</f>
        <v>137050894.28021634</v>
      </c>
      <c r="M13" s="395">
        <f ca="1">+'[56]Tariff 26'!M18</f>
        <v>170963320.99076775</v>
      </c>
      <c r="N13" s="395">
        <f ca="1">+'[56]Tariff 26'!N18</f>
        <v>167170572.0508343</v>
      </c>
      <c r="O13" s="395">
        <f ca="1">+'[56]Tariff 26'!O18</f>
        <v>160342817.62628406</v>
      </c>
      <c r="P13" s="395">
        <f ca="1">+'[56]Tariff 26'!P18</f>
        <v>161066974.31965962</v>
      </c>
    </row>
    <row r="14" spans="1:16" ht="15" x14ac:dyDescent="0.25">
      <c r="A14" s="394">
        <f t="shared" si="0"/>
        <v>8</v>
      </c>
      <c r="B14" s="397" t="s">
        <v>44</v>
      </c>
      <c r="C14" s="247" t="s">
        <v>259</v>
      </c>
      <c r="D14" s="395">
        <f t="shared" ca="1" si="2"/>
        <v>13232300</v>
      </c>
      <c r="E14" s="395">
        <f ca="1">+'[56]Tariff 26P'!E12</f>
        <v>1043200</v>
      </c>
      <c r="F14" s="395">
        <f ca="1">+'[56]Tariff 26P'!F12</f>
        <v>-1522500</v>
      </c>
      <c r="G14" s="395">
        <f ca="1">+'[56]Tariff 26P'!G12</f>
        <v>4001000</v>
      </c>
      <c r="H14" s="395">
        <f ca="1">+'[56]Tariff 26P'!H12</f>
        <v>326700</v>
      </c>
      <c r="I14" s="395">
        <f ca="1">+'[56]Tariff 26P'!I12</f>
        <v>2315100</v>
      </c>
      <c r="J14" s="395">
        <f ca="1">+'[56]Tariff 26P'!J12</f>
        <v>1170900</v>
      </c>
      <c r="K14" s="395">
        <f ca="1">+'[56]Tariff 26P'!K12</f>
        <v>763000</v>
      </c>
      <c r="L14" s="395">
        <f ca="1">+'[56]Tariff 26P'!L12</f>
        <v>0</v>
      </c>
      <c r="M14" s="395">
        <f ca="1">+'[56]Tariff 26P'!M12</f>
        <v>1320900</v>
      </c>
      <c r="N14" s="395">
        <f ca="1">+'[56]Tariff 26P'!N12</f>
        <v>1118700</v>
      </c>
      <c r="O14" s="395">
        <f ca="1">+'[56]Tariff 26P'!O12</f>
        <v>1754900</v>
      </c>
      <c r="P14" s="395">
        <f ca="1">+'[56]Tariff 26P'!P12</f>
        <v>940400</v>
      </c>
    </row>
    <row r="15" spans="1:16" ht="15" x14ac:dyDescent="0.25">
      <c r="A15" s="394">
        <f t="shared" si="0"/>
        <v>9</v>
      </c>
      <c r="B15" s="394">
        <v>29</v>
      </c>
      <c r="C15" t="s">
        <v>260</v>
      </c>
      <c r="D15" s="395">
        <f t="shared" ca="1" si="2"/>
        <v>14326829.389192818</v>
      </c>
      <c r="E15" s="395">
        <f ca="1">+'[56]Tariff 29'!E18</f>
        <v>355044.79382672033</v>
      </c>
      <c r="F15" s="395">
        <f ca="1">+'[56]Tariff 29'!F18</f>
        <v>311574.04639389709</v>
      </c>
      <c r="G15" s="395">
        <f ca="1">+'[56]Tariff 29'!G18</f>
        <v>426572.75880937552</v>
      </c>
      <c r="H15" s="395">
        <f ca="1">+'[56]Tariff 29'!H18</f>
        <v>231144.09494143631</v>
      </c>
      <c r="I15" s="395">
        <f ca="1">+'[56]Tariff 29'!I18</f>
        <v>309268.2396042769</v>
      </c>
      <c r="J15" s="395">
        <f ca="1">+'[56]Tariff 29'!J18</f>
        <v>165319.2869411725</v>
      </c>
      <c r="K15" s="395">
        <f ca="1">+'[56]Tariff 29'!K18</f>
        <v>615258.4868407693</v>
      </c>
      <c r="L15" s="395">
        <f ca="1">+'[56]Tariff 29'!L18</f>
        <v>3094654.959494072</v>
      </c>
      <c r="M15" s="395">
        <f ca="1">+'[56]Tariff 29'!M18</f>
        <v>805968.18113837903</v>
      </c>
      <c r="N15" s="395">
        <f ca="1">+'[56]Tariff 29'!N18</f>
        <v>3527356.3994582877</v>
      </c>
      <c r="O15" s="395">
        <f ca="1">+'[56]Tariff 29'!O18</f>
        <v>3121560.4136990095</v>
      </c>
      <c r="P15" s="395">
        <f ca="1">+'[56]Tariff 29'!P18</f>
        <v>1363107.7280454212</v>
      </c>
    </row>
    <row r="16" spans="1:16" ht="15" x14ac:dyDescent="0.25">
      <c r="A16" s="394">
        <f t="shared" si="0"/>
        <v>10</v>
      </c>
      <c r="B16" s="434" t="s">
        <v>45</v>
      </c>
      <c r="C16" s="434"/>
      <c r="D16" s="395">
        <f ca="1">SUM(D11:D15)</f>
        <v>7530893797.113821</v>
      </c>
      <c r="E16" s="395">
        <f t="shared" ref="E16:P16" ca="1" si="3">SUM(E11:E15)</f>
        <v>604587169.71555448</v>
      </c>
      <c r="F16" s="395">
        <f t="shared" ca="1" si="3"/>
        <v>620377690.76208746</v>
      </c>
      <c r="G16" s="395">
        <f t="shared" ca="1" si="3"/>
        <v>704081907.59938049</v>
      </c>
      <c r="H16" s="395">
        <f t="shared" ca="1" si="3"/>
        <v>689326822.57912958</v>
      </c>
      <c r="I16" s="395">
        <f t="shared" ca="1" si="3"/>
        <v>611578258.71027255</v>
      </c>
      <c r="J16" s="395">
        <f t="shared" ca="1" si="3"/>
        <v>664246925.63378656</v>
      </c>
      <c r="K16" s="395">
        <f t="shared" ca="1" si="3"/>
        <v>560052248.81747746</v>
      </c>
      <c r="L16" s="395">
        <f t="shared" ca="1" si="3"/>
        <v>577378715.76474547</v>
      </c>
      <c r="M16" s="395">
        <f t="shared" ca="1" si="3"/>
        <v>612008496.71022749</v>
      </c>
      <c r="N16" s="395">
        <f t="shared" ca="1" si="3"/>
        <v>636063522.43187177</v>
      </c>
      <c r="O16" s="395">
        <f t="shared" ca="1" si="3"/>
        <v>628058381.27034867</v>
      </c>
      <c r="P16" s="395">
        <f t="shared" ca="1" si="3"/>
        <v>623133657.11893892</v>
      </c>
    </row>
    <row r="17" spans="1:16" ht="15" x14ac:dyDescent="0.25">
      <c r="A17" s="394">
        <f t="shared" si="0"/>
        <v>11</v>
      </c>
      <c r="B17"/>
      <c r="C17"/>
      <c r="D17" s="395"/>
      <c r="E17" s="395"/>
      <c r="F17" s="395"/>
      <c r="G17" s="395"/>
      <c r="H17" s="395"/>
      <c r="I17" s="395"/>
      <c r="J17" s="395"/>
      <c r="K17" s="395"/>
      <c r="L17" s="395"/>
      <c r="M17" s="395"/>
      <c r="N17" s="395"/>
      <c r="O17" s="395"/>
      <c r="P17" s="395"/>
    </row>
    <row r="18" spans="1:16" ht="15" x14ac:dyDescent="0.25">
      <c r="A18" s="394">
        <f t="shared" si="0"/>
        <v>12</v>
      </c>
      <c r="B18" s="396" t="s">
        <v>261</v>
      </c>
      <c r="C18" t="s">
        <v>262</v>
      </c>
      <c r="D18" s="395">
        <f t="shared" ca="1" si="2"/>
        <v>1284401574.4586966</v>
      </c>
      <c r="E18" s="395">
        <f ca="1">+'[56]Tariff 31'!E15</f>
        <v>106565055.36138692</v>
      </c>
      <c r="F18" s="395">
        <f ca="1">+'[56]Tariff 31'!F15</f>
        <v>103524461.90904701</v>
      </c>
      <c r="G18" s="395">
        <f ca="1">+'[56]Tariff 31'!G15</f>
        <v>113212345.64403586</v>
      </c>
      <c r="H18" s="395">
        <f ca="1">+'[56]Tariff 31'!H15</f>
        <v>104846532.38647696</v>
      </c>
      <c r="I18" s="395">
        <f ca="1">+'[56]Tariff 31'!I15</f>
        <v>112799481.29066783</v>
      </c>
      <c r="J18" s="395">
        <f ca="1">+'[56]Tariff 31'!J15</f>
        <v>106235133.21365285</v>
      </c>
      <c r="K18" s="395">
        <f ca="1">+'[56]Tariff 31'!K15</f>
        <v>95566793.209115341</v>
      </c>
      <c r="L18" s="395">
        <f ca="1">+'[56]Tariff 31'!L15</f>
        <v>88670200.915264264</v>
      </c>
      <c r="M18" s="395">
        <f ca="1">+'[56]Tariff 31'!M15</f>
        <v>115990767.48060417</v>
      </c>
      <c r="N18" s="395">
        <f ca="1">+'[56]Tariff 31'!N15</f>
        <v>111249832.76293805</v>
      </c>
      <c r="O18" s="395">
        <f ca="1">+'[56]Tariff 31'!O15</f>
        <v>115523001.3090072</v>
      </c>
      <c r="P18" s="395">
        <f ca="1">+'[56]Tariff 31'!P15</f>
        <v>110217968.9765002</v>
      </c>
    </row>
    <row r="19" spans="1:16" ht="15" x14ac:dyDescent="0.25">
      <c r="A19" s="394">
        <f t="shared" si="0"/>
        <v>13</v>
      </c>
      <c r="B19" s="394">
        <v>35</v>
      </c>
      <c r="C19" t="s">
        <v>260</v>
      </c>
      <c r="D19" s="395">
        <f t="shared" ca="1" si="2"/>
        <v>4452600</v>
      </c>
      <c r="E19" s="395">
        <f ca="1">+'[56]Tariff 35'!E12</f>
        <v>782400</v>
      </c>
      <c r="F19" s="395">
        <f ca="1">+'[56]Tariff 35'!F12</f>
        <v>-776400</v>
      </c>
      <c r="G19" s="395">
        <f ca="1">+'[56]Tariff 35'!G12</f>
        <v>3600</v>
      </c>
      <c r="H19" s="395">
        <f ca="1">+'[56]Tariff 35'!H12</f>
        <v>3000</v>
      </c>
      <c r="I19" s="395">
        <f ca="1">+'[56]Tariff 35'!I12</f>
        <v>2400</v>
      </c>
      <c r="J19" s="395">
        <f ca="1">+'[56]Tariff 35'!J12</f>
        <v>3600</v>
      </c>
      <c r="K19" s="395">
        <f ca="1">+'[56]Tariff 35'!K12</f>
        <v>299400</v>
      </c>
      <c r="L19" s="395">
        <f ca="1">+'[56]Tariff 35'!L12</f>
        <v>802200</v>
      </c>
      <c r="M19" s="395">
        <f ca="1">+'[56]Tariff 35'!M12</f>
        <v>811200</v>
      </c>
      <c r="N19" s="395">
        <f ca="1">+'[56]Tariff 35'!N12</f>
        <v>912600</v>
      </c>
      <c r="O19" s="395">
        <f ca="1">+'[56]Tariff 35'!O12</f>
        <v>848400</v>
      </c>
      <c r="P19" s="395">
        <f ca="1">+'[56]Tariff 35'!P12</f>
        <v>760200</v>
      </c>
    </row>
    <row r="20" spans="1:16" ht="15" x14ac:dyDescent="0.25">
      <c r="A20" s="394">
        <f t="shared" si="0"/>
        <v>14</v>
      </c>
      <c r="B20" s="394">
        <v>43</v>
      </c>
      <c r="C20" t="s">
        <v>263</v>
      </c>
      <c r="D20" s="395">
        <f t="shared" ca="1" si="2"/>
        <v>119660401.46477678</v>
      </c>
      <c r="E20" s="395">
        <f ca="1">+'[56]Tariff 43'!E12</f>
        <v>9337075.4695151523</v>
      </c>
      <c r="F20" s="395">
        <f ca="1">+'[56]Tariff 43'!F12</f>
        <v>12485354.643910935</v>
      </c>
      <c r="G20" s="395">
        <f ca="1">+'[56]Tariff 43'!G12</f>
        <v>15850434.107288616</v>
      </c>
      <c r="H20" s="395">
        <f ca="1">+'[56]Tariff 43'!H12</f>
        <v>14123147.660224725</v>
      </c>
      <c r="I20" s="395">
        <f ca="1">+'[56]Tariff 43'!I12</f>
        <v>12927959.375655247</v>
      </c>
      <c r="J20" s="395">
        <f ca="1">+'[56]Tariff 43'!J12</f>
        <v>13179188.19975958</v>
      </c>
      <c r="K20" s="395">
        <f ca="1">+'[56]Tariff 43'!K12</f>
        <v>8623983.9683423489</v>
      </c>
      <c r="L20" s="395">
        <f ca="1">+'[56]Tariff 43'!L12</f>
        <v>7590553.5698564323</v>
      </c>
      <c r="M20" s="395">
        <f ca="1">+'[56]Tariff 43'!M12</f>
        <v>6694592.3161879135</v>
      </c>
      <c r="N20" s="395">
        <f ca="1">+'[56]Tariff 43'!N12</f>
        <v>5879296.8919463623</v>
      </c>
      <c r="O20" s="395">
        <f ca="1">+'[56]Tariff 43'!O12</f>
        <v>5535078.0361081427</v>
      </c>
      <c r="P20" s="395">
        <f ca="1">+'[56]Tariff 43'!P12</f>
        <v>7433737.2259813203</v>
      </c>
    </row>
    <row r="21" spans="1:16" ht="15" x14ac:dyDescent="0.25">
      <c r="A21" s="394">
        <f t="shared" si="0"/>
        <v>15</v>
      </c>
      <c r="B21" s="434" t="s">
        <v>47</v>
      </c>
      <c r="C21" s="434"/>
      <c r="D21" s="395">
        <f ca="1">SUM(D18:D20)</f>
        <v>1408514575.9234734</v>
      </c>
      <c r="E21" s="395">
        <f t="shared" ref="E21:P21" ca="1" si="4">SUM(E18:E20)</f>
        <v>116684530.83090207</v>
      </c>
      <c r="F21" s="395">
        <f t="shared" ca="1" si="4"/>
        <v>115233416.55295794</v>
      </c>
      <c r="G21" s="395">
        <f t="shared" ca="1" si="4"/>
        <v>129066379.75132447</v>
      </c>
      <c r="H21" s="395">
        <f t="shared" ca="1" si="4"/>
        <v>118972680.04670168</v>
      </c>
      <c r="I21" s="395">
        <f t="shared" ca="1" si="4"/>
        <v>125729840.66632308</v>
      </c>
      <c r="J21" s="395">
        <f t="shared" ca="1" si="4"/>
        <v>119417921.41341242</v>
      </c>
      <c r="K21" s="395">
        <f t="shared" ca="1" si="4"/>
        <v>104490177.17745769</v>
      </c>
      <c r="L21" s="395">
        <f t="shared" ca="1" si="4"/>
        <v>97062954.485120699</v>
      </c>
      <c r="M21" s="395">
        <f t="shared" ca="1" si="4"/>
        <v>123496559.79679209</v>
      </c>
      <c r="N21" s="395">
        <f t="shared" ca="1" si="4"/>
        <v>118041729.65488441</v>
      </c>
      <c r="O21" s="395">
        <f t="shared" ca="1" si="4"/>
        <v>121906479.34511533</v>
      </c>
      <c r="P21" s="395">
        <f t="shared" ca="1" si="4"/>
        <v>118411906.20248152</v>
      </c>
    </row>
    <row r="22" spans="1:16" ht="15" x14ac:dyDescent="0.25">
      <c r="A22" s="394">
        <f t="shared" si="0"/>
        <v>16</v>
      </c>
      <c r="B22"/>
      <c r="C22"/>
      <c r="D22" s="395"/>
      <c r="E22" s="395"/>
      <c r="F22" s="395"/>
      <c r="G22" s="395"/>
      <c r="H22" s="395"/>
      <c r="I22" s="395"/>
      <c r="J22" s="395"/>
      <c r="K22" s="395"/>
      <c r="L22" s="395"/>
      <c r="M22" s="395"/>
      <c r="N22" s="395"/>
      <c r="O22" s="395"/>
      <c r="P22" s="395"/>
    </row>
    <row r="23" spans="1:16" ht="15" x14ac:dyDescent="0.25">
      <c r="A23" s="394">
        <f t="shared" si="0"/>
        <v>17</v>
      </c>
      <c r="B23" s="394">
        <v>40</v>
      </c>
      <c r="C23" t="s">
        <v>264</v>
      </c>
      <c r="D23" s="395">
        <f t="shared" ca="1" si="2"/>
        <v>621678726.33913088</v>
      </c>
      <c r="E23" s="395">
        <f ca="1">+'[56]Tariff 40'!E22</f>
        <v>53144004.08998695</v>
      </c>
      <c r="F23" s="395">
        <f ca="1">+'[56]Tariff 40'!F22</f>
        <v>48441755.184000134</v>
      </c>
      <c r="G23" s="395">
        <f ca="1">+'[56]Tariff 40'!G22</f>
        <v>56839388.722935259</v>
      </c>
      <c r="H23" s="395">
        <f ca="1">+'[56]Tariff 40'!H22</f>
        <v>57172868.537418649</v>
      </c>
      <c r="I23" s="395">
        <f ca="1">+'[56]Tariff 40'!I22</f>
        <v>44963441.933640912</v>
      </c>
      <c r="J23" s="395">
        <f ca="1">+'[56]Tariff 40'!J22</f>
        <v>45820828.074154593</v>
      </c>
      <c r="K23" s="395">
        <f ca="1">+'[56]Tariff 40'!K22</f>
        <v>45739724.977565609</v>
      </c>
      <c r="L23" s="395">
        <f ca="1">+'[56]Tariff 40'!L22</f>
        <v>58590734.122435242</v>
      </c>
      <c r="M23" s="395">
        <f ca="1">+'[56]Tariff 40'!M22</f>
        <v>49835181.137705147</v>
      </c>
      <c r="N23" s="395">
        <f ca="1">+'[56]Tariff 40'!N22</f>
        <v>50172203.627229638</v>
      </c>
      <c r="O23" s="395">
        <f ca="1">+'[56]Tariff 40'!O22</f>
        <v>64817278.500200994</v>
      </c>
      <c r="P23" s="395">
        <f ca="1">+'[56]Tariff 40'!P22</f>
        <v>46141317.431857787</v>
      </c>
    </row>
    <row r="24" spans="1:16" ht="15" x14ac:dyDescent="0.25">
      <c r="A24" s="394">
        <f t="shared" si="0"/>
        <v>18</v>
      </c>
      <c r="B24"/>
      <c r="C24"/>
      <c r="D24" s="395"/>
      <c r="E24" s="395"/>
      <c r="F24" s="395"/>
      <c r="G24" s="395"/>
      <c r="H24" s="395"/>
      <c r="I24" s="395"/>
      <c r="J24" s="395"/>
      <c r="K24" s="395"/>
      <c r="L24" s="395"/>
      <c r="M24" s="395"/>
      <c r="N24" s="395"/>
      <c r="O24" s="395"/>
      <c r="P24" s="395"/>
    </row>
    <row r="25" spans="1:16" ht="15" x14ac:dyDescent="0.25">
      <c r="A25" s="394">
        <f t="shared" si="0"/>
        <v>19</v>
      </c>
      <c r="B25" s="394">
        <v>46</v>
      </c>
      <c r="C25" s="247" t="s">
        <v>265</v>
      </c>
      <c r="D25" s="395">
        <f t="shared" ca="1" si="2"/>
        <v>64275357.697999991</v>
      </c>
      <c r="E25" s="395">
        <f ca="1">+'[56]Tariff 46'!E12</f>
        <v>5929499</v>
      </c>
      <c r="F25" s="395">
        <f ca="1">+'[56]Tariff 46'!F12</f>
        <v>11395712</v>
      </c>
      <c r="G25" s="395">
        <f ca="1">+'[56]Tariff 46'!G12</f>
        <v>4434417</v>
      </c>
      <c r="H25" s="395">
        <f ca="1">+'[56]Tariff 46'!H12</f>
        <v>2497569</v>
      </c>
      <c r="I25" s="395">
        <f ca="1">+'[56]Tariff 46'!I12</f>
        <v>6617739.7769999998</v>
      </c>
      <c r="J25" s="395">
        <f ca="1">+'[56]Tariff 46'!J12</f>
        <v>1740893.2230000002</v>
      </c>
      <c r="K25" s="395">
        <f ca="1">+'[56]Tariff 46'!K12</f>
        <v>7058841</v>
      </c>
      <c r="L25" s="395">
        <f ca="1">+'[56]Tariff 46'!L12</f>
        <v>6233064</v>
      </c>
      <c r="M25" s="395">
        <f ca="1">+'[56]Tariff 46'!M12</f>
        <v>4103891</v>
      </c>
      <c r="N25" s="395">
        <f ca="1">+'[56]Tariff 46'!N12</f>
        <v>4834580</v>
      </c>
      <c r="O25" s="395">
        <f ca="1">+'[56]Tariff 46'!O12</f>
        <v>3971862.6979999915</v>
      </c>
      <c r="P25" s="395">
        <f ca="1">+'[56]Tariff 46'!P12</f>
        <v>5457289</v>
      </c>
    </row>
    <row r="26" spans="1:16" ht="15" x14ac:dyDescent="0.25">
      <c r="A26" s="394">
        <f t="shared" si="0"/>
        <v>20</v>
      </c>
      <c r="B26" s="394">
        <v>49</v>
      </c>
      <c r="C26" t="s">
        <v>262</v>
      </c>
      <c r="D26" s="395">
        <f t="shared" ca="1" si="2"/>
        <v>567983859</v>
      </c>
      <c r="E26" s="395">
        <f ca="1">+'[56]Tariff 49'!E10</f>
        <v>49551390</v>
      </c>
      <c r="F26" s="395">
        <f ca="1">+'[56]Tariff 49'!F10</f>
        <v>74570548.046999991</v>
      </c>
      <c r="G26" s="395">
        <f ca="1">+'[56]Tariff 49'!G10</f>
        <v>16078171.793000001</v>
      </c>
      <c r="H26" s="395">
        <f ca="1">+'[56]Tariff 49'!H10</f>
        <v>51561516.159999996</v>
      </c>
      <c r="I26" s="395">
        <f ca="1">+'[56]Tariff 49'!I10</f>
        <v>89295334.787</v>
      </c>
      <c r="J26" s="395">
        <f ca="1">+'[56]Tariff 49'!J10</f>
        <v>7444497.2130000032</v>
      </c>
      <c r="K26" s="395">
        <f ca="1">+'[56]Tariff 49'!K10</f>
        <v>39924274</v>
      </c>
      <c r="L26" s="395">
        <f ca="1">+'[56]Tariff 49'!L10</f>
        <v>43936996</v>
      </c>
      <c r="M26" s="395">
        <f ca="1">+'[56]Tariff 49'!M10</f>
        <v>47284949</v>
      </c>
      <c r="N26" s="395">
        <f ca="1">+'[56]Tariff 49'!N10</f>
        <v>49438522</v>
      </c>
      <c r="O26" s="395">
        <f ca="1">+'[56]Tariff 49'!O10</f>
        <v>42063164</v>
      </c>
      <c r="P26" s="395">
        <f ca="1">+'[56]Tariff 49'!P10</f>
        <v>56834496</v>
      </c>
    </row>
    <row r="27" spans="1:16" ht="15" x14ac:dyDescent="0.25">
      <c r="A27" s="394">
        <f t="shared" si="0"/>
        <v>21</v>
      </c>
      <c r="B27" s="434" t="s">
        <v>48</v>
      </c>
      <c r="C27" s="434"/>
      <c r="D27" s="395">
        <f ca="1">SUM(D25:D26)</f>
        <v>632259216.69799995</v>
      </c>
      <c r="E27" s="395">
        <f t="shared" ref="E27:P27" ca="1" si="5">SUM(E25:E26)</f>
        <v>55480889</v>
      </c>
      <c r="F27" s="395">
        <f t="shared" ca="1" si="5"/>
        <v>85966260.046999991</v>
      </c>
      <c r="G27" s="395">
        <f t="shared" ca="1" si="5"/>
        <v>20512588.793000001</v>
      </c>
      <c r="H27" s="395">
        <f t="shared" ca="1" si="5"/>
        <v>54059085.159999996</v>
      </c>
      <c r="I27" s="395">
        <f t="shared" ca="1" si="5"/>
        <v>95913074.563999996</v>
      </c>
      <c r="J27" s="395">
        <f t="shared" ca="1" si="5"/>
        <v>9185390.4360000044</v>
      </c>
      <c r="K27" s="395">
        <f t="shared" ca="1" si="5"/>
        <v>46983115</v>
      </c>
      <c r="L27" s="395">
        <f t="shared" ca="1" si="5"/>
        <v>50170060</v>
      </c>
      <c r="M27" s="395">
        <f t="shared" ca="1" si="5"/>
        <v>51388840</v>
      </c>
      <c r="N27" s="395">
        <f t="shared" ca="1" si="5"/>
        <v>54273102</v>
      </c>
      <c r="O27" s="395">
        <f t="shared" ca="1" si="5"/>
        <v>46035026.697999991</v>
      </c>
      <c r="P27" s="395">
        <f t="shared" ca="1" si="5"/>
        <v>62291785</v>
      </c>
    </row>
    <row r="28" spans="1:16" ht="15" x14ac:dyDescent="0.25">
      <c r="A28" s="394">
        <f t="shared" si="0"/>
        <v>22</v>
      </c>
      <c r="B28"/>
      <c r="C28"/>
      <c r="D28" s="395"/>
      <c r="E28" s="395"/>
      <c r="F28" s="395"/>
      <c r="G28" s="395"/>
      <c r="H28" s="395"/>
      <c r="I28" s="395"/>
      <c r="J28" s="395"/>
      <c r="K28" s="395"/>
      <c r="L28" s="395"/>
      <c r="M28" s="395"/>
      <c r="N28" s="395"/>
      <c r="O28" s="395"/>
      <c r="P28" s="395"/>
    </row>
    <row r="29" spans="1:16" ht="15" x14ac:dyDescent="0.25">
      <c r="A29" s="394">
        <f t="shared" si="0"/>
        <v>23</v>
      </c>
      <c r="B29" s="394" t="s">
        <v>49</v>
      </c>
      <c r="C29" t="s">
        <v>266</v>
      </c>
      <c r="D29" s="395">
        <f t="shared" ref="D29" ca="1" si="6">SUM(E29:P29)</f>
        <v>77972349.305999994</v>
      </c>
      <c r="E29" s="395">
        <f ca="1">+'[56]Tariff Lighting'!E17</f>
        <v>6940542.4285000004</v>
      </c>
      <c r="F29" s="395">
        <f ca="1">+'[56]Tariff Lighting'!F17</f>
        <v>5116837.171000001</v>
      </c>
      <c r="G29" s="395">
        <f ca="1">+'[56]Tariff Lighting'!G17</f>
        <v>6909456.5325000007</v>
      </c>
      <c r="H29" s="395">
        <f ca="1">+'[56]Tariff Lighting'!H17</f>
        <v>8982104.0499999989</v>
      </c>
      <c r="I29" s="395">
        <f ca="1">+'[56]Tariff Lighting'!I17</f>
        <v>5840346.4930000007</v>
      </c>
      <c r="J29" s="395">
        <f ca="1">+'[56]Tariff Lighting'!J17</f>
        <v>4626216.9330000002</v>
      </c>
      <c r="K29" s="395">
        <f ca="1">+'[56]Tariff Lighting'!K17</f>
        <v>6131290.6915000016</v>
      </c>
      <c r="L29" s="395">
        <f ca="1">+'[56]Tariff Lighting'!L17</f>
        <v>8258809.4964999985</v>
      </c>
      <c r="M29" s="395">
        <f ca="1">+'[56]Tariff Lighting'!M17</f>
        <v>4366334.0478139166</v>
      </c>
      <c r="N29" s="395">
        <f ca="1">+'[56]Tariff Lighting'!N17</f>
        <v>6275458.2116860822</v>
      </c>
      <c r="O29" s="395">
        <f ca="1">+'[56]Tariff Lighting'!O17</f>
        <v>6395082.9170000004</v>
      </c>
      <c r="P29" s="395">
        <f ca="1">+'[56]Tariff Lighting'!P17</f>
        <v>8129870.3335000006</v>
      </c>
    </row>
    <row r="30" spans="1:16" ht="15" x14ac:dyDescent="0.25">
      <c r="A30" s="394">
        <f t="shared" si="0"/>
        <v>24</v>
      </c>
      <c r="B30"/>
      <c r="C30"/>
      <c r="D30" s="395"/>
      <c r="E30" s="395"/>
      <c r="F30" s="395"/>
      <c r="G30" s="395"/>
      <c r="H30" s="395"/>
      <c r="I30" s="395"/>
      <c r="J30" s="395"/>
      <c r="K30" s="395"/>
      <c r="L30" s="395"/>
      <c r="M30" s="395"/>
      <c r="N30" s="395"/>
      <c r="O30" s="395"/>
      <c r="P30" s="395"/>
    </row>
    <row r="31" spans="1:16" x14ac:dyDescent="0.3">
      <c r="A31" s="394">
        <f t="shared" si="0"/>
        <v>25</v>
      </c>
      <c r="B31" s="398" t="s">
        <v>267</v>
      </c>
      <c r="C31" t="s">
        <v>268</v>
      </c>
      <c r="D31" s="395">
        <f t="shared" ref="D31" ca="1" si="7">SUM(E31:P31)</f>
        <v>2098103636.6259997</v>
      </c>
      <c r="E31" s="395">
        <f ca="1">+'[56]Tariff 449-459'!E12</f>
        <v>177852881.88600001</v>
      </c>
      <c r="F31" s="395">
        <f ca="1">+'[56]Tariff 449-459'!F12</f>
        <v>171908908.32499999</v>
      </c>
      <c r="G31" s="395">
        <f ca="1">+'[56]Tariff 449-459'!G12</f>
        <v>175155725.25000003</v>
      </c>
      <c r="H31" s="395">
        <f ca="1">+'[56]Tariff 449-459'!H12</f>
        <v>180036575.97700003</v>
      </c>
      <c r="I31" s="395">
        <f ca="1">+'[56]Tariff 449-459'!I12</f>
        <v>163429294.68999997</v>
      </c>
      <c r="J31" s="395">
        <f ca="1">+'[56]Tariff 449-459'!J12</f>
        <v>187804403.67699999</v>
      </c>
      <c r="K31" s="395">
        <f ca="1">+'[56]Tariff 449-459'!K12</f>
        <v>171772051.655</v>
      </c>
      <c r="L31" s="395">
        <f ca="1">+'[56]Tariff 449-459'!L12</f>
        <v>175463775.18899998</v>
      </c>
      <c r="M31" s="395">
        <f ca="1">+'[56]Tariff 449-459'!M12</f>
        <v>172168450.53099999</v>
      </c>
      <c r="N31" s="395">
        <f ca="1">+'[56]Tariff 449-459'!N12</f>
        <v>175173145.68300003</v>
      </c>
      <c r="O31" s="395">
        <f ca="1">+'[56]Tariff 449-459'!O12</f>
        <v>171255107.55899999</v>
      </c>
      <c r="P31" s="395">
        <f ca="1">+'[56]Tariff 449-459'!P12</f>
        <v>176083316.204</v>
      </c>
    </row>
    <row r="32" spans="1:16" x14ac:dyDescent="0.3">
      <c r="A32" s="394">
        <f t="shared" si="0"/>
        <v>26</v>
      </c>
      <c r="B32"/>
      <c r="C32"/>
      <c r="D32" s="395"/>
      <c r="E32" s="395"/>
      <c r="F32" s="395"/>
      <c r="G32" s="395"/>
      <c r="H32" s="395"/>
      <c r="I32" s="395"/>
      <c r="J32" s="395"/>
      <c r="K32" s="395"/>
      <c r="L32" s="395"/>
      <c r="M32" s="395"/>
      <c r="N32" s="395"/>
      <c r="O32" s="395"/>
      <c r="P32" s="395"/>
    </row>
    <row r="33" spans="1:16" x14ac:dyDescent="0.3">
      <c r="A33" s="394">
        <f t="shared" si="0"/>
        <v>27</v>
      </c>
      <c r="B33" s="434" t="s">
        <v>269</v>
      </c>
      <c r="C33" s="434"/>
      <c r="D33" s="395">
        <f ca="1">SUM(D31,D29,D27,D23,D21,D16,D9)</f>
        <v>22814379635.073318</v>
      </c>
      <c r="E33" s="395">
        <f t="shared" ref="E33:P33" ca="1" si="8">SUM(E31,E29,E27,E23,E21,E16,E9)</f>
        <v>1803265468.6495197</v>
      </c>
      <c r="F33" s="395">
        <f t="shared" ca="1" si="8"/>
        <v>2075835508.8720393</v>
      </c>
      <c r="G33" s="395">
        <f t="shared" ca="1" si="8"/>
        <v>2341775988.4810696</v>
      </c>
      <c r="H33" s="395">
        <f t="shared" ca="1" si="8"/>
        <v>2334608805.2790327</v>
      </c>
      <c r="I33" s="395">
        <f t="shared" ca="1" si="8"/>
        <v>2086583350.0143492</v>
      </c>
      <c r="J33" s="395">
        <f t="shared" ca="1" si="8"/>
        <v>2032446246.412663</v>
      </c>
      <c r="K33" s="395">
        <f t="shared" ca="1" si="8"/>
        <v>1731195091.7729316</v>
      </c>
      <c r="L33" s="395">
        <f t="shared" ca="1" si="8"/>
        <v>1682527708.4592338</v>
      </c>
      <c r="M33" s="395">
        <f t="shared" ca="1" si="8"/>
        <v>1632298643.3024292</v>
      </c>
      <c r="N33" s="395">
        <f t="shared" ca="1" si="8"/>
        <v>1733447321.3070021</v>
      </c>
      <c r="O33" s="395">
        <f t="shared" ca="1" si="8"/>
        <v>1710522869.8676755</v>
      </c>
      <c r="P33" s="395">
        <f t="shared" ca="1" si="8"/>
        <v>1649872632.6553757</v>
      </c>
    </row>
    <row r="34" spans="1:16" x14ac:dyDescent="0.3">
      <c r="A34" s="394">
        <f t="shared" si="0"/>
        <v>28</v>
      </c>
      <c r="B34"/>
      <c r="C34"/>
      <c r="D34" s="395"/>
      <c r="E34" s="395"/>
      <c r="F34" s="395"/>
      <c r="G34" s="395"/>
      <c r="H34" s="395"/>
      <c r="I34" s="395"/>
      <c r="J34" s="395"/>
      <c r="K34" s="395"/>
      <c r="L34" s="395"/>
      <c r="M34" s="395"/>
      <c r="N34" s="395"/>
      <c r="O34" s="395"/>
      <c r="P34" s="395"/>
    </row>
    <row r="35" spans="1:16" x14ac:dyDescent="0.3">
      <c r="A35" s="394">
        <f t="shared" si="0"/>
        <v>29</v>
      </c>
      <c r="B35" s="397" t="s">
        <v>270</v>
      </c>
      <c r="C35" t="s">
        <v>271</v>
      </c>
      <c r="D35" s="395">
        <f t="shared" ref="D35" ca="1" si="9">SUM(E35:P35)</f>
        <v>6929803.4221808296</v>
      </c>
      <c r="E35" s="395">
        <f ca="1">+'[56]Tariff Firm Resale'!E10</f>
        <v>472878.08816908946</v>
      </c>
      <c r="F35" s="395">
        <f ca="1">+'[56]Tariff Firm Resale'!F10</f>
        <v>720195.36010173254</v>
      </c>
      <c r="G35" s="395">
        <f ca="1">+'[56]Tariff Firm Resale'!G10</f>
        <v>954376.15630294813</v>
      </c>
      <c r="H35" s="395">
        <f ca="1">+'[56]Tariff Firm Resale'!H10</f>
        <v>993626.39159838611</v>
      </c>
      <c r="I35" s="395">
        <f ca="1">+'[56]Tariff Firm Resale'!I10</f>
        <v>856039.19330273825</v>
      </c>
      <c r="J35" s="395">
        <f ca="1">+'[56]Tariff Firm Resale'!J10</f>
        <v>781417.16849282722</v>
      </c>
      <c r="K35" s="395">
        <f ca="1">+'[56]Tariff Firm Resale'!K10</f>
        <v>535014.30113615491</v>
      </c>
      <c r="L35" s="395">
        <f ca="1">+'[56]Tariff Firm Resale'!L10</f>
        <v>400773.10317194398</v>
      </c>
      <c r="M35" s="395">
        <f ca="1">+'[56]Tariff Firm Resale'!M10</f>
        <v>354758.87880689255</v>
      </c>
      <c r="N35" s="395">
        <f ca="1">+'[56]Tariff Firm Resale'!N10</f>
        <v>237403.97905303221</v>
      </c>
      <c r="O35" s="395">
        <f ca="1">+'[56]Tariff Firm Resale'!O10</f>
        <v>292303.01491862367</v>
      </c>
      <c r="P35" s="395">
        <f ca="1">+'[56]Tariff Firm Resale'!P10</f>
        <v>331017.78712645965</v>
      </c>
    </row>
    <row r="36" spans="1:16" x14ac:dyDescent="0.3">
      <c r="A36" s="394">
        <f t="shared" si="0"/>
        <v>30</v>
      </c>
      <c r="B36"/>
      <c r="C36"/>
      <c r="D36" s="395"/>
      <c r="E36" s="395"/>
      <c r="F36" s="395"/>
      <c r="G36" s="395"/>
      <c r="H36" s="395"/>
      <c r="I36" s="395"/>
      <c r="J36" s="395"/>
      <c r="K36" s="395"/>
      <c r="L36" s="395"/>
      <c r="M36" s="395"/>
      <c r="N36" s="395"/>
      <c r="O36" s="395"/>
      <c r="P36" s="395"/>
    </row>
    <row r="37" spans="1:16" x14ac:dyDescent="0.3">
      <c r="A37" s="394">
        <f t="shared" si="0"/>
        <v>31</v>
      </c>
      <c r="B37" s="434" t="s">
        <v>272</v>
      </c>
      <c r="C37" s="434"/>
      <c r="D37" s="395">
        <f ca="1">SUM(D33,D35)</f>
        <v>22821309438.495499</v>
      </c>
      <c r="E37" s="395">
        <f t="shared" ref="E37:P37" ca="1" si="10">SUM(E33,E35)</f>
        <v>1803738346.7376888</v>
      </c>
      <c r="F37" s="395">
        <f t="shared" ca="1" si="10"/>
        <v>2076555704.232141</v>
      </c>
      <c r="G37" s="395">
        <f t="shared" ca="1" si="10"/>
        <v>2342730364.6373725</v>
      </c>
      <c r="H37" s="395">
        <f t="shared" ca="1" si="10"/>
        <v>2335602431.6706309</v>
      </c>
      <c r="I37" s="395">
        <f t="shared" ca="1" si="10"/>
        <v>2087439389.2076519</v>
      </c>
      <c r="J37" s="395">
        <f t="shared" ca="1" si="10"/>
        <v>2033227663.5811558</v>
      </c>
      <c r="K37" s="395">
        <f t="shared" ca="1" si="10"/>
        <v>1731730106.0740678</v>
      </c>
      <c r="L37" s="395">
        <f t="shared" ca="1" si="10"/>
        <v>1682928481.5624056</v>
      </c>
      <c r="M37" s="395">
        <f t="shared" ca="1" si="10"/>
        <v>1632653402.181236</v>
      </c>
      <c r="N37" s="395">
        <f t="shared" ca="1" si="10"/>
        <v>1733684725.2860551</v>
      </c>
      <c r="O37" s="395">
        <f t="shared" ca="1" si="10"/>
        <v>1710815172.8825941</v>
      </c>
      <c r="P37" s="395">
        <f t="shared" ca="1" si="10"/>
        <v>1650203650.4425023</v>
      </c>
    </row>
    <row r="38" spans="1:16" x14ac:dyDescent="0.3">
      <c r="A38" s="394">
        <f t="shared" si="0"/>
        <v>32</v>
      </c>
      <c r="B38"/>
      <c r="C38"/>
      <c r="D38" s="395"/>
      <c r="E38" s="395"/>
      <c r="F38" s="395"/>
      <c r="G38" s="395"/>
      <c r="H38" s="395"/>
      <c r="I38" s="395"/>
      <c r="J38" s="395"/>
      <c r="K38" s="395"/>
      <c r="L38" s="395"/>
      <c r="M38" s="395"/>
      <c r="N38" s="395"/>
      <c r="O38" s="395"/>
      <c r="P38" s="395"/>
    </row>
    <row r="39" spans="1:16" x14ac:dyDescent="0.3">
      <c r="A39" s="394">
        <f t="shared" si="0"/>
        <v>33</v>
      </c>
      <c r="B39" t="s">
        <v>273</v>
      </c>
      <c r="C39" t="s">
        <v>274</v>
      </c>
      <c r="D39" s="395">
        <f t="shared" ref="D39:D45" ca="1" si="11">SUM(E39:P39)</f>
        <v>20458662826.668999</v>
      </c>
      <c r="E39" s="395">
        <f ca="1">+'[56]SOE '!D54</f>
        <v>1580999369.615</v>
      </c>
      <c r="F39" s="395">
        <f ca="1">+'[56]SOE '!E54</f>
        <v>1949849778.957</v>
      </c>
      <c r="G39" s="395">
        <f ca="1">+'[56]SOE '!F54</f>
        <v>2122594833.9889998</v>
      </c>
      <c r="H39" s="395">
        <f ca="1">+'[56]SOE '!G54</f>
        <v>2109647579.7850001</v>
      </c>
      <c r="I39" s="395">
        <f ca="1">+'[56]SOE '!H54</f>
        <v>1829822241.2389998</v>
      </c>
      <c r="J39" s="395">
        <f ca="1">+'[56]SOE '!I54</f>
        <v>1792363775.7639999</v>
      </c>
      <c r="K39" s="395">
        <f ca="1">+'[56]SOE '!J54</f>
        <v>1488052248</v>
      </c>
      <c r="L39" s="395">
        <f ca="1">+'[56]SOE '!K54</f>
        <v>1492590366</v>
      </c>
      <c r="M39" s="395">
        <f ca="1">+'[56]SOE '!L54</f>
        <v>1471268485.3199999</v>
      </c>
      <c r="N39" s="395">
        <f ca="1">+'[56]SOE '!M54</f>
        <v>1560718751</v>
      </c>
      <c r="O39" s="395">
        <f ca="1">+'[56]SOE '!N54</f>
        <v>1592669652</v>
      </c>
      <c r="P39" s="395">
        <f ca="1">+'[56]SOE '!O54</f>
        <v>1468085745</v>
      </c>
    </row>
    <row r="40" spans="1:16" x14ac:dyDescent="0.3">
      <c r="A40" s="394">
        <f t="shared" si="0"/>
        <v>34</v>
      </c>
      <c r="B40" t="s">
        <v>273</v>
      </c>
      <c r="C40" t="s">
        <v>275</v>
      </c>
      <c r="D40" s="395">
        <f t="shared" ca="1" si="11"/>
        <v>2098103637.2950001</v>
      </c>
      <c r="E40" s="395">
        <f ca="1">+'[56]SOE '!D55</f>
        <v>177852881.86899999</v>
      </c>
      <c r="F40" s="395">
        <f ca="1">+'[56]SOE '!E55</f>
        <v>171908908.37</v>
      </c>
      <c r="G40" s="395">
        <f ca="1">+'[56]SOE '!F55</f>
        <v>175155725.21599999</v>
      </c>
      <c r="H40" s="395">
        <f ca="1">+'[56]SOE '!G55</f>
        <v>180036575.947</v>
      </c>
      <c r="I40" s="395">
        <f ca="1">+'[56]SOE '!H55</f>
        <v>163429294.692</v>
      </c>
      <c r="J40" s="395">
        <f ca="1">+'[56]SOE '!I55</f>
        <v>187804403.692</v>
      </c>
      <c r="K40" s="395">
        <f ca="1">+'[56]SOE '!J55</f>
        <v>171772052</v>
      </c>
      <c r="L40" s="395">
        <f ca="1">+'[56]SOE '!K55</f>
        <v>175463775</v>
      </c>
      <c r="M40" s="395">
        <f ca="1">+'[56]SOE '!L55</f>
        <v>172168450.509</v>
      </c>
      <c r="N40" s="395">
        <f ca="1">+'[56]SOE '!M55</f>
        <v>175173146</v>
      </c>
      <c r="O40" s="395">
        <f ca="1">+'[56]SOE '!N55</f>
        <v>171255108</v>
      </c>
      <c r="P40" s="395">
        <f ca="1">+'[56]SOE '!O55</f>
        <v>176083316</v>
      </c>
    </row>
    <row r="41" spans="1:16" x14ac:dyDescent="0.3">
      <c r="A41" s="394">
        <f t="shared" si="0"/>
        <v>35</v>
      </c>
      <c r="B41" t="s">
        <v>273</v>
      </c>
      <c r="C41" t="s">
        <v>276</v>
      </c>
      <c r="D41" s="395">
        <f t="shared" ca="1" si="11"/>
        <v>22556766463.963997</v>
      </c>
      <c r="E41" s="399">
        <f ca="1">SUM(E39:E40)</f>
        <v>1758852251.484</v>
      </c>
      <c r="F41" s="399">
        <f t="shared" ref="F41:P41" ca="1" si="12">SUM(F39:F40)</f>
        <v>2121758687.3270001</v>
      </c>
      <c r="G41" s="399">
        <f t="shared" ca="1" si="12"/>
        <v>2297750559.2049999</v>
      </c>
      <c r="H41" s="399">
        <f t="shared" ca="1" si="12"/>
        <v>2289684155.7319999</v>
      </c>
      <c r="I41" s="399">
        <f t="shared" ca="1" si="12"/>
        <v>1993251535.9309998</v>
      </c>
      <c r="J41" s="399">
        <f t="shared" ca="1" si="12"/>
        <v>1980168179.4559999</v>
      </c>
      <c r="K41" s="399">
        <f t="shared" ca="1" si="12"/>
        <v>1659824300</v>
      </c>
      <c r="L41" s="399">
        <f t="shared" ca="1" si="12"/>
        <v>1668054141</v>
      </c>
      <c r="M41" s="399">
        <f t="shared" ca="1" si="12"/>
        <v>1643436935.829</v>
      </c>
      <c r="N41" s="399">
        <f t="shared" ca="1" si="12"/>
        <v>1735891897</v>
      </c>
      <c r="O41" s="399">
        <f t="shared" ca="1" si="12"/>
        <v>1763924760</v>
      </c>
      <c r="P41" s="399">
        <f t="shared" ca="1" si="12"/>
        <v>1644169061</v>
      </c>
    </row>
    <row r="42" spans="1:16" x14ac:dyDescent="0.3">
      <c r="A42" s="394">
        <f t="shared" si="0"/>
        <v>36</v>
      </c>
      <c r="B42"/>
      <c r="C42" t="s">
        <v>68</v>
      </c>
      <c r="D42" s="395">
        <f ca="1">SUM(E42:P42)</f>
        <v>281706864.87875724</v>
      </c>
      <c r="E42" s="399">
        <f ca="1">+'[56]Temperature Adj'!L36</f>
        <v>44229678.104880236</v>
      </c>
      <c r="F42" s="399">
        <f ca="1">+'[56]Temperature Adj'!M36</f>
        <v>-45900458.080219798</v>
      </c>
      <c r="G42" s="399">
        <f ca="1">+'[56]Temperature Adj'!N36</f>
        <v>44259642.039111502</v>
      </c>
      <c r="H42" s="399">
        <f ca="1">+'[56]Temperature Adj'!C36</f>
        <v>45192535.036168337</v>
      </c>
      <c r="I42" s="399">
        <f ca="1">+'[56]Temperature Adj'!D36</f>
        <v>93453897.546413183</v>
      </c>
      <c r="J42" s="399">
        <f ca="1">+'[56]Temperature Adj'!E36</f>
        <v>52367415.719787337</v>
      </c>
      <c r="K42" s="399">
        <f ca="1">+'[56]Temperature Adj'!F36</f>
        <v>71171146.133725539</v>
      </c>
      <c r="L42" s="399">
        <f ca="1">+'[56]Temperature Adj'!G36</f>
        <v>14181372.511321284</v>
      </c>
      <c r="M42" s="399">
        <f ca="1">+'[56]Temperature Adj'!H36</f>
        <v>-11496156.920470042</v>
      </c>
      <c r="N42" s="399">
        <f ca="1">+'[56]Temperature Adj'!I36</f>
        <v>-2207170.5850217612</v>
      </c>
      <c r="O42" s="399">
        <f ca="1">+'[56]Temperature Adj'!J36</f>
        <v>-29579625.601903219</v>
      </c>
      <c r="P42" s="399">
        <f ca="1">+'[56]Temperature Adj'!K36</f>
        <v>6034588.9749646252</v>
      </c>
    </row>
    <row r="43" spans="1:16" x14ac:dyDescent="0.3">
      <c r="A43" s="394"/>
      <c r="B43"/>
      <c r="C43" t="s">
        <v>277</v>
      </c>
      <c r="D43" s="395">
        <f ca="1">SUM(E43:P43)</f>
        <v>-17163889.065000009</v>
      </c>
      <c r="E43" s="400">
        <v>656416.89100000006</v>
      </c>
      <c r="F43" s="400">
        <v>697475.48800000001</v>
      </c>
      <c r="G43" s="400">
        <v>720164.46700000006</v>
      </c>
      <c r="H43" s="400">
        <v>725739.19</v>
      </c>
      <c r="I43" s="400">
        <v>733955.88799999992</v>
      </c>
      <c r="J43" s="400">
        <v>692066.54500000004</v>
      </c>
      <c r="K43" s="400">
        <v>734662.28200000001</v>
      </c>
      <c r="L43" s="400">
        <v>692967.76500000001</v>
      </c>
      <c r="M43" s="400">
        <v>712622.72100000002</v>
      </c>
      <c r="N43" s="400"/>
      <c r="O43" s="400">
        <v>-23529960.302000009</v>
      </c>
      <c r="P43" s="400">
        <f ca="1">+'[56]Temperature Adj'!K37</f>
        <v>0</v>
      </c>
    </row>
    <row r="44" spans="1:16" x14ac:dyDescent="0.3">
      <c r="A44" s="394">
        <f t="shared" si="0"/>
        <v>38</v>
      </c>
      <c r="B44"/>
      <c r="C44" s="247" t="s">
        <v>278</v>
      </c>
      <c r="D44" s="395">
        <f t="shared" ca="1" si="11"/>
        <v>22821309439.777756</v>
      </c>
      <c r="E44" s="399">
        <f ca="1">SUM(E41:E43)</f>
        <v>1803738346.4798803</v>
      </c>
      <c r="F44" s="399">
        <f t="shared" ref="F44:P44" ca="1" si="13">SUM(F41:F43)</f>
        <v>2076555704.7347803</v>
      </c>
      <c r="G44" s="399">
        <f t="shared" ca="1" si="13"/>
        <v>2342730365.7111115</v>
      </c>
      <c r="H44" s="399">
        <f t="shared" ca="1" si="13"/>
        <v>2335602429.9581685</v>
      </c>
      <c r="I44" s="399">
        <f t="shared" ca="1" si="13"/>
        <v>2087439389.365413</v>
      </c>
      <c r="J44" s="399">
        <f t="shared" ca="1" si="13"/>
        <v>2033227661.7207873</v>
      </c>
      <c r="K44" s="399">
        <f t="shared" ca="1" si="13"/>
        <v>1731730108.4157257</v>
      </c>
      <c r="L44" s="399">
        <f t="shared" ca="1" si="13"/>
        <v>1682928481.2763214</v>
      </c>
      <c r="M44" s="399">
        <f t="shared" ca="1" si="13"/>
        <v>1632653401.62953</v>
      </c>
      <c r="N44" s="399">
        <f t="shared" ca="1" si="13"/>
        <v>1733684726.4149783</v>
      </c>
      <c r="O44" s="399">
        <f t="shared" ca="1" si="13"/>
        <v>1710815174.0960968</v>
      </c>
      <c r="P44" s="399">
        <f t="shared" ca="1" si="13"/>
        <v>1650203649.9749646</v>
      </c>
    </row>
    <row r="45" spans="1:16" x14ac:dyDescent="0.3">
      <c r="A45" s="394">
        <f t="shared" si="0"/>
        <v>39</v>
      </c>
      <c r="B45"/>
      <c r="C45" t="s">
        <v>40</v>
      </c>
      <c r="D45" s="395">
        <f t="shared" ca="1" si="11"/>
        <v>1.2822558879852295</v>
      </c>
      <c r="E45" s="399">
        <f ca="1">+E44-E37</f>
        <v>-0.25780844688415527</v>
      </c>
      <c r="F45" s="399">
        <f t="shared" ref="F45:P45" ca="1" si="14">+F44-F37</f>
        <v>0.5026392936706543</v>
      </c>
      <c r="G45" s="399">
        <f t="shared" ca="1" si="14"/>
        <v>1.0737390518188477</v>
      </c>
      <c r="H45" s="399">
        <f t="shared" ca="1" si="14"/>
        <v>-1.7124624252319336</v>
      </c>
      <c r="I45" s="399">
        <f t="shared" ca="1" si="14"/>
        <v>0.1577610969543457</v>
      </c>
      <c r="J45" s="399">
        <f t="shared" ca="1" si="14"/>
        <v>-1.8603684902191162</v>
      </c>
      <c r="K45" s="399">
        <f t="shared" ca="1" si="14"/>
        <v>2.3416578769683838</v>
      </c>
      <c r="L45" s="399">
        <f t="shared" ca="1" si="14"/>
        <v>-0.28608417510986328</v>
      </c>
      <c r="M45" s="399">
        <f t="shared" ca="1" si="14"/>
        <v>-0.55170607566833496</v>
      </c>
      <c r="N45" s="399">
        <f t="shared" ca="1" si="14"/>
        <v>1.1289231777191162</v>
      </c>
      <c r="O45" s="399">
        <f t="shared" ca="1" si="14"/>
        <v>1.2135026454925537</v>
      </c>
      <c r="P45" s="399">
        <f t="shared" ca="1" si="14"/>
        <v>-0.46753764152526855</v>
      </c>
    </row>
    <row r="46" spans="1:16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6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16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</sheetData>
  <mergeCells count="10">
    <mergeCell ref="B21:C21"/>
    <mergeCell ref="B27:C27"/>
    <mergeCell ref="B33:C33"/>
    <mergeCell ref="B37:C37"/>
    <mergeCell ref="A1:P1"/>
    <mergeCell ref="A2:P2"/>
    <mergeCell ref="A3:P3"/>
    <mergeCell ref="A4:P4"/>
    <mergeCell ref="B9:C9"/>
    <mergeCell ref="B16:C16"/>
  </mergeCells>
  <printOptions horizontalCentered="1"/>
  <pageMargins left="0.7" right="0.7" top="0.75" bottom="0.75" header="0.3" footer="0.3"/>
  <pageSetup scale="49" orientation="landscape" r:id="rId1"/>
  <headerFooter>
    <oddFooter>&amp;L&amp;F
&amp;A&amp;RPage &amp;N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3"/>
  <sheetViews>
    <sheetView zoomScaleNormal="100" workbookViewId="0">
      <selection activeCell="I14" sqref="I14"/>
    </sheetView>
  </sheetViews>
  <sheetFormatPr defaultColWidth="9.109375" defaultRowHeight="13.8" x14ac:dyDescent="0.3"/>
  <cols>
    <col min="1" max="1" width="5.33203125" style="23" customWidth="1"/>
    <col min="2" max="2" width="52.6640625" style="23" customWidth="1"/>
    <col min="3" max="3" width="15.5546875" style="23" customWidth="1"/>
    <col min="4" max="5" width="15.33203125" style="23" customWidth="1"/>
    <col min="6" max="6" width="20.5546875" style="23" bestFit="1" customWidth="1"/>
    <col min="7" max="9" width="15.33203125" style="23" customWidth="1"/>
    <col min="10" max="10" width="9.109375" style="23"/>
    <col min="11" max="11" width="10.33203125" style="23" bestFit="1" customWidth="1"/>
    <col min="12" max="16384" width="9.109375" style="23"/>
  </cols>
  <sheetData>
    <row r="1" spans="1:18" ht="12.75" x14ac:dyDescent="0.2">
      <c r="A1" s="401" t="s">
        <v>17</v>
      </c>
      <c r="B1" s="401"/>
      <c r="C1" s="401"/>
      <c r="D1" s="401"/>
      <c r="E1" s="401"/>
      <c r="F1" s="401"/>
      <c r="G1" s="401"/>
      <c r="H1" s="401"/>
      <c r="I1" s="401"/>
      <c r="J1" s="15"/>
      <c r="K1" s="15"/>
      <c r="L1" s="15"/>
      <c r="M1" s="15"/>
      <c r="N1" s="15"/>
      <c r="O1" s="15"/>
      <c r="P1" s="15"/>
      <c r="Q1" s="15"/>
      <c r="R1" s="15"/>
    </row>
    <row r="2" spans="1:18" ht="12.75" x14ac:dyDescent="0.2">
      <c r="A2" s="401" t="s">
        <v>41</v>
      </c>
      <c r="B2" s="401"/>
      <c r="C2" s="401"/>
      <c r="D2" s="401"/>
      <c r="E2" s="401"/>
      <c r="F2" s="401"/>
      <c r="G2" s="401"/>
      <c r="H2" s="401"/>
      <c r="I2" s="401"/>
      <c r="J2" s="15"/>
      <c r="K2" s="15"/>
      <c r="L2" s="15"/>
      <c r="M2" s="15"/>
      <c r="N2" s="15"/>
      <c r="O2" s="15"/>
      <c r="P2" s="15"/>
      <c r="Q2" s="15"/>
      <c r="R2" s="15"/>
    </row>
    <row r="3" spans="1:18" ht="12.75" x14ac:dyDescent="0.2">
      <c r="A3" s="401" t="s">
        <v>284</v>
      </c>
      <c r="B3" s="401"/>
      <c r="C3" s="401"/>
      <c r="D3" s="401"/>
      <c r="E3" s="401"/>
      <c r="F3" s="401"/>
      <c r="G3" s="401"/>
      <c r="H3" s="401"/>
      <c r="I3" s="401"/>
      <c r="J3" s="15"/>
      <c r="K3" s="15"/>
      <c r="L3" s="15"/>
      <c r="M3" s="15"/>
      <c r="N3" s="15"/>
      <c r="O3" s="15"/>
      <c r="P3" s="15"/>
      <c r="Q3" s="15"/>
      <c r="R3" s="15"/>
    </row>
    <row r="4" spans="1:18" ht="12.75" x14ac:dyDescent="0.2">
      <c r="A4" s="17"/>
      <c r="B4" s="17"/>
      <c r="C4" s="17"/>
      <c r="D4" s="17"/>
      <c r="E4" s="17"/>
      <c r="F4" s="43"/>
      <c r="G4" s="43"/>
      <c r="H4" s="43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ht="12.75" x14ac:dyDescent="0.2">
      <c r="A5" s="24"/>
      <c r="B5" s="24"/>
      <c r="C5" s="24"/>
      <c r="D5" s="24"/>
      <c r="E5" s="24"/>
      <c r="F5" s="24"/>
      <c r="G5" s="24"/>
      <c r="H5" s="24"/>
    </row>
    <row r="6" spans="1:18" ht="12.75" customHeight="1" x14ac:dyDescent="0.2">
      <c r="A6" s="52" t="s">
        <v>115</v>
      </c>
      <c r="B6" s="24"/>
      <c r="C6" s="24"/>
      <c r="D6" s="46" t="s">
        <v>117</v>
      </c>
      <c r="E6" s="46" t="s">
        <v>118</v>
      </c>
      <c r="F6" s="46" t="s">
        <v>118</v>
      </c>
      <c r="G6" s="46" t="s">
        <v>37</v>
      </c>
      <c r="H6" s="53" t="s">
        <v>118</v>
      </c>
      <c r="I6" s="53" t="s">
        <v>118</v>
      </c>
    </row>
    <row r="7" spans="1:18" ht="12.75" x14ac:dyDescent="0.2">
      <c r="A7" s="48" t="s">
        <v>116</v>
      </c>
      <c r="B7" s="51"/>
      <c r="C7" s="49" t="s">
        <v>15</v>
      </c>
      <c r="D7" s="38">
        <v>7</v>
      </c>
      <c r="E7" s="38" t="s">
        <v>59</v>
      </c>
      <c r="F7" s="38" t="s">
        <v>119</v>
      </c>
      <c r="G7" s="38">
        <v>40</v>
      </c>
      <c r="H7" s="38" t="s">
        <v>60</v>
      </c>
      <c r="I7" s="38" t="s">
        <v>61</v>
      </c>
    </row>
    <row r="8" spans="1:18" ht="12.75" x14ac:dyDescent="0.2">
      <c r="A8" s="28"/>
      <c r="B8" s="30" t="s">
        <v>14</v>
      </c>
      <c r="C8" s="30" t="s">
        <v>13</v>
      </c>
      <c r="D8" s="30" t="s">
        <v>12</v>
      </c>
      <c r="E8" s="30" t="s">
        <v>11</v>
      </c>
      <c r="F8" s="30" t="s">
        <v>10</v>
      </c>
      <c r="G8" s="30" t="s">
        <v>9</v>
      </c>
      <c r="H8" s="30" t="s">
        <v>8</v>
      </c>
      <c r="I8" s="30" t="s">
        <v>7</v>
      </c>
    </row>
    <row r="9" spans="1:18" ht="12.75" x14ac:dyDescent="0.2">
      <c r="A9" s="30"/>
      <c r="B9" s="20"/>
      <c r="C9" s="30"/>
      <c r="D9" s="30"/>
      <c r="E9" s="30"/>
      <c r="F9" s="30"/>
      <c r="G9" s="30"/>
    </row>
    <row r="10" spans="1:18" ht="12.75" x14ac:dyDescent="0.2">
      <c r="A10" s="30">
        <v>1</v>
      </c>
      <c r="B10" s="28" t="s">
        <v>283</v>
      </c>
      <c r="C10" s="21" t="s">
        <v>395</v>
      </c>
      <c r="D10" s="22">
        <f ca="1">'JAP-47 Page 1'!$D$12</f>
        <v>297457037.89283293</v>
      </c>
      <c r="E10" s="22">
        <f ca="1">'JAP-47 Page 1'!$E$12</f>
        <v>72924622.04392907</v>
      </c>
      <c r="F10" s="22">
        <f ca="1">'JAP-47 Page 1'!$F$12</f>
        <v>76054218.085537478</v>
      </c>
      <c r="G10" s="22">
        <f ca="1">'JAP-47 Page 1'!$G$12</f>
        <v>14809570.029492721</v>
      </c>
      <c r="H10" s="22">
        <f ca="1">'JAP-47 Page 1'!$H$12</f>
        <v>47620085.712548651</v>
      </c>
      <c r="I10" s="22">
        <f ca="1">'JAP-47 Page 1'!$I$12</f>
        <v>31457487.150437057</v>
      </c>
    </row>
    <row r="11" spans="1:18" ht="12.75" x14ac:dyDescent="0.2">
      <c r="A11" s="30">
        <f t="shared" ref="A11:A14" si="0">A10+1</f>
        <v>2</v>
      </c>
      <c r="B11" s="28"/>
      <c r="C11" s="28"/>
      <c r="D11" s="11"/>
      <c r="E11" s="11"/>
      <c r="F11" s="11"/>
      <c r="G11" s="11"/>
      <c r="H11" s="11"/>
      <c r="I11" s="11"/>
    </row>
    <row r="12" spans="1:18" ht="12.75" x14ac:dyDescent="0.2">
      <c r="A12" s="30">
        <f t="shared" si="0"/>
        <v>3</v>
      </c>
      <c r="B12" s="28" t="s">
        <v>114</v>
      </c>
      <c r="C12" s="30" t="s">
        <v>282</v>
      </c>
      <c r="D12" s="35">
        <f ca="1">'Exhibit No.__(JAP-Res RD)'!$C$23</f>
        <v>10442426485.066896</v>
      </c>
      <c r="E12" s="35">
        <f ca="1">'Exhibit No.__(JAP-SV RD)'!$C$25</f>
        <v>2787584113.8710942</v>
      </c>
      <c r="F12" s="35">
        <f ca="1">SUM('Exhibit No.__(JAP-SV RD)'!C39,'Exhibit No.__(JAP-SV RD)'!C128,'Exhibit No.__(JAP-PV RD)'!C43,'Exhibit No.__(JAP-PV RD)'!C66)</f>
        <v>2977898788.3258581</v>
      </c>
      <c r="G12" s="35">
        <f ca="1">'Exhibit No.__(JAP-CAMP RD)'!C27</f>
        <v>621678726.339131</v>
      </c>
      <c r="H12" s="35">
        <f ca="1">SUM('Exhibit No.__(JAP-SV RD)'!C71,'Exhibit No.__(JAP-SV RD)'!C94)</f>
        <v>1892054744.3816457</v>
      </c>
      <c r="I12" s="35">
        <f ca="1">'Exhibit No.__(JAP-PV RD)'!C21</f>
        <v>1284401574.4586966</v>
      </c>
    </row>
    <row r="13" spans="1:18" ht="12.75" x14ac:dyDescent="0.2">
      <c r="A13" s="30">
        <f t="shared" si="0"/>
        <v>4</v>
      </c>
      <c r="B13" s="28"/>
      <c r="C13" s="28"/>
      <c r="D13" s="11"/>
      <c r="E13" s="11"/>
      <c r="F13" s="11"/>
      <c r="G13" s="11"/>
      <c r="H13" s="11"/>
      <c r="I13" s="11"/>
    </row>
    <row r="14" spans="1:18" ht="12.75" x14ac:dyDescent="0.2">
      <c r="A14" s="30">
        <f t="shared" si="0"/>
        <v>5</v>
      </c>
      <c r="B14" s="28" t="s">
        <v>241</v>
      </c>
      <c r="C14" s="30" t="str">
        <f>"("&amp;A10&amp;") / ("&amp;A12&amp;")"</f>
        <v>(1) / (3)</v>
      </c>
      <c r="D14" s="44">
        <f ca="1">ROUND(D10/D12,6)</f>
        <v>2.8485E-2</v>
      </c>
      <c r="E14" s="44">
        <f ca="1">ROUND(E10/E12,6)</f>
        <v>2.6161E-2</v>
      </c>
      <c r="F14" s="44">
        <f t="shared" ref="F14:G14" ca="1" si="1">ROUND(F10/F12,6)</f>
        <v>2.554E-2</v>
      </c>
      <c r="G14" s="44">
        <f t="shared" ca="1" si="1"/>
        <v>2.3821999999999999E-2</v>
      </c>
      <c r="H14" s="44">
        <f t="shared" ref="H14:I14" ca="1" si="2">ROUND(H10/H12,6)</f>
        <v>2.5167999999999999E-2</v>
      </c>
      <c r="I14" s="44">
        <f t="shared" ca="1" si="2"/>
        <v>2.4492E-2</v>
      </c>
    </row>
    <row r="15" spans="1:18" ht="12.75" x14ac:dyDescent="0.2">
      <c r="A15" s="24"/>
      <c r="B15" s="24"/>
      <c r="C15" s="24"/>
      <c r="D15" s="24"/>
      <c r="E15" s="24"/>
      <c r="F15" s="24"/>
      <c r="G15" s="24"/>
      <c r="H15" s="24"/>
      <c r="I15" s="24"/>
    </row>
    <row r="16" spans="1:18" ht="12.75" x14ac:dyDescent="0.2">
      <c r="A16" s="24"/>
      <c r="B16" s="28"/>
      <c r="C16" s="24"/>
      <c r="D16" s="2"/>
      <c r="E16" s="2"/>
      <c r="F16" s="2"/>
      <c r="G16" s="2"/>
      <c r="H16" s="2"/>
      <c r="I16" s="24"/>
    </row>
    <row r="17" spans="1:9" ht="12.75" x14ac:dyDescent="0.2">
      <c r="A17" s="24"/>
      <c r="B17" s="28"/>
      <c r="C17" s="24"/>
      <c r="D17" s="3"/>
      <c r="E17" s="3"/>
      <c r="F17" s="3"/>
      <c r="G17" s="3"/>
      <c r="H17" s="3"/>
      <c r="I17" s="24"/>
    </row>
    <row r="18" spans="1:9" ht="12.75" x14ac:dyDescent="0.2">
      <c r="A18" s="24"/>
      <c r="C18" s="24"/>
      <c r="D18" s="24"/>
      <c r="E18" s="24"/>
      <c r="F18" s="24"/>
      <c r="G18" s="24"/>
      <c r="H18" s="24"/>
      <c r="I18" s="24"/>
    </row>
    <row r="19" spans="1:9" ht="12.75" x14ac:dyDescent="0.2">
      <c r="D19" s="1"/>
      <c r="E19" s="1"/>
      <c r="F19" s="1"/>
      <c r="G19" s="1"/>
      <c r="H19" s="1"/>
    </row>
    <row r="20" spans="1:9" ht="12.75" x14ac:dyDescent="0.2">
      <c r="D20" s="1"/>
      <c r="E20" s="1"/>
      <c r="F20" s="1"/>
      <c r="G20" s="1"/>
      <c r="H20" s="1"/>
    </row>
    <row r="21" spans="1:9" ht="12.75" x14ac:dyDescent="0.2">
      <c r="D21" s="1"/>
      <c r="E21" s="1"/>
      <c r="F21" s="1"/>
      <c r="G21" s="1"/>
      <c r="H21" s="1"/>
    </row>
    <row r="22" spans="1:9" ht="12.75" x14ac:dyDescent="0.2">
      <c r="D22" s="1"/>
      <c r="E22" s="1"/>
      <c r="F22" s="1"/>
      <c r="G22" s="1"/>
      <c r="H22" s="1"/>
    </row>
    <row r="23" spans="1:9" ht="12.75" x14ac:dyDescent="0.2">
      <c r="D23" s="1"/>
      <c r="E23" s="1"/>
      <c r="F23" s="1"/>
      <c r="G23" s="1"/>
      <c r="H23" s="1"/>
    </row>
  </sheetData>
  <mergeCells count="3">
    <mergeCell ref="A1:I1"/>
    <mergeCell ref="A2:I2"/>
    <mergeCell ref="A3:I3"/>
  </mergeCells>
  <printOptions horizontalCentered="1"/>
  <pageMargins left="0.7" right="0.7" top="0.75" bottom="0.75" header="0.3" footer="0.3"/>
  <pageSetup scale="65" orientation="landscape" blackAndWhite="1" horizontalDpi="1200" verticalDpi="1200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56"/>
  <sheetViews>
    <sheetView zoomScaleNormal="100" workbookViewId="0">
      <pane xSplit="4" ySplit="7" topLeftCell="E20" activePane="bottomRight" state="frozen"/>
      <selection activeCell="F16" sqref="F16"/>
      <selection pane="topRight" activeCell="F16" sqref="F16"/>
      <selection pane="bottomLeft" activeCell="F16" sqref="F16"/>
      <selection pane="bottomRight" activeCell="I61" sqref="I61"/>
    </sheetView>
  </sheetViews>
  <sheetFormatPr defaultColWidth="9.109375" defaultRowHeight="13.2" x14ac:dyDescent="0.25"/>
  <cols>
    <col min="1" max="1" width="5.33203125" style="8" customWidth="1"/>
    <col min="2" max="2" width="2.6640625" style="8" customWidth="1"/>
    <col min="3" max="3" width="40.88671875" style="8" customWidth="1"/>
    <col min="4" max="4" width="14.109375" style="40" bestFit="1" customWidth="1"/>
    <col min="5" max="8" width="15" style="40" bestFit="1" customWidth="1"/>
    <col min="9" max="16" width="15" style="8" bestFit="1" customWidth="1"/>
    <col min="17" max="17" width="16" style="8" bestFit="1" customWidth="1"/>
    <col min="18" max="18" width="9.109375" style="8" customWidth="1"/>
    <col min="19" max="16384" width="9.109375" style="8"/>
  </cols>
  <sheetData>
    <row r="1" spans="1:18" ht="12.75" x14ac:dyDescent="0.2">
      <c r="A1" s="401" t="s">
        <v>17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</row>
    <row r="2" spans="1:18" ht="12.75" x14ac:dyDescent="0.2">
      <c r="A2" s="401" t="s">
        <v>41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</row>
    <row r="3" spans="1:18" ht="12.75" x14ac:dyDescent="0.2">
      <c r="A3" s="401" t="s">
        <v>285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</row>
    <row r="4" spans="1:18" ht="12.75" x14ac:dyDescent="0.2">
      <c r="A4" s="28"/>
      <c r="B4" s="28"/>
      <c r="C4" s="28"/>
      <c r="D4" s="30"/>
      <c r="E4" s="30"/>
      <c r="F4" s="30"/>
      <c r="G4" s="30"/>
      <c r="H4" s="30"/>
      <c r="I4" s="28"/>
      <c r="J4" s="28"/>
      <c r="K4" s="28"/>
      <c r="L4" s="28"/>
      <c r="M4" s="28"/>
      <c r="N4" s="28"/>
      <c r="O4" s="28"/>
      <c r="P4" s="28"/>
      <c r="Q4" s="28"/>
    </row>
    <row r="5" spans="1:18" ht="12.75" x14ac:dyDescent="0.2">
      <c r="A5" s="28"/>
      <c r="B5" s="28"/>
      <c r="C5" s="28"/>
      <c r="D5" s="30"/>
      <c r="E5" s="30"/>
      <c r="F5" s="30"/>
      <c r="G5" s="30"/>
      <c r="H5" s="30"/>
      <c r="I5" s="28"/>
      <c r="J5" s="28"/>
      <c r="K5" s="28"/>
      <c r="L5" s="28"/>
      <c r="M5" s="28"/>
      <c r="N5" s="28"/>
      <c r="O5" s="28"/>
      <c r="P5" s="28"/>
      <c r="Q5" s="28"/>
    </row>
    <row r="6" spans="1:18" ht="38.25" x14ac:dyDescent="0.2">
      <c r="A6" s="29" t="s">
        <v>16</v>
      </c>
      <c r="B6" s="29"/>
      <c r="C6" s="19"/>
      <c r="D6" s="29" t="s">
        <v>15</v>
      </c>
      <c r="E6" s="4" t="s">
        <v>23</v>
      </c>
      <c r="F6" s="4" t="s">
        <v>24</v>
      </c>
      <c r="G6" s="4" t="s">
        <v>25</v>
      </c>
      <c r="H6" s="4" t="s">
        <v>26</v>
      </c>
      <c r="I6" s="4" t="s">
        <v>27</v>
      </c>
      <c r="J6" s="4" t="s">
        <v>28</v>
      </c>
      <c r="K6" s="4" t="s">
        <v>29</v>
      </c>
      <c r="L6" s="4" t="s">
        <v>30</v>
      </c>
      <c r="M6" s="4" t="s">
        <v>31</v>
      </c>
      <c r="N6" s="4" t="s">
        <v>32</v>
      </c>
      <c r="O6" s="4" t="s">
        <v>33</v>
      </c>
      <c r="P6" s="4" t="s">
        <v>34</v>
      </c>
      <c r="Q6" s="29" t="s">
        <v>35</v>
      </c>
    </row>
    <row r="7" spans="1:18" ht="12.75" x14ac:dyDescent="0.2">
      <c r="A7" s="28"/>
      <c r="B7" s="28"/>
      <c r="C7" s="30" t="s">
        <v>14</v>
      </c>
      <c r="D7" s="30" t="s">
        <v>13</v>
      </c>
      <c r="E7" s="30" t="s">
        <v>12</v>
      </c>
      <c r="F7" s="30" t="s">
        <v>11</v>
      </c>
      <c r="G7" s="30" t="s">
        <v>10</v>
      </c>
      <c r="H7" s="30" t="s">
        <v>9</v>
      </c>
      <c r="I7" s="30" t="s">
        <v>8</v>
      </c>
      <c r="J7" s="30" t="s">
        <v>7</v>
      </c>
      <c r="K7" s="30" t="s">
        <v>6</v>
      </c>
      <c r="L7" s="30" t="s">
        <v>5</v>
      </c>
      <c r="M7" s="30" t="s">
        <v>4</v>
      </c>
      <c r="N7" s="30" t="s">
        <v>3</v>
      </c>
      <c r="O7" s="30" t="s">
        <v>2</v>
      </c>
      <c r="P7" s="30" t="s">
        <v>1</v>
      </c>
      <c r="Q7" s="30" t="s">
        <v>22</v>
      </c>
    </row>
    <row r="8" spans="1:18" ht="12.75" x14ac:dyDescent="0.2">
      <c r="A8" s="30"/>
      <c r="B8" s="5" t="s">
        <v>39</v>
      </c>
      <c r="C8" s="20"/>
      <c r="D8" s="30"/>
      <c r="E8" s="30"/>
      <c r="F8" s="30"/>
      <c r="G8" s="30"/>
      <c r="H8" s="30"/>
      <c r="I8" s="30"/>
      <c r="J8" s="30"/>
      <c r="K8" s="28"/>
      <c r="L8" s="28"/>
      <c r="M8" s="28"/>
      <c r="N8" s="28"/>
      <c r="O8" s="28"/>
      <c r="P8" s="28"/>
      <c r="Q8" s="28"/>
    </row>
    <row r="9" spans="1:18" ht="12.75" x14ac:dyDescent="0.2">
      <c r="A9" s="30">
        <v>1</v>
      </c>
      <c r="B9" s="26" t="s">
        <v>50</v>
      </c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5"/>
    </row>
    <row r="10" spans="1:18" ht="12.75" x14ac:dyDescent="0.2">
      <c r="A10" s="30">
        <f t="shared" ref="A10:A56" si="0">A9+1</f>
        <v>2</v>
      </c>
      <c r="B10" s="30"/>
      <c r="C10" s="28" t="s">
        <v>113</v>
      </c>
      <c r="D10" s="21" t="s">
        <v>281</v>
      </c>
      <c r="E10" s="35">
        <f ca="1">'Delivered kWh'!H7</f>
        <v>1225806465.9287825</v>
      </c>
      <c r="F10" s="35">
        <f ca="1">'Delivered kWh'!I7</f>
        <v>1038920912.9571128</v>
      </c>
      <c r="G10" s="35">
        <f ca="1">'Delivered kWh'!J7</f>
        <v>1001139736.2453095</v>
      </c>
      <c r="H10" s="35">
        <f ca="1">'Delivered kWh'!K7</f>
        <v>795874664.78726423</v>
      </c>
      <c r="I10" s="35">
        <f ca="1">'Delivered kWh'!L7</f>
        <v>715559108.06809902</v>
      </c>
      <c r="J10" s="35">
        <f ca="1">'Delivered kWh'!M7</f>
        <v>618674823.07889044</v>
      </c>
      <c r="K10" s="35">
        <f ca="1">'Delivered kWh'!N7</f>
        <v>693231423.69833016</v>
      </c>
      <c r="L10" s="35">
        <f ca="1">'Delivered kWh'!O7</f>
        <v>671821991.57801056</v>
      </c>
      <c r="M10" s="35">
        <f ca="1">'Delivered kWh'!P7</f>
        <v>615495906.36459756</v>
      </c>
      <c r="N10" s="35">
        <f ca="1">'Delivered kWh'!E7</f>
        <v>788389063.69857621</v>
      </c>
      <c r="O10" s="35">
        <f ca="1">'Delivered kWh'!F7</f>
        <v>1028566034.8299937</v>
      </c>
      <c r="P10" s="35">
        <f ca="1">'Delivered kWh'!G7</f>
        <v>1248946353.8319292</v>
      </c>
      <c r="Q10" s="6">
        <f ca="1">SUM(E10:P10)</f>
        <v>10442426485.066895</v>
      </c>
      <c r="R10" s="221"/>
    </row>
    <row r="11" spans="1:18" ht="12.75" x14ac:dyDescent="0.2">
      <c r="A11" s="30">
        <f t="shared" si="0"/>
        <v>3</v>
      </c>
      <c r="B11" s="30"/>
      <c r="C11" s="28" t="s">
        <v>38</v>
      </c>
      <c r="D11" s="42" t="s">
        <v>242</v>
      </c>
      <c r="E11" s="37">
        <f t="shared" ref="E11:P11" ca="1" si="1">E10/$Q10</f>
        <v>0.11738712910085954</v>
      </c>
      <c r="F11" s="37">
        <f t="shared" ca="1" si="1"/>
        <v>9.949037366390015E-2</v>
      </c>
      <c r="G11" s="37">
        <f t="shared" ca="1" si="1"/>
        <v>9.5872327918897118E-2</v>
      </c>
      <c r="H11" s="37">
        <f t="shared" ca="1" si="1"/>
        <v>7.621549128695311E-2</v>
      </c>
      <c r="I11" s="37">
        <f t="shared" ca="1" si="1"/>
        <v>6.8524217919214314E-2</v>
      </c>
      <c r="J11" s="37">
        <f t="shared" ca="1" si="1"/>
        <v>5.9246270391620302E-2</v>
      </c>
      <c r="K11" s="37">
        <f t="shared" ca="1" si="1"/>
        <v>6.638604779163923E-2</v>
      </c>
      <c r="L11" s="37">
        <f t="shared" ca="1" si="1"/>
        <v>6.4335812422404312E-2</v>
      </c>
      <c r="M11" s="37">
        <f t="shared" ca="1" si="1"/>
        <v>5.8941847208096927E-2</v>
      </c>
      <c r="N11" s="37">
        <f ca="1">N10/$Q10</f>
        <v>7.5498646298923486E-2</v>
      </c>
      <c r="O11" s="37">
        <f t="shared" ca="1" si="1"/>
        <v>9.8498757573336621E-2</v>
      </c>
      <c r="P11" s="37">
        <f t="shared" ca="1" si="1"/>
        <v>0.11960307842415502</v>
      </c>
      <c r="Q11" s="37">
        <f ca="1">SUM(E11:P11)</f>
        <v>1</v>
      </c>
      <c r="R11" s="221"/>
    </row>
    <row r="12" spans="1:18" ht="12.75" x14ac:dyDescent="0.2">
      <c r="A12" s="30">
        <f t="shared" si="0"/>
        <v>4</v>
      </c>
      <c r="B12" s="30"/>
      <c r="C12" s="28"/>
      <c r="D12" s="41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221"/>
    </row>
    <row r="13" spans="1:18" ht="12.75" x14ac:dyDescent="0.2">
      <c r="A13" s="30">
        <f t="shared" si="0"/>
        <v>5</v>
      </c>
      <c r="B13" s="26" t="s">
        <v>52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221"/>
    </row>
    <row r="14" spans="1:18" ht="12.75" x14ac:dyDescent="0.2">
      <c r="A14" s="30">
        <f t="shared" si="0"/>
        <v>6</v>
      </c>
      <c r="B14" s="30"/>
      <c r="C14" s="28" t="str">
        <f>C10</f>
        <v>Weather-Normalized kWh Sales (Oct15-Sep16)</v>
      </c>
      <c r="D14" s="21" t="s">
        <v>281</v>
      </c>
      <c r="E14" s="35">
        <f ca="1">'Delivered kWh'!H11</f>
        <v>281640441.24406934</v>
      </c>
      <c r="F14" s="35">
        <f ca="1">'Delivered kWh'!I11</f>
        <v>229077398.29324535</v>
      </c>
      <c r="G14" s="35">
        <f ca="1">'Delivered kWh'!J11</f>
        <v>253484969.25955233</v>
      </c>
      <c r="H14" s="35">
        <f ca="1">'Delivered kWh'!K11</f>
        <v>204141936.02314135</v>
      </c>
      <c r="I14" s="35">
        <f ca="1">'Delivered kWh'!L11</f>
        <v>220142117.8939862</v>
      </c>
      <c r="J14" s="35">
        <f ca="1">'Delivered kWh'!M11</f>
        <v>204102525.23337504</v>
      </c>
      <c r="K14" s="35">
        <f ca="1">'Delivered kWh'!N11</f>
        <v>225364756.61116701</v>
      </c>
      <c r="L14" s="35">
        <f ca="1">'Delivered kWh'!O11</f>
        <v>235005860.14518324</v>
      </c>
      <c r="M14" s="35">
        <f ca="1">'Delivered kWh'!P11</f>
        <v>215988619.95737374</v>
      </c>
      <c r="N14" s="35">
        <f ca="1">'Delivered kWh'!E11</f>
        <v>215710510.70449299</v>
      </c>
      <c r="O14" s="35">
        <f ca="1">'Delivered kWh'!F11</f>
        <v>233750370.5283455</v>
      </c>
      <c r="P14" s="35">
        <f ca="1">'Delivered kWh'!G11</f>
        <v>269174607.97716194</v>
      </c>
      <c r="Q14" s="6">
        <f ca="1">SUM(E14:P14)</f>
        <v>2787584113.8710942</v>
      </c>
      <c r="R14" s="221"/>
    </row>
    <row r="15" spans="1:18" ht="12.75" x14ac:dyDescent="0.2">
      <c r="A15" s="30">
        <f t="shared" si="0"/>
        <v>7</v>
      </c>
      <c r="B15" s="30"/>
      <c r="C15" s="28" t="s">
        <v>38</v>
      </c>
      <c r="D15" s="21" t="s">
        <v>243</v>
      </c>
      <c r="E15" s="14">
        <f t="shared" ref="E15:P15" ca="1" si="2">E14/$Q14</f>
        <v>0.10103388085856095</v>
      </c>
      <c r="F15" s="14">
        <f t="shared" ca="1" si="2"/>
        <v>8.2177752826668074E-2</v>
      </c>
      <c r="G15" s="14">
        <f t="shared" ca="1" si="2"/>
        <v>9.0933567887047512E-2</v>
      </c>
      <c r="H15" s="14">
        <f t="shared" ca="1" si="2"/>
        <v>7.3232565434465477E-2</v>
      </c>
      <c r="I15" s="14">
        <f t="shared" ca="1" si="2"/>
        <v>7.897236779279701E-2</v>
      </c>
      <c r="J15" s="14">
        <f t="shared" ca="1" si="2"/>
        <v>7.3218427461168023E-2</v>
      </c>
      <c r="K15" s="14">
        <f t="shared" ca="1" si="2"/>
        <v>8.0845903623049747E-2</v>
      </c>
      <c r="L15" s="14">
        <f t="shared" ca="1" si="2"/>
        <v>8.4304491109627039E-2</v>
      </c>
      <c r="M15" s="14">
        <f t="shared" ca="1" si="2"/>
        <v>7.7482368651266342E-2</v>
      </c>
      <c r="N15" s="14">
        <f t="shared" ca="1" si="2"/>
        <v>7.7382601526214623E-2</v>
      </c>
      <c r="O15" s="14">
        <f t="shared" ca="1" si="2"/>
        <v>8.3854104837661148E-2</v>
      </c>
      <c r="P15" s="14">
        <f t="shared" ca="1" si="2"/>
        <v>9.6561967991473971E-2</v>
      </c>
      <c r="Q15" s="14">
        <f ca="1">SUM(E15:P15)</f>
        <v>0.99999999999999978</v>
      </c>
      <c r="R15" s="221"/>
    </row>
    <row r="16" spans="1:18" ht="12.75" x14ac:dyDescent="0.2">
      <c r="A16" s="30">
        <f t="shared" si="0"/>
        <v>8</v>
      </c>
      <c r="B16" s="30"/>
      <c r="C16" s="28"/>
      <c r="D16" s="21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1:17" ht="12.75" x14ac:dyDescent="0.2">
      <c r="A17" s="30">
        <f t="shared" si="0"/>
        <v>9</v>
      </c>
      <c r="B17" s="26" t="s">
        <v>121</v>
      </c>
      <c r="D17" s="30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5"/>
    </row>
    <row r="18" spans="1:17" ht="12.75" x14ac:dyDescent="0.2">
      <c r="A18" s="30">
        <f t="shared" si="0"/>
        <v>10</v>
      </c>
      <c r="B18" s="30"/>
      <c r="C18" s="28" t="str">
        <f>C10</f>
        <v>Weather-Normalized kWh Sales (Oct15-Sep16)</v>
      </c>
      <c r="D18" s="21" t="s">
        <v>281</v>
      </c>
      <c r="E18" s="35">
        <f ca="1">SUM('Delivered kWh'!H8,'Delivered kWh'!H12,'Delivered kWh'!H15,'Delivered kWh'!H19,'Delivered kWh'!H20)</f>
        <v>267613345.64547846</v>
      </c>
      <c r="F18" s="35">
        <f ca="1">SUM('Delivered kWh'!I8,'Delivered kWh'!I12,'Delivered kWh'!I15,'Delivered kWh'!I19,'Delivered kWh'!I20)</f>
        <v>245397026.67447519</v>
      </c>
      <c r="G18" s="35">
        <f ca="1">SUM('Delivered kWh'!J8,'Delivered kWh'!J12,'Delivered kWh'!J15,'Delivered kWh'!J19,'Delivered kWh'!J20)</f>
        <v>268565291.70652598</v>
      </c>
      <c r="H18" s="35">
        <f ca="1">SUM('Delivered kWh'!K8,'Delivered kWh'!K12,'Delivered kWh'!K15,'Delivered kWh'!K19,'Delivered kWh'!K20)</f>
        <v>213863374.52241391</v>
      </c>
      <c r="I18" s="35">
        <f ca="1">SUM('Delivered kWh'!L8,'Delivered kWh'!L12,'Delivered kWh'!L15,'Delivered kWh'!L19,'Delivered kWh'!L20)</f>
        <v>228622008.49373269</v>
      </c>
      <c r="J18" s="35">
        <f ca="1">SUM('Delivered kWh'!M8,'Delivered kWh'!M12,'Delivered kWh'!M15,'Delivered kWh'!M19,'Delivered kWh'!M20)</f>
        <v>243487500.80227262</v>
      </c>
      <c r="K18" s="35">
        <f ca="1">SUM('Delivered kWh'!N8,'Delivered kWh'!N12,'Delivered kWh'!N15,'Delivered kWh'!N19,'Delivered kWh'!N20)</f>
        <v>249418126.66181687</v>
      </c>
      <c r="L18" s="35">
        <f ca="1">SUM('Delivered kWh'!O8,'Delivered kWh'!O12,'Delivered kWh'!O15,'Delivered kWh'!O19,'Delivered kWh'!O20)</f>
        <v>237571803.53498957</v>
      </c>
      <c r="M18" s="35">
        <f ca="1">SUM('Delivered kWh'!P8,'Delivered kWh'!P12,'Delivered kWh'!P15,'Delivered kWh'!P19,'Delivered kWh'!P20)</f>
        <v>253516474.06788689</v>
      </c>
      <c r="N18" s="35">
        <f ca="1">SUM('Delivered kWh'!E8,'Delivered kWh'!E12,'Delivered kWh'!E15,'Delivered kWh'!E19,'Delivered kWh'!E20)</f>
        <v>241618524.52650315</v>
      </c>
      <c r="O18" s="35">
        <f ca="1">SUM('Delivered kWh'!F8,'Delivered kWh'!F12,'Delivered kWh'!F15,'Delivered kWh'!F19,'Delivered kWh'!F20)</f>
        <v>246589455.65272796</v>
      </c>
      <c r="P18" s="35">
        <f ca="1">SUM('Delivered kWh'!G8,'Delivered kWh'!G12,'Delivered kWh'!G15,'Delivered kWh'!G19,'Delivered kWh'!G20)</f>
        <v>281635856.03703481</v>
      </c>
      <c r="Q18" s="6">
        <f ca="1">SUM(E18:P18)</f>
        <v>2977898788.3258586</v>
      </c>
    </row>
    <row r="19" spans="1:17" ht="12.75" x14ac:dyDescent="0.2">
      <c r="A19" s="30">
        <f t="shared" si="0"/>
        <v>11</v>
      </c>
      <c r="B19" s="30"/>
      <c r="C19" s="28" t="s">
        <v>38</v>
      </c>
      <c r="D19" s="42" t="s">
        <v>244</v>
      </c>
      <c r="E19" s="37">
        <f t="shared" ref="E19:P19" ca="1" si="3">E18/$Q18</f>
        <v>8.9866501405149402E-2</v>
      </c>
      <c r="F19" s="37">
        <f t="shared" ca="1" si="3"/>
        <v>8.2406100447904973E-2</v>
      </c>
      <c r="G19" s="37">
        <f t="shared" ca="1" si="3"/>
        <v>9.0186171793135511E-2</v>
      </c>
      <c r="H19" s="37">
        <f t="shared" ca="1" si="3"/>
        <v>7.181687146682561E-2</v>
      </c>
      <c r="I19" s="37">
        <f t="shared" ca="1" si="3"/>
        <v>7.6772927740187374E-2</v>
      </c>
      <c r="J19" s="37">
        <f t="shared" ca="1" si="3"/>
        <v>8.1764867817807396E-2</v>
      </c>
      <c r="K19" s="37">
        <f t="shared" ca="1" si="3"/>
        <v>8.3756414972732146E-2</v>
      </c>
      <c r="L19" s="37">
        <f t="shared" ca="1" si="3"/>
        <v>7.9778333792381764E-2</v>
      </c>
      <c r="M19" s="37">
        <f t="shared" ca="1" si="3"/>
        <v>8.513266974073723E-2</v>
      </c>
      <c r="N19" s="37">
        <f t="shared" ca="1" si="3"/>
        <v>8.1137252036137322E-2</v>
      </c>
      <c r="O19" s="37">
        <f t="shared" ca="1" si="3"/>
        <v>8.2806526742756695E-2</v>
      </c>
      <c r="P19" s="37">
        <f t="shared" ca="1" si="3"/>
        <v>9.457536204424441E-2</v>
      </c>
      <c r="Q19" s="37">
        <f ca="1">SUM(E19:P19)</f>
        <v>0.99999999999999978</v>
      </c>
    </row>
    <row r="20" spans="1:17" ht="12.75" x14ac:dyDescent="0.2">
      <c r="A20" s="30">
        <f t="shared" si="0"/>
        <v>12</v>
      </c>
      <c r="B20" s="30"/>
      <c r="C20" s="28"/>
      <c r="D20" s="41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ht="12.75" x14ac:dyDescent="0.2">
      <c r="A21" s="30">
        <f t="shared" si="0"/>
        <v>13</v>
      </c>
      <c r="B21" s="26" t="s">
        <v>350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ht="12.75" x14ac:dyDescent="0.2">
      <c r="A22" s="30">
        <f t="shared" si="0"/>
        <v>14</v>
      </c>
      <c r="B22" s="30"/>
      <c r="C22" s="28" t="str">
        <f>C10</f>
        <v>Weather-Normalized kWh Sales (Oct15-Sep16)</v>
      </c>
      <c r="D22" s="21" t="s">
        <v>281</v>
      </c>
      <c r="E22" s="35">
        <f ca="1">'Delivered kWh'!H23</f>
        <v>57172868.537418649</v>
      </c>
      <c r="F22" s="35">
        <f ca="1">'Delivered kWh'!I23</f>
        <v>44963441.933640912</v>
      </c>
      <c r="G22" s="35">
        <f ca="1">'Delivered kWh'!J23</f>
        <v>45820828.074154593</v>
      </c>
      <c r="H22" s="35">
        <f ca="1">'Delivered kWh'!K23</f>
        <v>45739724.977565609</v>
      </c>
      <c r="I22" s="35">
        <f ca="1">'Delivered kWh'!L23</f>
        <v>58590734.122435242</v>
      </c>
      <c r="J22" s="35">
        <f ca="1">'Delivered kWh'!M23</f>
        <v>49835181.137705147</v>
      </c>
      <c r="K22" s="35">
        <f ca="1">'Delivered kWh'!N23</f>
        <v>50172203.627229638</v>
      </c>
      <c r="L22" s="35">
        <f ca="1">'Delivered kWh'!O23</f>
        <v>64817278.500200994</v>
      </c>
      <c r="M22" s="35">
        <f ca="1">'Delivered kWh'!P23</f>
        <v>46141317.431857787</v>
      </c>
      <c r="N22" s="35">
        <f ca="1">'Delivered kWh'!E23</f>
        <v>53144004.08998695</v>
      </c>
      <c r="O22" s="35">
        <f ca="1">'Delivered kWh'!F23</f>
        <v>48441755.184000134</v>
      </c>
      <c r="P22" s="35">
        <f ca="1">'Delivered kWh'!G23</f>
        <v>56839388.722935259</v>
      </c>
      <c r="Q22" s="6">
        <f ca="1">SUM(E22:P22)</f>
        <v>621678726.33913088</v>
      </c>
    </row>
    <row r="23" spans="1:17" ht="12.75" x14ac:dyDescent="0.2">
      <c r="A23" s="30">
        <f t="shared" si="0"/>
        <v>15</v>
      </c>
      <c r="B23" s="30"/>
      <c r="C23" s="28" t="s">
        <v>38</v>
      </c>
      <c r="D23" s="21" t="s">
        <v>245</v>
      </c>
      <c r="E23" s="14">
        <f t="shared" ref="E23:P23" ca="1" si="4">E22/$Q22</f>
        <v>9.1965296728249921E-2</v>
      </c>
      <c r="F23" s="14">
        <f t="shared" ca="1" si="4"/>
        <v>7.232584939558151E-2</v>
      </c>
      <c r="G23" s="14">
        <f t="shared" ca="1" si="4"/>
        <v>7.370499605797827E-2</v>
      </c>
      <c r="H23" s="14">
        <f t="shared" ca="1" si="4"/>
        <v>7.357453784354559E-2</v>
      </c>
      <c r="I23" s="14">
        <f t="shared" ca="1" si="4"/>
        <v>9.4246001415325117E-2</v>
      </c>
      <c r="J23" s="14">
        <f t="shared" ca="1" si="4"/>
        <v>8.0162275185398008E-2</v>
      </c>
      <c r="K23" s="14">
        <f t="shared" ca="1" si="4"/>
        <v>8.070439199790197E-2</v>
      </c>
      <c r="L23" s="14">
        <f t="shared" ca="1" si="4"/>
        <v>0.10426169620100952</v>
      </c>
      <c r="M23" s="14">
        <f t="shared" ca="1" si="4"/>
        <v>7.4220518536269361E-2</v>
      </c>
      <c r="N23" s="14">
        <f t="shared" ca="1" si="4"/>
        <v>8.5484675344989131E-2</v>
      </c>
      <c r="O23" s="14">
        <f t="shared" ca="1" si="4"/>
        <v>7.7920882815563419E-2</v>
      </c>
      <c r="P23" s="14">
        <f t="shared" ca="1" si="4"/>
        <v>9.1428878478188272E-2</v>
      </c>
      <c r="Q23" s="14">
        <f ca="1">SUM(E23:P23)</f>
        <v>1.0000000000000002</v>
      </c>
    </row>
    <row r="24" spans="1:17" ht="12.75" x14ac:dyDescent="0.2">
      <c r="A24" s="30">
        <f t="shared" si="0"/>
        <v>16</v>
      </c>
      <c r="B24" s="30"/>
      <c r="C24" s="28"/>
      <c r="D24" s="21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</row>
    <row r="25" spans="1:17" ht="12.75" x14ac:dyDescent="0.2">
      <c r="A25" s="30">
        <f t="shared" si="0"/>
        <v>17</v>
      </c>
      <c r="B25" s="26" t="s">
        <v>56</v>
      </c>
      <c r="C25" s="28"/>
      <c r="D25" s="30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5"/>
    </row>
    <row r="26" spans="1:17" ht="12.75" x14ac:dyDescent="0.2">
      <c r="A26" s="30">
        <f t="shared" si="0"/>
        <v>18</v>
      </c>
      <c r="B26" s="30"/>
      <c r="C26" s="85" t="str">
        <f>C10</f>
        <v>Weather-Normalized kWh Sales (Oct15-Sep16)</v>
      </c>
      <c r="D26" s="21" t="s">
        <v>281</v>
      </c>
      <c r="E26" s="35">
        <f ca="1">SUM('Delivered kWh'!H13,'Delivered kWh'!H14)</f>
        <v>154451386.34980652</v>
      </c>
      <c r="F26" s="35">
        <f ca="1">SUM('Delivered kWh'!I13,'Delivered kWh'!I14)</f>
        <v>150242373.11820722</v>
      </c>
      <c r="G26" s="35">
        <f ca="1">SUM('Delivered kWh'!J13,'Delivered kWh'!J14)</f>
        <v>155584276.86746776</v>
      </c>
      <c r="H26" s="35">
        <f ca="1">SUM('Delivered kWh'!K13,'Delivered kWh'!K14)</f>
        <v>151122140.90693125</v>
      </c>
      <c r="I26" s="35">
        <f ca="1">SUM('Delivered kWh'!L13,'Delivered kWh'!L14)</f>
        <v>137050894.28021634</v>
      </c>
      <c r="J26" s="35">
        <f ca="1">SUM('Delivered kWh'!M13,'Delivered kWh'!M14)</f>
        <v>172284220.99076775</v>
      </c>
      <c r="K26" s="35">
        <f ca="1">SUM('Delivered kWh'!N13,'Delivered kWh'!N14)</f>
        <v>168289272.0508343</v>
      </c>
      <c r="L26" s="35">
        <f ca="1">SUM('Delivered kWh'!O13,'Delivered kWh'!O14)</f>
        <v>162097717.62628406</v>
      </c>
      <c r="M26" s="35">
        <f ca="1">SUM('Delivered kWh'!P13,'Delivered kWh'!P14)</f>
        <v>162007374.31965962</v>
      </c>
      <c r="N26" s="35">
        <f ca="1">SUM('Delivered kWh'!E13,'Delivered kWh'!E14)</f>
        <v>157563996.95407352</v>
      </c>
      <c r="O26" s="35">
        <f ca="1">SUM('Delivered kWh'!F13,'Delivered kWh'!F14)</f>
        <v>151971425.22492501</v>
      </c>
      <c r="P26" s="35">
        <f ca="1">SUM('Delivered kWh'!G13,'Delivered kWh'!G14)</f>
        <v>169389665.69247249</v>
      </c>
      <c r="Q26" s="6">
        <f ca="1">SUM(E26:P26)</f>
        <v>1892054744.3816459</v>
      </c>
    </row>
    <row r="27" spans="1:17" ht="12.75" x14ac:dyDescent="0.2">
      <c r="A27" s="30">
        <f t="shared" si="0"/>
        <v>19</v>
      </c>
      <c r="B27" s="30"/>
      <c r="C27" s="28" t="s">
        <v>38</v>
      </c>
      <c r="D27" s="42" t="s">
        <v>246</v>
      </c>
      <c r="E27" s="37">
        <f t="shared" ref="E27:P27" ca="1" si="5">E26/$Q26</f>
        <v>8.1631563150295489E-2</v>
      </c>
      <c r="F27" s="37">
        <f t="shared" ca="1" si="5"/>
        <v>7.9406990502967109E-2</v>
      </c>
      <c r="G27" s="37">
        <f t="shared" ca="1" si="5"/>
        <v>8.2230325168691262E-2</v>
      </c>
      <c r="H27" s="37">
        <f t="shared" ca="1" si="5"/>
        <v>7.9871970594762268E-2</v>
      </c>
      <c r="I27" s="37">
        <f t="shared" ca="1" si="5"/>
        <v>7.2434951835924175E-2</v>
      </c>
      <c r="J27" s="37">
        <f t="shared" ca="1" si="5"/>
        <v>9.1056678725790791E-2</v>
      </c>
      <c r="K27" s="37">
        <f t="shared" ca="1" si="5"/>
        <v>8.8945244608043275E-2</v>
      </c>
      <c r="L27" s="37">
        <f t="shared" ca="1" si="5"/>
        <v>8.5672847526016074E-2</v>
      </c>
      <c r="M27" s="37">
        <f t="shared" ca="1" si="5"/>
        <v>8.562509874554726E-2</v>
      </c>
      <c r="N27" s="37">
        <f t="shared" ca="1" si="5"/>
        <v>8.3276658575525506E-2</v>
      </c>
      <c r="O27" s="37">
        <f t="shared" ca="1" si="5"/>
        <v>8.0320839381733497E-2</v>
      </c>
      <c r="P27" s="37">
        <f t="shared" ca="1" si="5"/>
        <v>8.9526831184703254E-2</v>
      </c>
      <c r="Q27" s="37">
        <f ca="1">SUM(E27:P27)</f>
        <v>1</v>
      </c>
    </row>
    <row r="28" spans="1:17" ht="12.75" x14ac:dyDescent="0.2">
      <c r="A28" s="30">
        <f t="shared" si="0"/>
        <v>20</v>
      </c>
      <c r="B28" s="30"/>
      <c r="C28" s="28"/>
      <c r="D28" s="41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</row>
    <row r="29" spans="1:17" ht="12.75" x14ac:dyDescent="0.2">
      <c r="A29" s="30">
        <f t="shared" si="0"/>
        <v>21</v>
      </c>
      <c r="B29" s="26" t="s">
        <v>57</v>
      </c>
      <c r="C29" s="28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</row>
    <row r="30" spans="1:17" ht="12.75" x14ac:dyDescent="0.2">
      <c r="A30" s="30">
        <f t="shared" si="0"/>
        <v>22</v>
      </c>
      <c r="B30" s="30"/>
      <c r="C30" s="85" t="str">
        <f>C10</f>
        <v>Weather-Normalized kWh Sales (Oct15-Sep16)</v>
      </c>
      <c r="D30" s="21" t="s">
        <v>281</v>
      </c>
      <c r="E30" s="35">
        <f ca="1">'Delivered kWh'!H18</f>
        <v>104846532.38647696</v>
      </c>
      <c r="F30" s="35">
        <f ca="1">'Delivered kWh'!I18</f>
        <v>112799481.29066783</v>
      </c>
      <c r="G30" s="35">
        <f ca="1">'Delivered kWh'!J18</f>
        <v>106235133.21365285</v>
      </c>
      <c r="H30" s="35">
        <f ca="1">'Delivered kWh'!K18</f>
        <v>95566793.209115341</v>
      </c>
      <c r="I30" s="35">
        <f ca="1">'Delivered kWh'!L18</f>
        <v>88670200.915264264</v>
      </c>
      <c r="J30" s="35">
        <f ca="1">'Delivered kWh'!M18</f>
        <v>115990767.48060417</v>
      </c>
      <c r="K30" s="35">
        <f ca="1">'Delivered kWh'!N18</f>
        <v>111249832.76293805</v>
      </c>
      <c r="L30" s="35">
        <f ca="1">'Delivered kWh'!O18</f>
        <v>115523001.3090072</v>
      </c>
      <c r="M30" s="35">
        <f ca="1">'Delivered kWh'!P18</f>
        <v>110217968.9765002</v>
      </c>
      <c r="N30" s="35">
        <f ca="1">'Delivered kWh'!E18</f>
        <v>106565055.36138692</v>
      </c>
      <c r="O30" s="35">
        <f ca="1">'Delivered kWh'!F18</f>
        <v>103524461.90904701</v>
      </c>
      <c r="P30" s="35">
        <f ca="1">'Delivered kWh'!G18</f>
        <v>113212345.64403586</v>
      </c>
      <c r="Q30" s="6">
        <f ca="1">SUM(E30:P30)</f>
        <v>1284401574.4586964</v>
      </c>
    </row>
    <row r="31" spans="1:17" ht="12.75" x14ac:dyDescent="0.2">
      <c r="A31" s="30">
        <f t="shared" si="0"/>
        <v>23</v>
      </c>
      <c r="B31" s="30"/>
      <c r="C31" s="28" t="s">
        <v>38</v>
      </c>
      <c r="D31" s="21" t="s">
        <v>247</v>
      </c>
      <c r="E31" s="14">
        <f t="shared" ref="E31:P31" ca="1" si="6">E30/$Q30</f>
        <v>8.1630647666142836E-2</v>
      </c>
      <c r="F31" s="14">
        <f t="shared" ca="1" si="6"/>
        <v>8.782259655684907E-2</v>
      </c>
      <c r="G31" s="14">
        <f t="shared" ca="1" si="6"/>
        <v>8.271177435953006E-2</v>
      </c>
      <c r="H31" s="14">
        <f t="shared" ca="1" si="6"/>
        <v>7.4405696091887311E-2</v>
      </c>
      <c r="I31" s="14">
        <f t="shared" ca="1" si="6"/>
        <v>6.9036197618049328E-2</v>
      </c>
      <c r="J31" s="14">
        <f t="shared" ca="1" si="6"/>
        <v>9.0307244857970384E-2</v>
      </c>
      <c r="K31" s="14">
        <f t="shared" ca="1" si="6"/>
        <v>8.6616082520627288E-2</v>
      </c>
      <c r="L31" s="14">
        <f t="shared" ca="1" si="6"/>
        <v>8.9943054887404436E-2</v>
      </c>
      <c r="M31" s="14">
        <f t="shared" ca="1" si="6"/>
        <v>8.5812701547762368E-2</v>
      </c>
      <c r="N31" s="14">
        <f t="shared" ca="1" si="6"/>
        <v>8.2968642736441792E-2</v>
      </c>
      <c r="O31" s="14">
        <f t="shared" ca="1" si="6"/>
        <v>8.0601319686700632E-2</v>
      </c>
      <c r="P31" s="14">
        <f t="shared" ca="1" si="6"/>
        <v>8.8144041470634718E-2</v>
      </c>
      <c r="Q31" s="14">
        <f ca="1">SUM(E31:P31)</f>
        <v>1</v>
      </c>
    </row>
    <row r="32" spans="1:17" ht="12.75" x14ac:dyDescent="0.2">
      <c r="A32" s="30">
        <f t="shared" si="0"/>
        <v>24</v>
      </c>
      <c r="B32" s="30"/>
      <c r="C32" s="28"/>
      <c r="D32" s="21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1:17" ht="12.75" x14ac:dyDescent="0.2">
      <c r="A33" s="30">
        <f t="shared" si="0"/>
        <v>25</v>
      </c>
      <c r="B33" s="5" t="s">
        <v>286</v>
      </c>
      <c r="D33" s="30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1:17" ht="12.75" x14ac:dyDescent="0.2">
      <c r="A34" s="30">
        <f t="shared" si="0"/>
        <v>26</v>
      </c>
      <c r="B34" s="26" t="str">
        <f>B9</f>
        <v>Schedule 7</v>
      </c>
      <c r="D34" s="30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</row>
    <row r="35" spans="1:17" ht="12.75" x14ac:dyDescent="0.2">
      <c r="A35" s="30">
        <f t="shared" si="0"/>
        <v>27</v>
      </c>
      <c r="B35" s="30"/>
      <c r="C35" s="28" t="s">
        <v>279</v>
      </c>
      <c r="D35" s="30" t="s">
        <v>395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45">
        <f ca="1">'JAP-47 Page 1'!D12</f>
        <v>297457037.89283293</v>
      </c>
    </row>
    <row r="36" spans="1:17" ht="12.75" x14ac:dyDescent="0.2">
      <c r="A36" s="30">
        <f t="shared" si="0"/>
        <v>28</v>
      </c>
      <c r="B36" s="30"/>
      <c r="C36" s="28" t="s">
        <v>287</v>
      </c>
      <c r="D36" s="30" t="str">
        <f>"("&amp;A$11&amp;") x ("&amp;A35&amp;")"</f>
        <v>(3) x (27)</v>
      </c>
      <c r="E36" s="32">
        <f ca="1">$Q35*E$11</f>
        <v>34917627.709085248</v>
      </c>
      <c r="F36" s="32">
        <f t="shared" ref="F36:P36" ca="1" si="7">$Q35*F$11</f>
        <v>29594111.848914854</v>
      </c>
      <c r="G36" s="32">
        <f t="shared" ca="1" si="7"/>
        <v>28517898.678645484</v>
      </c>
      <c r="H36" s="32">
        <f t="shared" ca="1" si="7"/>
        <v>22670834.27976409</v>
      </c>
      <c r="I36" s="32">
        <f t="shared" ca="1" si="7"/>
        <v>20383010.886172473</v>
      </c>
      <c r="J36" s="32">
        <f t="shared" ca="1" si="7"/>
        <v>17623220.096889228</v>
      </c>
      <c r="K36" s="32">
        <f t="shared" ca="1" si="7"/>
        <v>19746997.133513048</v>
      </c>
      <c r="L36" s="32">
        <f t="shared" ca="1" si="7"/>
        <v>19137140.193597313</v>
      </c>
      <c r="M36" s="32">
        <f t="shared" ca="1" si="7"/>
        <v>17532667.278452456</v>
      </c>
      <c r="N36" s="32">
        <f t="shared" ca="1" si="7"/>
        <v>22457603.692996476</v>
      </c>
      <c r="O36" s="32">
        <f t="shared" ca="1" si="7"/>
        <v>29299148.663888957</v>
      </c>
      <c r="P36" s="32">
        <f t="shared" ca="1" si="7"/>
        <v>35576777.430913351</v>
      </c>
      <c r="Q36" s="31">
        <f ca="1">SUM(E36:P36)</f>
        <v>297457037.89283293</v>
      </c>
    </row>
    <row r="37" spans="1:17" ht="12.75" x14ac:dyDescent="0.2">
      <c r="A37" s="30">
        <f t="shared" si="0"/>
        <v>29</v>
      </c>
      <c r="B37" s="30"/>
      <c r="C37" s="28"/>
      <c r="D37" s="7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31"/>
    </row>
    <row r="38" spans="1:17" ht="12.75" x14ac:dyDescent="0.2">
      <c r="A38" s="30">
        <f t="shared" si="0"/>
        <v>30</v>
      </c>
      <c r="B38" s="26" t="str">
        <f>B13</f>
        <v>Schedules 8 &amp; 24</v>
      </c>
      <c r="D38" s="30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31"/>
    </row>
    <row r="39" spans="1:17" ht="12.75" x14ac:dyDescent="0.2">
      <c r="A39" s="30">
        <f t="shared" si="0"/>
        <v>31</v>
      </c>
      <c r="B39" s="30"/>
      <c r="C39" s="85" t="s">
        <v>279</v>
      </c>
      <c r="D39" s="30" t="str">
        <f>$D$35</f>
        <v>JAP-47 Page 1</v>
      </c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45">
        <f ca="1">'JAP-47 Page 1'!E12</f>
        <v>72924622.04392907</v>
      </c>
    </row>
    <row r="40" spans="1:17" ht="12.75" x14ac:dyDescent="0.2">
      <c r="A40" s="30">
        <f t="shared" si="0"/>
        <v>32</v>
      </c>
      <c r="B40" s="30"/>
      <c r="C40" s="85" t="s">
        <v>287</v>
      </c>
      <c r="D40" s="30" t="str">
        <f>"("&amp;A$15&amp;") x ("&amp;A39&amp;")"</f>
        <v>(7) x (31)</v>
      </c>
      <c r="E40" s="32">
        <f ca="1">$Q39*E$15</f>
        <v>7367857.5752419168</v>
      </c>
      <c r="F40" s="32">
        <f t="shared" ref="F40:P40" ca="1" si="8">$Q39*F$15</f>
        <v>5992781.5653041927</v>
      </c>
      <c r="G40" s="32">
        <f t="shared" ca="1" si="8"/>
        <v>6631296.0692689056</v>
      </c>
      <c r="H40" s="32">
        <f t="shared" ca="1" si="8"/>
        <v>5340457.1556156995</v>
      </c>
      <c r="I40" s="32">
        <f t="shared" ca="1" si="8"/>
        <v>5759030.0732038794</v>
      </c>
      <c r="J40" s="32">
        <f t="shared" ca="1" si="8"/>
        <v>5339426.1492565153</v>
      </c>
      <c r="K40" s="32">
        <f t="shared" ca="1" si="8"/>
        <v>5895656.9655108191</v>
      </c>
      <c r="L40" s="32">
        <f t="shared" ca="1" si="8"/>
        <v>6147873.1507753301</v>
      </c>
      <c r="M40" s="32">
        <f t="shared" ca="1" si="8"/>
        <v>5650372.448961976</v>
      </c>
      <c r="N40" s="32">
        <f ca="1">$Q39*N$15</f>
        <v>5643096.9690751703</v>
      </c>
      <c r="O40" s="32">
        <f t="shared" ca="1" si="8"/>
        <v>6115028.9021184435</v>
      </c>
      <c r="P40" s="32">
        <f t="shared" ca="1" si="8"/>
        <v>7041745.0195962163</v>
      </c>
      <c r="Q40" s="31">
        <f ca="1">SUM(E40:P40)</f>
        <v>72924622.04392907</v>
      </c>
    </row>
    <row r="41" spans="1:17" ht="12.75" x14ac:dyDescent="0.2">
      <c r="A41" s="30">
        <f t="shared" si="0"/>
        <v>33</v>
      </c>
      <c r="B41" s="30"/>
      <c r="C41" s="28"/>
      <c r="D41" s="7"/>
      <c r="E41" s="30"/>
      <c r="F41" s="30"/>
      <c r="G41" s="30"/>
      <c r="H41" s="30"/>
      <c r="I41" s="28"/>
      <c r="J41" s="28"/>
      <c r="K41" s="28"/>
      <c r="L41" s="28"/>
      <c r="M41" s="28"/>
      <c r="N41" s="28"/>
      <c r="O41" s="28"/>
      <c r="P41" s="28"/>
      <c r="Q41" s="31"/>
    </row>
    <row r="42" spans="1:17" ht="12.75" x14ac:dyDescent="0.2">
      <c r="A42" s="30">
        <f t="shared" si="0"/>
        <v>34</v>
      </c>
      <c r="B42" s="26" t="str">
        <f>B17</f>
        <v>Schedules 7A, 11, 25, 29, 35 &amp; 43</v>
      </c>
      <c r="D42" s="30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31"/>
    </row>
    <row r="43" spans="1:17" ht="12.75" x14ac:dyDescent="0.2">
      <c r="A43" s="30">
        <f t="shared" si="0"/>
        <v>35</v>
      </c>
      <c r="B43" s="30"/>
      <c r="C43" s="85" t="s">
        <v>279</v>
      </c>
      <c r="D43" s="30" t="str">
        <f>$D$35</f>
        <v>JAP-47 Page 1</v>
      </c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45">
        <f ca="1">'JAP-47 Page 1'!F12</f>
        <v>76054218.085537478</v>
      </c>
    </row>
    <row r="44" spans="1:17" ht="12.75" x14ac:dyDescent="0.2">
      <c r="A44" s="30">
        <f t="shared" si="0"/>
        <v>36</v>
      </c>
      <c r="B44" s="30"/>
      <c r="C44" s="85" t="s">
        <v>287</v>
      </c>
      <c r="D44" s="30" t="str">
        <f>"("&amp;A$19&amp;") x ("&amp;A43&amp;")"</f>
        <v>(11) x (35)</v>
      </c>
      <c r="E44" s="32">
        <f t="shared" ref="E44:P44" ca="1" si="9">$Q43*E$19</f>
        <v>6834726.4964514924</v>
      </c>
      <c r="F44" s="32">
        <f t="shared" ca="1" si="9"/>
        <v>6267331.5350436727</v>
      </c>
      <c r="G44" s="32">
        <f t="shared" ca="1" si="9"/>
        <v>6859038.7778548766</v>
      </c>
      <c r="H44" s="32">
        <f t="shared" ca="1" si="9"/>
        <v>5461976.0047589689</v>
      </c>
      <c r="I44" s="32">
        <f t="shared" ca="1" si="9"/>
        <v>5838904.9894174207</v>
      </c>
      <c r="J44" s="32">
        <f t="shared" ca="1" si="9"/>
        <v>6218563.0887506688</v>
      </c>
      <c r="K44" s="32">
        <f t="shared" ca="1" si="9"/>
        <v>6370028.6503989473</v>
      </c>
      <c r="L44" s="32">
        <f t="shared" ca="1" si="9"/>
        <v>6067478.7967466069</v>
      </c>
      <c r="M44" s="32">
        <f t="shared" ca="1" si="9"/>
        <v>6474698.6306660669</v>
      </c>
      <c r="N44" s="32">
        <f t="shared" ca="1" si="9"/>
        <v>6170830.2612176081</v>
      </c>
      <c r="O44" s="32">
        <f t="shared" ca="1" si="9"/>
        <v>6297785.6437995089</v>
      </c>
      <c r="P44" s="32">
        <f t="shared" ca="1" si="9"/>
        <v>7192855.2104316279</v>
      </c>
      <c r="Q44" s="31">
        <f ca="1">SUM(E44:P44)</f>
        <v>76054218.085537463</v>
      </c>
    </row>
    <row r="45" spans="1:17" ht="12.75" x14ac:dyDescent="0.2">
      <c r="A45" s="30">
        <f t="shared" si="0"/>
        <v>37</v>
      </c>
    </row>
    <row r="46" spans="1:17" ht="12.75" x14ac:dyDescent="0.2">
      <c r="A46" s="30">
        <f t="shared" si="0"/>
        <v>38</v>
      </c>
      <c r="B46" s="26" t="str">
        <f>B21</f>
        <v>Schedule 40</v>
      </c>
      <c r="D46" s="30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31"/>
    </row>
    <row r="47" spans="1:17" ht="12.75" x14ac:dyDescent="0.2">
      <c r="A47" s="30">
        <f t="shared" si="0"/>
        <v>39</v>
      </c>
      <c r="B47" s="30"/>
      <c r="C47" s="85" t="s">
        <v>279</v>
      </c>
      <c r="D47" s="30" t="str">
        <f>$D$35</f>
        <v>JAP-47 Page 1</v>
      </c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45">
        <f ca="1">'JAP-47 Page 1'!G12</f>
        <v>14809570.029492721</v>
      </c>
    </row>
    <row r="48" spans="1:17" ht="12.75" x14ac:dyDescent="0.2">
      <c r="A48" s="30">
        <f t="shared" si="0"/>
        <v>40</v>
      </c>
      <c r="B48" s="30"/>
      <c r="C48" s="85" t="s">
        <v>287</v>
      </c>
      <c r="D48" s="30" t="str">
        <f>"("&amp;A$23&amp;") x ("&amp;A47&amp;")"</f>
        <v>(15) x (39)</v>
      </c>
      <c r="E48" s="32">
        <f ca="1">$Q47*E$23</f>
        <v>1361966.5021800951</v>
      </c>
      <c r="F48" s="32">
        <f t="shared" ref="F48:P48" ca="1" si="10">$Q47*F$23</f>
        <v>1071114.7315664082</v>
      </c>
      <c r="G48" s="32">
        <f t="shared" ca="1" si="10"/>
        <v>1091539.3006441141</v>
      </c>
      <c r="H48" s="32">
        <f t="shared" ca="1" si="10"/>
        <v>1089607.2705815507</v>
      </c>
      <c r="I48" s="32">
        <f t="shared" ca="1" si="10"/>
        <v>1395742.7579599274</v>
      </c>
      <c r="J48" s="32">
        <f t="shared" ca="1" si="10"/>
        <v>1187168.8280816183</v>
      </c>
      <c r="K48" s="32">
        <f t="shared" ca="1" si="10"/>
        <v>1195197.3449805612</v>
      </c>
      <c r="L48" s="32">
        <f t="shared" ca="1" si="10"/>
        <v>1544070.8912825456</v>
      </c>
      <c r="M48" s="32">
        <f t="shared" ca="1" si="10"/>
        <v>1099173.9668881437</v>
      </c>
      <c r="N48" s="32">
        <f t="shared" ca="1" si="10"/>
        <v>1265991.2859700664</v>
      </c>
      <c r="O48" s="32">
        <f t="shared" ca="1" si="10"/>
        <v>1153974.7708169825</v>
      </c>
      <c r="P48" s="32">
        <f t="shared" ca="1" si="10"/>
        <v>1354022.3785407091</v>
      </c>
      <c r="Q48" s="31">
        <f ca="1">SUM(E48:P48)</f>
        <v>14809570.029492721</v>
      </c>
    </row>
    <row r="49" spans="1:17" ht="12.75" x14ac:dyDescent="0.2">
      <c r="A49" s="30">
        <f t="shared" si="0"/>
        <v>41</v>
      </c>
    </row>
    <row r="50" spans="1:17" ht="12.75" x14ac:dyDescent="0.2">
      <c r="A50" s="30">
        <f t="shared" si="0"/>
        <v>42</v>
      </c>
      <c r="B50" s="26" t="str">
        <f>B25</f>
        <v>Schedules 12 &amp; 26</v>
      </c>
      <c r="D50" s="30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31"/>
    </row>
    <row r="51" spans="1:17" ht="12.75" x14ac:dyDescent="0.2">
      <c r="A51" s="30">
        <f t="shared" si="0"/>
        <v>43</v>
      </c>
      <c r="B51" s="30"/>
      <c r="C51" s="85" t="s">
        <v>279</v>
      </c>
      <c r="D51" s="30" t="str">
        <f>$D$35</f>
        <v>JAP-47 Page 1</v>
      </c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45">
        <f ca="1">'JAP-47 Page 1'!H12</f>
        <v>47620085.712548651</v>
      </c>
    </row>
    <row r="52" spans="1:17" ht="12.75" x14ac:dyDescent="0.2">
      <c r="A52" s="30">
        <f t="shared" si="0"/>
        <v>44</v>
      </c>
      <c r="B52" s="30"/>
      <c r="C52" s="85" t="s">
        <v>287</v>
      </c>
      <c r="D52" s="30" t="str">
        <f>"("&amp;A$27&amp;") x ("&amp;A51&amp;")"</f>
        <v>(19) x (43)</v>
      </c>
      <c r="E52" s="32">
        <f t="shared" ref="E52:P52" ca="1" si="11">$Q51*E$27</f>
        <v>3887302.0340663991</v>
      </c>
      <c r="F52" s="32">
        <f t="shared" ca="1" si="11"/>
        <v>3781367.6939268303</v>
      </c>
      <c r="G52" s="32">
        <f t="shared" ca="1" si="11"/>
        <v>3915815.1327038244</v>
      </c>
      <c r="H52" s="32">
        <f t="shared" ca="1" si="11"/>
        <v>3803510.0857527447</v>
      </c>
      <c r="I52" s="32">
        <f t="shared" ca="1" si="11"/>
        <v>3449358.6150110424</v>
      </c>
      <c r="J52" s="32">
        <f t="shared" ca="1" si="11"/>
        <v>4336126.8456221623</v>
      </c>
      <c r="K52" s="32">
        <f t="shared" ca="1" si="11"/>
        <v>4235580.1719586262</v>
      </c>
      <c r="L52" s="32">
        <f t="shared" ca="1" si="11"/>
        <v>4079748.3424269971</v>
      </c>
      <c r="M52" s="32">
        <f t="shared" ca="1" si="11"/>
        <v>4077474.5414084024</v>
      </c>
      <c r="N52" s="32">
        <f t="shared" ca="1" si="11"/>
        <v>3965641.6192211742</v>
      </c>
      <c r="O52" s="32">
        <f t="shared" ca="1" si="11"/>
        <v>3824885.2558620023</v>
      </c>
      <c r="P52" s="32">
        <f t="shared" ca="1" si="11"/>
        <v>4263275.374588442</v>
      </c>
      <c r="Q52" s="31">
        <f ca="1">SUM(E52:P52)</f>
        <v>47620085.712548651</v>
      </c>
    </row>
    <row r="53" spans="1:17" ht="12.75" x14ac:dyDescent="0.2">
      <c r="A53" s="30">
        <f t="shared" si="0"/>
        <v>45</v>
      </c>
    </row>
    <row r="54" spans="1:17" x14ac:dyDescent="0.25">
      <c r="A54" s="30">
        <f t="shared" si="0"/>
        <v>46</v>
      </c>
      <c r="B54" s="26" t="str">
        <f>B29</f>
        <v>Schedules 10 &amp; 31</v>
      </c>
      <c r="D54" s="30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31"/>
    </row>
    <row r="55" spans="1:17" x14ac:dyDescent="0.25">
      <c r="A55" s="30">
        <f t="shared" si="0"/>
        <v>47</v>
      </c>
      <c r="B55" s="30"/>
      <c r="C55" s="85" t="s">
        <v>279</v>
      </c>
      <c r="D55" s="30" t="str">
        <f>$D$35</f>
        <v>JAP-47 Page 1</v>
      </c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45">
        <f ca="1">'JAP-47 Page 1'!I12</f>
        <v>31457487.150437057</v>
      </c>
    </row>
    <row r="56" spans="1:17" x14ac:dyDescent="0.25">
      <c r="A56" s="30">
        <f t="shared" si="0"/>
        <v>48</v>
      </c>
      <c r="B56" s="30"/>
      <c r="C56" s="85" t="s">
        <v>287</v>
      </c>
      <c r="D56" s="30" t="str">
        <f>"("&amp;A$31&amp;") x ("&amp;A55&amp;")"</f>
        <v>(23) x (47)</v>
      </c>
      <c r="E56" s="32">
        <f t="shared" ref="E56:P56" ca="1" si="12">$Q55*E$31</f>
        <v>2567895.0500395428</v>
      </c>
      <c r="F56" s="32">
        <f t="shared" ca="1" si="12"/>
        <v>2762678.2027050974</v>
      </c>
      <c r="G56" s="32">
        <f t="shared" ca="1" si="12"/>
        <v>2601904.5791047662</v>
      </c>
      <c r="H56" s="32">
        <f t="shared" ca="1" si="12"/>
        <v>2340616.2287298697</v>
      </c>
      <c r="I56" s="32">
        <f t="shared" ca="1" si="12"/>
        <v>2171705.2994848201</v>
      </c>
      <c r="J56" s="32">
        <f t="shared" ca="1" si="12"/>
        <v>2840838.9947109763</v>
      </c>
      <c r="K56" s="32">
        <f t="shared" ca="1" si="12"/>
        <v>2724724.3029138288</v>
      </c>
      <c r="L56" s="32">
        <f t="shared" ca="1" si="12"/>
        <v>2829382.4933915799</v>
      </c>
      <c r="M56" s="32">
        <f t="shared" ca="1" si="12"/>
        <v>2699451.956283025</v>
      </c>
      <c r="N56" s="32">
        <f t="shared" ca="1" si="12"/>
        <v>2609985.0127708204</v>
      </c>
      <c r="O56" s="32">
        <f t="shared" ca="1" si="12"/>
        <v>2535514.9783526547</v>
      </c>
      <c r="P56" s="32">
        <f t="shared" ca="1" si="12"/>
        <v>2772790.0519500826</v>
      </c>
      <c r="Q56" s="31">
        <f ca="1">SUM(E56:P56)</f>
        <v>31457487.150437064</v>
      </c>
    </row>
  </sheetData>
  <mergeCells count="3">
    <mergeCell ref="A1:Q1"/>
    <mergeCell ref="A2:Q2"/>
    <mergeCell ref="A3:Q3"/>
  </mergeCells>
  <printOptions horizontalCentered="1"/>
  <pageMargins left="0.45" right="0.45" top="0.75" bottom="0.75" header="0.3" footer="0.3"/>
  <pageSetup scale="49" orientation="landscape" blackAndWhite="1" horizontalDpi="1200" verticalDpi="1200" r:id="rId1"/>
  <headerFoot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B17" sqref="B17"/>
    </sheetView>
  </sheetViews>
  <sheetFormatPr defaultRowHeight="14.4" x14ac:dyDescent="0.3"/>
  <sheetData/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AG34"/>
  <sheetViews>
    <sheetView zoomScale="80" zoomScaleNormal="80" zoomScaleSheetLayoutView="80" workbookViewId="0">
      <pane ySplit="10" topLeftCell="A11" activePane="bottomLeft" state="frozen"/>
      <selection activeCell="G31" sqref="G31"/>
      <selection pane="bottomLeft" activeCell="I30" sqref="I30"/>
    </sheetView>
  </sheetViews>
  <sheetFormatPr defaultColWidth="11.6640625" defaultRowHeight="15.6" x14ac:dyDescent="0.3"/>
  <cols>
    <col min="1" max="1" width="25.5546875" style="92" bestFit="1" customWidth="1"/>
    <col min="2" max="2" width="1.5546875" style="92" bestFit="1" customWidth="1"/>
    <col min="3" max="3" width="16.33203125" style="92" bestFit="1" customWidth="1"/>
    <col min="4" max="4" width="12.33203125" style="92" bestFit="1" customWidth="1"/>
    <col min="5" max="5" width="2.33203125" style="92" bestFit="1" customWidth="1"/>
    <col min="6" max="6" width="16.33203125" style="92" bestFit="1" customWidth="1"/>
    <col min="7" max="7" width="19.44140625" style="92" customWidth="1"/>
    <col min="8" max="8" width="2.33203125" style="92" bestFit="1" customWidth="1"/>
    <col min="9" max="9" width="19.44140625" style="92" customWidth="1"/>
    <col min="10" max="10" width="1.88671875" style="92" customWidth="1"/>
    <col min="11" max="11" width="25.6640625" style="92" bestFit="1" customWidth="1"/>
    <col min="12" max="12" width="18.33203125" style="99" bestFit="1" customWidth="1"/>
    <col min="13" max="13" width="13.6640625" style="99" customWidth="1"/>
    <col min="14" max="14" width="24" style="99" customWidth="1"/>
    <col min="15" max="17" width="1.5546875" style="92" bestFit="1" customWidth="1"/>
    <col min="18" max="18" width="16.109375" style="92" bestFit="1" customWidth="1"/>
    <col min="19" max="19" width="1.5546875" style="92" bestFit="1" customWidth="1"/>
    <col min="20" max="20" width="15.109375" style="92" bestFit="1" customWidth="1"/>
    <col min="21" max="21" width="14.88671875" style="92" bestFit="1" customWidth="1"/>
    <col min="22" max="22" width="14" style="92" bestFit="1" customWidth="1"/>
    <col min="23" max="23" width="6.33203125" style="92" bestFit="1" customWidth="1"/>
    <col min="24" max="24" width="1.5546875" style="92" bestFit="1" customWidth="1"/>
    <col min="25" max="25" width="11.6640625" style="92" customWidth="1"/>
    <col min="26" max="26" width="13.88671875" style="92" customWidth="1"/>
    <col min="27" max="16384" width="11.6640625" style="92"/>
  </cols>
  <sheetData>
    <row r="1" spans="1:31" ht="18" x14ac:dyDescent="0.25">
      <c r="A1" s="402" t="s">
        <v>133</v>
      </c>
      <c r="B1" s="402"/>
      <c r="C1" s="402"/>
      <c r="D1" s="402"/>
      <c r="E1" s="402"/>
      <c r="F1" s="402"/>
      <c r="G1" s="402"/>
      <c r="H1" s="402"/>
      <c r="I1" s="402"/>
      <c r="J1" s="402"/>
      <c r="K1" s="224"/>
      <c r="L1" s="225"/>
      <c r="M1" s="225"/>
      <c r="N1" s="91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1" ht="18" x14ac:dyDescent="0.25">
      <c r="A2" s="402" t="s">
        <v>134</v>
      </c>
      <c r="B2" s="402"/>
      <c r="C2" s="402"/>
      <c r="D2" s="402"/>
      <c r="E2" s="402"/>
      <c r="F2" s="402"/>
      <c r="G2" s="402"/>
      <c r="H2" s="402"/>
      <c r="I2" s="402"/>
      <c r="J2" s="93"/>
      <c r="K2" s="224"/>
      <c r="L2" s="225"/>
      <c r="M2" s="225"/>
      <c r="N2" s="91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</row>
    <row r="3" spans="1:31" ht="15.75" x14ac:dyDescent="0.25">
      <c r="A3" s="403" t="str">
        <f ca="1">'[55]Exhibit No.__(JAP-Prof-Prop)'!$B$6</f>
        <v>12 MONTHS ENDED SEPTEMBER 2016</v>
      </c>
      <c r="B3" s="403"/>
      <c r="C3" s="403"/>
      <c r="D3" s="403"/>
      <c r="E3" s="403"/>
      <c r="F3" s="403"/>
      <c r="G3" s="403"/>
      <c r="H3" s="403"/>
      <c r="I3" s="403"/>
      <c r="J3" s="94"/>
      <c r="K3" s="224"/>
      <c r="L3" s="225"/>
      <c r="M3" s="225"/>
      <c r="N3" s="91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</row>
    <row r="4" spans="1:31" ht="15.75" x14ac:dyDescent="0.25">
      <c r="A4" s="404" t="s">
        <v>135</v>
      </c>
      <c r="B4" s="404"/>
      <c r="C4" s="404"/>
      <c r="D4" s="404"/>
      <c r="E4" s="404"/>
      <c r="F4" s="404"/>
      <c r="G4" s="404"/>
      <c r="H4" s="404"/>
      <c r="I4" s="404"/>
      <c r="J4" s="95"/>
      <c r="K4" s="224"/>
      <c r="L4" s="225"/>
      <c r="M4" s="225"/>
      <c r="N4" s="91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</row>
    <row r="5" spans="1:31" ht="15.75" x14ac:dyDescent="0.25">
      <c r="A5" s="96" t="s">
        <v>136</v>
      </c>
      <c r="B5" s="97"/>
      <c r="C5" s="97"/>
      <c r="D5" s="98"/>
      <c r="E5" s="98"/>
      <c r="F5" s="97"/>
      <c r="G5" s="98"/>
      <c r="H5" s="97"/>
      <c r="I5" s="97"/>
      <c r="J5" s="97"/>
      <c r="K5" s="224"/>
      <c r="L5" s="225"/>
      <c r="M5" s="225"/>
      <c r="N5" s="91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</row>
    <row r="6" spans="1:31" ht="15.75" x14ac:dyDescent="0.25">
      <c r="A6" s="96"/>
      <c r="B6" s="97"/>
      <c r="C6" s="97"/>
      <c r="D6" s="98"/>
      <c r="E6" s="98"/>
      <c r="F6" s="97"/>
      <c r="G6" s="98"/>
      <c r="H6" s="97"/>
      <c r="I6" s="97"/>
      <c r="J6" s="97"/>
      <c r="K6" s="224"/>
      <c r="L6" s="225"/>
      <c r="M6" s="225"/>
      <c r="N6" s="91"/>
      <c r="O6" s="91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</row>
    <row r="7" spans="1:31" ht="15.75" x14ac:dyDescent="0.25">
      <c r="A7" s="97"/>
      <c r="B7" s="97"/>
      <c r="C7" s="97"/>
      <c r="D7" s="98"/>
      <c r="E7" s="98"/>
      <c r="F7" s="97"/>
      <c r="G7" s="98"/>
      <c r="H7" s="97"/>
      <c r="I7" s="97"/>
      <c r="J7" s="97"/>
      <c r="K7" s="224"/>
      <c r="L7" s="225"/>
      <c r="M7" s="225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</row>
    <row r="8" spans="1:31" ht="15.75" x14ac:dyDescent="0.25">
      <c r="A8" s="100"/>
      <c r="B8" s="100"/>
      <c r="C8" s="101"/>
      <c r="D8" s="102"/>
      <c r="E8" s="102"/>
      <c r="F8" s="13"/>
      <c r="G8" s="102"/>
      <c r="H8" s="103"/>
      <c r="I8" s="103"/>
      <c r="J8" s="103"/>
      <c r="K8" s="224"/>
      <c r="L8" s="225"/>
      <c r="M8" s="225"/>
      <c r="N8" s="91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</row>
    <row r="9" spans="1:31" ht="15.75" x14ac:dyDescent="0.25">
      <c r="A9" s="100"/>
      <c r="B9" s="100"/>
      <c r="C9" s="101" t="s">
        <v>122</v>
      </c>
      <c r="D9" s="405" t="s">
        <v>124</v>
      </c>
      <c r="E9" s="406"/>
      <c r="F9" s="407"/>
      <c r="G9" s="408" t="s">
        <v>137</v>
      </c>
      <c r="H9" s="406"/>
      <c r="I9" s="407"/>
      <c r="J9" s="103"/>
      <c r="K9" s="224"/>
      <c r="L9" s="225"/>
      <c r="M9" s="225"/>
      <c r="N9" s="91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</row>
    <row r="10" spans="1:31" ht="15.75" x14ac:dyDescent="0.25">
      <c r="A10" s="100"/>
      <c r="B10" s="100"/>
      <c r="C10" s="104" t="s">
        <v>138</v>
      </c>
      <c r="D10" s="105" t="s">
        <v>139</v>
      </c>
      <c r="E10" s="106"/>
      <c r="F10" s="103" t="s">
        <v>140</v>
      </c>
      <c r="G10" s="105" t="s">
        <v>139</v>
      </c>
      <c r="H10" s="105"/>
      <c r="I10" s="105" t="s">
        <v>140</v>
      </c>
      <c r="J10" s="105"/>
      <c r="K10" s="224"/>
      <c r="L10" s="225"/>
      <c r="M10" s="225"/>
      <c r="N10" s="91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</row>
    <row r="11" spans="1:31" ht="15.75" x14ac:dyDescent="0.25">
      <c r="A11" s="107" t="s">
        <v>141</v>
      </c>
      <c r="B11" s="108"/>
      <c r="C11" s="108"/>
      <c r="D11" s="109"/>
      <c r="E11" s="108"/>
      <c r="F11" s="108"/>
      <c r="G11" s="109"/>
      <c r="H11" s="108"/>
      <c r="I11" s="108"/>
      <c r="J11" s="108"/>
      <c r="K11" s="224"/>
      <c r="L11" s="225"/>
      <c r="M11" s="225"/>
    </row>
    <row r="12" spans="1:31" ht="15.75" x14ac:dyDescent="0.25">
      <c r="A12" s="110" t="s">
        <v>142</v>
      </c>
      <c r="B12" s="108"/>
      <c r="C12" s="108"/>
      <c r="D12" s="109"/>
      <c r="E12" s="108"/>
      <c r="F12" s="108"/>
      <c r="G12" s="109"/>
      <c r="H12" s="108"/>
      <c r="I12" s="108"/>
      <c r="J12" s="108"/>
      <c r="K12" s="226"/>
      <c r="L12" s="225"/>
      <c r="M12" s="225"/>
    </row>
    <row r="13" spans="1:31" ht="15.75" x14ac:dyDescent="0.25">
      <c r="A13" s="108" t="s">
        <v>20</v>
      </c>
      <c r="B13" s="108"/>
      <c r="C13" s="108"/>
      <c r="D13" s="109"/>
      <c r="E13" s="108"/>
      <c r="F13" s="108"/>
      <c r="G13" s="109"/>
      <c r="H13" s="108"/>
      <c r="I13" s="108"/>
      <c r="J13" s="108"/>
      <c r="K13" s="224"/>
      <c r="L13" s="225"/>
      <c r="M13" s="111"/>
    </row>
    <row r="14" spans="1:31" ht="15.75" x14ac:dyDescent="0.25">
      <c r="A14" s="108" t="s">
        <v>143</v>
      </c>
      <c r="B14" s="108"/>
      <c r="C14" s="109">
        <f ca="1">'[56]Tariff 7'!$D$7</f>
        <v>11996380</v>
      </c>
      <c r="D14" s="112">
        <f ca="1">'[55]Exhibit No.__(JAP-Tariff)'!$E$8</f>
        <v>7.49</v>
      </c>
      <c r="E14" s="108"/>
      <c r="F14" s="113">
        <f ca="1">ROUND(D14*$C14,0)</f>
        <v>89852886</v>
      </c>
      <c r="G14" s="112">
        <f ca="1">D14</f>
        <v>7.49</v>
      </c>
      <c r="H14" s="108"/>
      <c r="I14" s="113">
        <f ca="1">ROUND(G14*$C14,0)</f>
        <v>89852886</v>
      </c>
      <c r="J14" s="113"/>
      <c r="K14" s="410" t="s">
        <v>351</v>
      </c>
      <c r="L14" s="410"/>
      <c r="M14" s="410"/>
    </row>
    <row r="15" spans="1:31" ht="15.6" customHeight="1" x14ac:dyDescent="0.25">
      <c r="A15" s="108" t="s">
        <v>144</v>
      </c>
      <c r="B15" s="108"/>
      <c r="C15" s="109">
        <f ca="1">'[56]Tariff 7'!$D$8</f>
        <v>2918</v>
      </c>
      <c r="D15" s="112">
        <f ca="1">'[55]Exhibit No.__(JAP-Tariff)'!$E$9</f>
        <v>17.989999999999998</v>
      </c>
      <c r="E15" s="108"/>
      <c r="F15" s="113">
        <f ca="1">ROUND(D15*$C15,0)</f>
        <v>52495</v>
      </c>
      <c r="G15" s="112">
        <f ca="1">D15</f>
        <v>17.989999999999998</v>
      </c>
      <c r="H15" s="108"/>
      <c r="I15" s="113">
        <f ca="1">ROUND(G15*$C15,0)</f>
        <v>52495</v>
      </c>
      <c r="J15" s="113"/>
      <c r="K15" s="410" t="s">
        <v>351</v>
      </c>
      <c r="L15" s="410"/>
      <c r="M15" s="410"/>
    </row>
    <row r="16" spans="1:31" ht="15.75" x14ac:dyDescent="0.25">
      <c r="A16" s="114" t="s">
        <v>86</v>
      </c>
      <c r="B16" s="108"/>
      <c r="C16" s="115">
        <f ca="1">SUM(C14:C15)</f>
        <v>11999298</v>
      </c>
      <c r="D16" s="116"/>
      <c r="E16" s="108"/>
      <c r="F16" s="117">
        <f ca="1">SUM(F14:F15)</f>
        <v>89905381</v>
      </c>
      <c r="G16" s="116"/>
      <c r="H16" s="108"/>
      <c r="I16" s="117">
        <f ca="1">SUM(I14:I15)</f>
        <v>89905381</v>
      </c>
      <c r="J16" s="113"/>
      <c r="K16" s="410"/>
      <c r="L16" s="410"/>
      <c r="M16" s="410"/>
    </row>
    <row r="17" spans="1:33" ht="15.75" x14ac:dyDescent="0.25">
      <c r="A17" s="108" t="s">
        <v>123</v>
      </c>
      <c r="B17" s="108"/>
      <c r="C17" s="118"/>
      <c r="D17" s="116"/>
      <c r="E17" s="108"/>
      <c r="F17" s="119"/>
      <c r="G17" s="116"/>
      <c r="H17" s="108"/>
      <c r="I17" s="119"/>
      <c r="J17" s="113"/>
      <c r="K17" s="227"/>
      <c r="L17" s="227"/>
      <c r="M17" s="227"/>
    </row>
    <row r="18" spans="1:33" ht="15.75" x14ac:dyDescent="0.25">
      <c r="A18" s="120" t="s">
        <v>77</v>
      </c>
      <c r="B18" s="108"/>
      <c r="C18" s="109">
        <f ca="1">'[56]Tariff 7'!D12</f>
        <v>5973778123</v>
      </c>
      <c r="D18" s="121">
        <f ca="1">'[55]Exhibit No.__(JAP-Tariff)'!$E$11</f>
        <v>8.5578000000000001E-2</v>
      </c>
      <c r="E18" s="108"/>
      <c r="F18" s="113">
        <f ca="1">ROUND(D18*$C18,0)</f>
        <v>511223984</v>
      </c>
      <c r="G18" s="122">
        <f ca="1">'[55]Exhibit No.__(JAP-Res RD)'!$G$18</f>
        <v>8.7335999999999997E-2</v>
      </c>
      <c r="H18" s="108"/>
      <c r="I18" s="113">
        <f ca="1">ROUND(G18*$C18,0)</f>
        <v>521725886</v>
      </c>
      <c r="J18" s="113"/>
      <c r="K18" s="410" t="s">
        <v>145</v>
      </c>
      <c r="L18" s="410"/>
      <c r="M18" s="410"/>
    </row>
    <row r="19" spans="1:33" ht="15.6" customHeight="1" x14ac:dyDescent="0.25">
      <c r="A19" s="120" t="s">
        <v>146</v>
      </c>
      <c r="B19" s="108"/>
      <c r="C19" s="109">
        <f ca="1">'[56]Tariff 7'!D13</f>
        <v>4254038618</v>
      </c>
      <c r="D19" s="121">
        <f ca="1">'[55]Exhibit No.__(JAP-Tariff)'!$E$12</f>
        <v>0.104157</v>
      </c>
      <c r="E19" s="108"/>
      <c r="F19" s="113">
        <f ca="1">ROUND(D19*$C19,0)</f>
        <v>443087900</v>
      </c>
      <c r="G19" s="121">
        <f ca="1">ROUND(I18/F18*F19/C19,6)</f>
        <v>0.106297</v>
      </c>
      <c r="H19" s="108"/>
      <c r="I19" s="113">
        <f ca="1">ROUND(G19*$C19,0)</f>
        <v>452191543</v>
      </c>
      <c r="J19" s="113"/>
      <c r="K19" s="411" t="s">
        <v>147</v>
      </c>
      <c r="L19" s="411"/>
      <c r="M19" s="411"/>
      <c r="N19" s="123"/>
    </row>
    <row r="20" spans="1:33" ht="15.75" x14ac:dyDescent="0.25">
      <c r="A20" s="114" t="s">
        <v>86</v>
      </c>
      <c r="B20" s="124"/>
      <c r="C20" s="115">
        <f ca="1">SUM(C18:C19)</f>
        <v>10227816741</v>
      </c>
      <c r="D20" s="125"/>
      <c r="E20" s="113"/>
      <c r="F20" s="117">
        <f ca="1">SUM(F18:F19)</f>
        <v>954311884</v>
      </c>
      <c r="G20" s="113"/>
      <c r="H20" s="113"/>
      <c r="I20" s="117">
        <f ca="1">SUM(I18:I19)</f>
        <v>973917429</v>
      </c>
      <c r="J20" s="113"/>
      <c r="K20" s="410"/>
      <c r="L20" s="410"/>
      <c r="M20" s="410"/>
    </row>
    <row r="21" spans="1:33" ht="15.6" customHeight="1" x14ac:dyDescent="0.25">
      <c r="A21" s="126" t="s">
        <v>68</v>
      </c>
      <c r="B21" s="108"/>
      <c r="C21" s="109">
        <f ca="1">'[56]Tariff 7'!$D$15</f>
        <v>242969649</v>
      </c>
      <c r="D21" s="121">
        <f ca="1">D19</f>
        <v>0.104157</v>
      </c>
      <c r="E21" s="108"/>
      <c r="F21" s="113">
        <f ca="1">ROUND(D21*$C21,0)</f>
        <v>25306990</v>
      </c>
      <c r="G21" s="121">
        <f ca="1">G19</f>
        <v>0.106297</v>
      </c>
      <c r="H21" s="108"/>
      <c r="I21" s="113">
        <f ca="1">ROUND(G21*$C21,0)</f>
        <v>25826945</v>
      </c>
      <c r="J21" s="113"/>
      <c r="K21" s="409" t="s">
        <v>352</v>
      </c>
      <c r="L21" s="410"/>
      <c r="M21" s="410"/>
    </row>
    <row r="22" spans="1:33" ht="15.75" x14ac:dyDescent="0.25">
      <c r="A22" s="126" t="s">
        <v>69</v>
      </c>
      <c r="B22" s="228"/>
      <c r="C22" s="109">
        <f ca="1">'[56]Tariff 7'!$D$14</f>
        <v>-28359904.933104038</v>
      </c>
      <c r="D22" s="121">
        <f ca="1">ROUND(SUM($F$16,$F$20,$F$21)/SUM($C$20:$C$21),6)</f>
        <v>0.102144</v>
      </c>
      <c r="E22" s="229"/>
      <c r="F22" s="113">
        <f ca="1">ROUND(D22*$C22,0)</f>
        <v>-2896794</v>
      </c>
      <c r="G22" s="121">
        <f ca="1">D22*(1+M23)</f>
        <v>0.1040658114419887</v>
      </c>
      <c r="H22" s="229"/>
      <c r="I22" s="113">
        <f ca="1">ROUND(G22*$C22,0)</f>
        <v>-2951297</v>
      </c>
      <c r="J22" s="119"/>
      <c r="K22" s="410" t="s">
        <v>78</v>
      </c>
      <c r="L22" s="410"/>
      <c r="M22" s="410"/>
    </row>
    <row r="23" spans="1:33" ht="16.5" thickBot="1" x14ac:dyDescent="0.3">
      <c r="A23" s="108" t="s">
        <v>21</v>
      </c>
      <c r="B23" s="108"/>
      <c r="C23" s="128">
        <f ca="1">SUM(C20:C22)</f>
        <v>10442426485.066896</v>
      </c>
      <c r="D23" s="121"/>
      <c r="E23" s="229"/>
      <c r="F23" s="129">
        <f ca="1">SUM(F20:F22,F16)</f>
        <v>1066627461</v>
      </c>
      <c r="G23" s="229"/>
      <c r="H23" s="229"/>
      <c r="I23" s="129">
        <f ca="1">SUM(I20:I22,I16)</f>
        <v>1086698458</v>
      </c>
      <c r="J23" s="130"/>
      <c r="K23" s="230" t="s">
        <v>148</v>
      </c>
      <c r="L23" s="231">
        <f ca="1">'[55]Exhibit No.__(JAP-Rate Spread)'!K8*1000</f>
        <v>1086695765.1479592</v>
      </c>
      <c r="M23" s="232">
        <f ca="1">L23/F23-1</f>
        <v>1.8814726679870608E-2</v>
      </c>
    </row>
    <row r="24" spans="1:33" ht="16.5" thickTop="1" x14ac:dyDescent="0.25">
      <c r="A24" s="108"/>
      <c r="B24" s="108"/>
      <c r="C24" s="233"/>
      <c r="D24" s="119"/>
      <c r="E24" s="119"/>
      <c r="F24" s="119"/>
      <c r="G24" s="119"/>
      <c r="H24" s="119"/>
      <c r="I24" s="119"/>
      <c r="J24" s="119"/>
      <c r="K24" s="234" t="s">
        <v>40</v>
      </c>
      <c r="L24" s="235">
        <f ca="1">L23-I23</f>
        <v>-2692.8520407676697</v>
      </c>
      <c r="M24" s="236"/>
    </row>
    <row r="25" spans="1:33" ht="15.75" x14ac:dyDescent="0.25">
      <c r="C25" s="132"/>
      <c r="D25" s="127"/>
      <c r="E25" s="132"/>
      <c r="F25" s="133"/>
      <c r="G25" s="108" t="s">
        <v>111</v>
      </c>
      <c r="H25" s="132"/>
      <c r="I25" s="113" t="s">
        <v>111</v>
      </c>
      <c r="J25" s="113"/>
      <c r="K25" s="134"/>
      <c r="L25" s="135"/>
      <c r="M25" s="135"/>
      <c r="N25" s="91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G25" s="136"/>
    </row>
    <row r="26" spans="1:33" ht="15.75" x14ac:dyDescent="0.25">
      <c r="A26" s="108"/>
      <c r="B26" s="108"/>
      <c r="C26" s="131"/>
      <c r="D26" s="121"/>
      <c r="E26" s="119"/>
      <c r="F26" s="133"/>
      <c r="G26" s="119"/>
      <c r="H26" s="119"/>
      <c r="I26" s="119"/>
      <c r="J26" s="119"/>
      <c r="K26" s="90"/>
      <c r="L26" s="122"/>
      <c r="M26" s="91"/>
      <c r="N26" s="137"/>
      <c r="O26" s="138"/>
      <c r="P26" s="138"/>
      <c r="Z26" s="90"/>
      <c r="AA26" s="90"/>
      <c r="AB26" s="90"/>
      <c r="AC26" s="90"/>
      <c r="AD26" s="90"/>
      <c r="AE26" s="90"/>
      <c r="AG26" s="136"/>
    </row>
    <row r="27" spans="1:33" ht="15.75" x14ac:dyDescent="0.25">
      <c r="A27" s="108"/>
      <c r="B27" s="139"/>
      <c r="C27" s="109"/>
      <c r="D27" s="108"/>
      <c r="E27" s="108"/>
      <c r="F27" s="133"/>
      <c r="G27" s="108" t="s">
        <v>111</v>
      </c>
      <c r="H27" s="108"/>
      <c r="I27" s="113" t="s">
        <v>111</v>
      </c>
      <c r="J27" s="113"/>
      <c r="K27" s="90"/>
      <c r="L27" s="91"/>
      <c r="M27" s="91"/>
      <c r="N27" s="91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G27" s="136"/>
    </row>
    <row r="28" spans="1:33" ht="15.75" x14ac:dyDescent="0.25">
      <c r="F28" s="133"/>
    </row>
    <row r="29" spans="1:33" ht="15.75" x14ac:dyDescent="0.25">
      <c r="C29" s="132"/>
      <c r="D29" s="127"/>
      <c r="E29" s="132"/>
      <c r="F29" s="133"/>
      <c r="G29" s="108" t="s">
        <v>111</v>
      </c>
      <c r="H29" s="132"/>
      <c r="I29" s="113" t="s">
        <v>111</v>
      </c>
      <c r="J29" s="113"/>
      <c r="K29" s="90"/>
      <c r="L29" s="91"/>
      <c r="M29" s="91"/>
    </row>
    <row r="30" spans="1:33" ht="15.75" x14ac:dyDescent="0.25">
      <c r="F30" s="133"/>
    </row>
    <row r="31" spans="1:33" ht="15.75" x14ac:dyDescent="0.25">
      <c r="F31" s="133"/>
    </row>
    <row r="32" spans="1:33" ht="15.75" x14ac:dyDescent="0.25">
      <c r="F32" s="133"/>
    </row>
    <row r="33" spans="7:11" ht="15.75" x14ac:dyDescent="0.25">
      <c r="G33" s="33"/>
      <c r="K33" s="140"/>
    </row>
    <row r="34" spans="7:11" ht="15.75" x14ac:dyDescent="0.25">
      <c r="G34" s="33"/>
      <c r="K34" s="140"/>
    </row>
  </sheetData>
  <mergeCells count="14">
    <mergeCell ref="K21:M21"/>
    <mergeCell ref="K22:M22"/>
    <mergeCell ref="K14:M14"/>
    <mergeCell ref="K15:M15"/>
    <mergeCell ref="K16:M16"/>
    <mergeCell ref="K18:M18"/>
    <mergeCell ref="K19:M19"/>
    <mergeCell ref="K20:M20"/>
    <mergeCell ref="A1:J1"/>
    <mergeCell ref="A2:I2"/>
    <mergeCell ref="A3:I3"/>
    <mergeCell ref="A4:I4"/>
    <mergeCell ref="D9:F9"/>
    <mergeCell ref="G9:I9"/>
  </mergeCells>
  <printOptions horizontalCentered="1"/>
  <pageMargins left="0.7" right="0.7" top="0.75" bottom="0.71" header="0.3" footer="0.3"/>
  <pageSetup scale="69" orientation="landscape" r:id="rId1"/>
  <headerFooter alignWithMargins="0">
    <oddFooter>&amp;L&amp;F&amp;C
&amp;A&amp;RElectric Rate Design Workpapers
Docket No. UE-17xxxx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AM143"/>
  <sheetViews>
    <sheetView zoomScale="80" zoomScaleNormal="80" zoomScaleSheetLayoutView="80" workbookViewId="0">
      <pane ySplit="10" topLeftCell="A110" activePane="bottomLeft" state="frozen"/>
      <selection activeCell="G31" sqref="G31"/>
      <selection pane="bottomLeft" activeCell="L86" sqref="L86"/>
    </sheetView>
  </sheetViews>
  <sheetFormatPr defaultColWidth="11.6640625" defaultRowHeight="15.6" x14ac:dyDescent="0.3"/>
  <cols>
    <col min="1" max="1" width="48.44140625" style="138" bestFit="1" customWidth="1"/>
    <col min="2" max="2" width="1.5546875" style="138" bestFit="1" customWidth="1"/>
    <col min="3" max="3" width="15.109375" style="138" bestFit="1" customWidth="1"/>
    <col min="4" max="4" width="14.5546875" style="138" bestFit="1" customWidth="1"/>
    <col min="5" max="5" width="2.33203125" style="138" bestFit="1" customWidth="1"/>
    <col min="6" max="6" width="14.44140625" style="138" bestFit="1" customWidth="1"/>
    <col min="7" max="7" width="16.5546875" style="138" customWidth="1"/>
    <col min="8" max="8" width="2.33203125" style="138" bestFit="1" customWidth="1"/>
    <col min="9" max="9" width="16.5546875" style="138" customWidth="1"/>
    <col min="10" max="10" width="1.88671875" style="138" customWidth="1"/>
    <col min="11" max="11" width="56.33203125" style="138" customWidth="1"/>
    <col min="12" max="12" width="15.88671875" style="147" bestFit="1" customWidth="1"/>
    <col min="13" max="13" width="11.6640625" style="147" bestFit="1" customWidth="1"/>
    <col min="14" max="14" width="38.33203125" style="147" bestFit="1" customWidth="1"/>
    <col min="15" max="16" width="14" style="138" bestFit="1" customWidth="1"/>
    <col min="17" max="17" width="16.109375" style="138" bestFit="1" customWidth="1"/>
    <col min="18" max="18" width="1.5546875" style="138" bestFit="1" customWidth="1"/>
    <col min="19" max="19" width="15.109375" style="138" bestFit="1" customWidth="1"/>
    <col min="20" max="20" width="14.88671875" style="138" bestFit="1" customWidth="1"/>
    <col min="21" max="21" width="14" style="138" bestFit="1" customWidth="1"/>
    <col min="22" max="22" width="6.33203125" style="138" bestFit="1" customWidth="1"/>
    <col min="23" max="23" width="1.5546875" style="138" bestFit="1" customWidth="1"/>
    <col min="24" max="24" width="11.6640625" style="138" customWidth="1"/>
    <col min="25" max="25" width="13.88671875" style="138" customWidth="1"/>
    <col min="26" max="16384" width="11.6640625" style="138"/>
  </cols>
  <sheetData>
    <row r="1" spans="1:39" ht="18.75" x14ac:dyDescent="0.3">
      <c r="A1" s="412" t="s">
        <v>133</v>
      </c>
      <c r="B1" s="412"/>
      <c r="C1" s="412"/>
      <c r="D1" s="412"/>
      <c r="E1" s="412"/>
      <c r="F1" s="412"/>
      <c r="G1" s="412"/>
      <c r="H1" s="412"/>
      <c r="I1" s="412"/>
      <c r="J1" s="412"/>
      <c r="K1" s="141"/>
      <c r="L1" s="142"/>
      <c r="M1" s="142"/>
      <c r="N1" s="142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</row>
    <row r="2" spans="1:39" ht="18.75" x14ac:dyDescent="0.3">
      <c r="A2" s="412" t="s">
        <v>134</v>
      </c>
      <c r="B2" s="412"/>
      <c r="C2" s="412"/>
      <c r="D2" s="412"/>
      <c r="E2" s="412"/>
      <c r="F2" s="412"/>
      <c r="G2" s="412"/>
      <c r="H2" s="412"/>
      <c r="I2" s="412"/>
      <c r="J2" s="143"/>
      <c r="K2" s="141"/>
      <c r="L2" s="142"/>
      <c r="M2" s="142"/>
      <c r="N2" s="142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</row>
    <row r="3" spans="1:39" ht="15.75" x14ac:dyDescent="0.25">
      <c r="A3" s="403" t="str">
        <f ca="1">'[55]Exhibit No.__(JAP-Prof-Prop)'!$B$6</f>
        <v>12 MONTHS ENDED SEPTEMBER 2016</v>
      </c>
      <c r="B3" s="403"/>
      <c r="C3" s="403"/>
      <c r="D3" s="403"/>
      <c r="E3" s="403"/>
      <c r="F3" s="403"/>
      <c r="G3" s="403"/>
      <c r="H3" s="403"/>
      <c r="I3" s="403"/>
      <c r="J3" s="144"/>
      <c r="K3" s="141"/>
      <c r="L3" s="142"/>
      <c r="M3" s="142"/>
      <c r="N3" s="142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9" ht="15.75" x14ac:dyDescent="0.25">
      <c r="A4" s="404" t="s">
        <v>135</v>
      </c>
      <c r="B4" s="404"/>
      <c r="C4" s="404"/>
      <c r="D4" s="404"/>
      <c r="E4" s="404"/>
      <c r="F4" s="404"/>
      <c r="G4" s="404"/>
      <c r="H4" s="404"/>
      <c r="I4" s="404"/>
      <c r="J4" s="95"/>
      <c r="K4" s="141"/>
      <c r="L4" s="142"/>
      <c r="M4" s="142"/>
      <c r="N4" s="142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</row>
    <row r="5" spans="1:39" ht="15.75" x14ac:dyDescent="0.25">
      <c r="A5" s="96" t="s">
        <v>149</v>
      </c>
      <c r="B5" s="145"/>
      <c r="C5" s="145"/>
      <c r="D5" s="146"/>
      <c r="E5" s="146"/>
      <c r="F5" s="145"/>
      <c r="G5" s="146"/>
      <c r="H5" s="145"/>
      <c r="I5" s="145"/>
      <c r="J5" s="145"/>
      <c r="K5" s="141"/>
      <c r="L5" s="142"/>
      <c r="M5" s="142"/>
      <c r="N5" s="142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</row>
    <row r="6" spans="1:39" ht="15.75" x14ac:dyDescent="0.25">
      <c r="A6" s="96"/>
      <c r="B6" s="145"/>
      <c r="C6" s="145"/>
      <c r="D6" s="146"/>
      <c r="E6" s="146"/>
      <c r="F6" s="145"/>
      <c r="G6" s="146"/>
      <c r="H6" s="145"/>
      <c r="I6" s="145"/>
      <c r="J6" s="145"/>
      <c r="K6" s="141"/>
      <c r="L6" s="142"/>
      <c r="M6" s="142"/>
      <c r="N6" s="142"/>
      <c r="O6" s="142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</row>
    <row r="7" spans="1:39" ht="15.75" x14ac:dyDescent="0.25">
      <c r="A7" s="145"/>
      <c r="B7" s="145"/>
      <c r="C7" s="145"/>
      <c r="D7" s="146"/>
      <c r="E7" s="146"/>
      <c r="F7" s="145"/>
      <c r="G7" s="146"/>
      <c r="H7" s="145"/>
      <c r="I7" s="145"/>
      <c r="J7" s="145"/>
      <c r="K7" s="141"/>
      <c r="L7" s="142"/>
      <c r="M7" s="142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</row>
    <row r="8" spans="1:39" ht="15.75" x14ac:dyDescent="0.25">
      <c r="A8" s="102"/>
      <c r="B8" s="102"/>
      <c r="C8" s="101"/>
      <c r="D8" s="102"/>
      <c r="E8" s="102"/>
      <c r="G8" s="102"/>
      <c r="H8" s="103"/>
      <c r="I8" s="103"/>
      <c r="J8" s="103"/>
      <c r="K8" s="141"/>
      <c r="L8" s="142"/>
      <c r="M8" s="142"/>
      <c r="N8" s="142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</row>
    <row r="9" spans="1:39" ht="15.75" x14ac:dyDescent="0.25">
      <c r="A9" s="102"/>
      <c r="B9" s="102"/>
      <c r="C9" s="101" t="s">
        <v>122</v>
      </c>
      <c r="D9" s="405" t="s">
        <v>124</v>
      </c>
      <c r="E9" s="406"/>
      <c r="F9" s="407"/>
      <c r="G9" s="408" t="str">
        <f ca="1">'[55]Exhibit No.__(JAP-Res RD)'!$G$9</f>
        <v>Proposed Effective December 2017</v>
      </c>
      <c r="H9" s="406"/>
      <c r="I9" s="407"/>
      <c r="J9" s="103"/>
      <c r="K9" s="141"/>
      <c r="L9" s="142"/>
      <c r="M9" s="142"/>
      <c r="N9" s="142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</row>
    <row r="10" spans="1:39" ht="15.75" x14ac:dyDescent="0.25">
      <c r="A10" s="102"/>
      <c r="B10" s="102"/>
      <c r="C10" s="104" t="s">
        <v>138</v>
      </c>
      <c r="D10" s="105" t="s">
        <v>139</v>
      </c>
      <c r="E10" s="106"/>
      <c r="F10" s="103" t="s">
        <v>140</v>
      </c>
      <c r="G10" s="105" t="s">
        <v>139</v>
      </c>
      <c r="H10" s="105"/>
      <c r="I10" s="105" t="s">
        <v>140</v>
      </c>
      <c r="J10" s="105"/>
      <c r="K10" s="141"/>
      <c r="L10" s="142"/>
      <c r="M10" s="142"/>
      <c r="N10" s="142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</row>
    <row r="11" spans="1:39" ht="15.75" x14ac:dyDescent="0.25">
      <c r="A11" s="108"/>
      <c r="B11" s="139"/>
      <c r="C11" s="109"/>
      <c r="D11" s="108" t="s">
        <v>111</v>
      </c>
      <c r="E11" s="108"/>
      <c r="G11" s="108" t="s">
        <v>111</v>
      </c>
      <c r="H11" s="108"/>
      <c r="I11" s="113" t="s">
        <v>111</v>
      </c>
      <c r="J11" s="113"/>
      <c r="K11" s="141"/>
      <c r="L11" s="142"/>
      <c r="M11" s="142"/>
      <c r="N11" s="142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F11" s="148"/>
    </row>
    <row r="12" spans="1:39" ht="15.75" x14ac:dyDescent="0.25">
      <c r="A12" s="107" t="s">
        <v>150</v>
      </c>
      <c r="B12" s="108"/>
      <c r="C12" s="108" t="s">
        <v>111</v>
      </c>
      <c r="D12" s="113"/>
      <c r="E12" s="108"/>
      <c r="F12" s="108"/>
      <c r="G12" s="113"/>
      <c r="H12" s="108"/>
      <c r="I12" s="108"/>
      <c r="J12" s="108"/>
      <c r="K12" s="141"/>
      <c r="L12" s="142"/>
      <c r="M12" s="142"/>
      <c r="N12" s="142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F12" s="148"/>
    </row>
    <row r="13" spans="1:39" ht="15.75" x14ac:dyDescent="0.25">
      <c r="A13" s="110" t="s">
        <v>151</v>
      </c>
      <c r="B13" s="108"/>
      <c r="C13" s="108"/>
      <c r="D13" s="113"/>
      <c r="E13" s="108"/>
      <c r="F13" s="108"/>
      <c r="G13" s="113"/>
      <c r="H13" s="108"/>
      <c r="I13" s="108"/>
      <c r="J13" s="108"/>
      <c r="K13" s="141"/>
      <c r="L13" s="142"/>
      <c r="M13" s="142"/>
      <c r="N13" s="142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F13" s="148"/>
    </row>
    <row r="14" spans="1:39" ht="15.75" x14ac:dyDescent="0.25">
      <c r="A14" s="108" t="s">
        <v>20</v>
      </c>
      <c r="B14" s="108"/>
      <c r="C14" s="149"/>
      <c r="D14" s="113"/>
      <c r="E14" s="108"/>
      <c r="F14" s="108"/>
      <c r="G14" s="113"/>
      <c r="H14" s="108"/>
      <c r="I14" s="108"/>
      <c r="J14" s="108"/>
      <c r="M14" s="150"/>
      <c r="N14" s="150"/>
      <c r="Q14" s="148"/>
      <c r="R14" s="151"/>
      <c r="S14" s="148"/>
      <c r="T14" s="148"/>
      <c r="U14" s="151"/>
      <c r="V14" s="150"/>
      <c r="W14" s="148"/>
      <c r="X14" s="148"/>
      <c r="AF14" s="141"/>
      <c r="AG14" s="141"/>
      <c r="AH14" s="141"/>
      <c r="AI14" s="141"/>
      <c r="AJ14" s="141"/>
      <c r="AK14" s="141"/>
      <c r="AM14" s="148"/>
    </row>
    <row r="15" spans="1:39" ht="15.75" x14ac:dyDescent="0.25">
      <c r="A15" s="108" t="s">
        <v>143</v>
      </c>
      <c r="B15" s="108"/>
      <c r="C15" s="149">
        <f ca="1">SUM('[56]Tariff 24'!D7,'[56]Tariff 24'!D9)</f>
        <v>1066088</v>
      </c>
      <c r="D15" s="112">
        <f ca="1">'[55]Exhibit No.__(JAP-Tariff)'!E15</f>
        <v>9.66</v>
      </c>
      <c r="E15" s="152"/>
      <c r="F15" s="113">
        <f ca="1">ROUND(D15*$C15,0)</f>
        <v>10298410</v>
      </c>
      <c r="G15" s="112">
        <f ca="1">ROUND(D15*(1+$M$25),2)</f>
        <v>9.8000000000000007</v>
      </c>
      <c r="H15" s="152"/>
      <c r="I15" s="113">
        <f ca="1">ROUND(G15*$C15,0)</f>
        <v>10447662</v>
      </c>
      <c r="J15" s="153"/>
      <c r="K15" s="411" t="s">
        <v>65</v>
      </c>
      <c r="L15" s="411"/>
      <c r="M15" s="411"/>
      <c r="N15" s="154"/>
      <c r="P15" s="148"/>
      <c r="Q15" s="148"/>
      <c r="R15" s="151"/>
      <c r="S15" s="148"/>
      <c r="T15" s="148"/>
      <c r="U15" s="151"/>
      <c r="V15" s="150"/>
      <c r="W15" s="148"/>
      <c r="X15" s="148"/>
      <c r="AF15" s="141"/>
      <c r="AG15" s="141"/>
      <c r="AH15" s="141"/>
      <c r="AI15" s="141"/>
      <c r="AJ15" s="141"/>
      <c r="AK15" s="141"/>
      <c r="AM15" s="148"/>
    </row>
    <row r="16" spans="1:39" ht="15.75" x14ac:dyDescent="0.25">
      <c r="A16" s="108" t="s">
        <v>144</v>
      </c>
      <c r="B16" s="108"/>
      <c r="C16" s="149">
        <f ca="1">SUM('[56]Tariff 24'!D8,'[56]Tariff 24'!D10)</f>
        <v>455911</v>
      </c>
      <c r="D16" s="112">
        <f ca="1">'[55]Exhibit No.__(JAP-Tariff)'!E16</f>
        <v>24.55</v>
      </c>
      <c r="E16" s="155"/>
      <c r="F16" s="113">
        <f ca="1">ROUND(D16*$C16,0)</f>
        <v>11192615</v>
      </c>
      <c r="G16" s="112">
        <f ca="1">ROUND(D16*(1+$M$25),2)</f>
        <v>24.9</v>
      </c>
      <c r="H16" s="155"/>
      <c r="I16" s="113">
        <f ca="1">ROUND(G16*$C16,0)</f>
        <v>11352184</v>
      </c>
      <c r="J16" s="153"/>
      <c r="K16" s="411" t="s">
        <v>65</v>
      </c>
      <c r="L16" s="411"/>
      <c r="M16" s="411"/>
      <c r="N16" s="154"/>
      <c r="O16" s="147"/>
      <c r="P16" s="148"/>
      <c r="Q16" s="148"/>
      <c r="R16" s="151"/>
      <c r="S16" s="148"/>
      <c r="T16" s="148"/>
      <c r="U16" s="151"/>
      <c r="W16" s="141"/>
      <c r="X16" s="141"/>
      <c r="Y16" s="141"/>
      <c r="Z16" s="141"/>
      <c r="AA16" s="141"/>
      <c r="AB16" s="141"/>
      <c r="AC16" s="141"/>
      <c r="AD16" s="141"/>
      <c r="AF16" s="148"/>
    </row>
    <row r="17" spans="1:32" ht="15.75" x14ac:dyDescent="0.25">
      <c r="A17" s="114" t="s">
        <v>86</v>
      </c>
      <c r="B17" s="108"/>
      <c r="C17" s="115">
        <f ca="1">SUM(C15:C16)</f>
        <v>1521999</v>
      </c>
      <c r="D17" s="116"/>
      <c r="E17" s="152"/>
      <c r="F17" s="117">
        <f ca="1">SUM(F15:F16)</f>
        <v>21491025</v>
      </c>
      <c r="G17" s="116"/>
      <c r="H17" s="152"/>
      <c r="I17" s="117">
        <f ca="1">SUM(I15:I16)</f>
        <v>21799846</v>
      </c>
      <c r="J17" s="153"/>
      <c r="K17" s="223"/>
      <c r="M17" s="150"/>
      <c r="N17" s="150"/>
      <c r="O17" s="147"/>
      <c r="W17" s="141"/>
      <c r="X17" s="141"/>
      <c r="Y17" s="141"/>
      <c r="Z17" s="141"/>
      <c r="AA17" s="141"/>
      <c r="AB17" s="141"/>
      <c r="AC17" s="141"/>
      <c r="AD17" s="141"/>
      <c r="AF17" s="148"/>
    </row>
    <row r="18" spans="1:32" ht="15.75" x14ac:dyDescent="0.25">
      <c r="A18" s="108" t="s">
        <v>123</v>
      </c>
      <c r="B18" s="108"/>
      <c r="C18" s="149"/>
      <c r="D18" s="116"/>
      <c r="E18" s="152"/>
      <c r="F18" s="119"/>
      <c r="G18" s="116"/>
      <c r="H18" s="152"/>
      <c r="I18" s="119"/>
      <c r="J18" s="153"/>
      <c r="K18" s="223"/>
      <c r="M18" s="150"/>
      <c r="N18" s="150"/>
      <c r="O18" s="147"/>
      <c r="W18" s="141"/>
      <c r="X18" s="141"/>
      <c r="Y18" s="141"/>
      <c r="Z18" s="141"/>
      <c r="AA18" s="141"/>
      <c r="AB18" s="141"/>
      <c r="AC18" s="141"/>
      <c r="AD18" s="141"/>
      <c r="AF18" s="148"/>
    </row>
    <row r="19" spans="1:32" ht="15.75" x14ac:dyDescent="0.25">
      <c r="A19" s="120" t="s">
        <v>152</v>
      </c>
      <c r="B19" s="108"/>
      <c r="C19" s="149">
        <f ca="1">SUM('[56]Tariff 24'!D14,'[56]Tariff 24'!D16)</f>
        <v>1448651253</v>
      </c>
      <c r="D19" s="121">
        <f ca="1">'[55]Exhibit No.__(JAP-Tariff)'!E18</f>
        <v>8.9456999999999995E-2</v>
      </c>
      <c r="E19" s="152"/>
      <c r="F19" s="113">
        <f t="shared" ref="F19:F20" ca="1" si="0">ROUND(D19*$C19,0)</f>
        <v>129591995</v>
      </c>
      <c r="G19" s="122">
        <f ca="1">ROUND(D19*(1+$M$25),6)+L27</f>
        <v>9.071499999999999E-2</v>
      </c>
      <c r="H19" s="152"/>
      <c r="I19" s="113">
        <f t="shared" ref="I19:I20" ca="1" si="1">ROUND(G19*$C19,0)</f>
        <v>131414398</v>
      </c>
      <c r="J19" s="153"/>
      <c r="K19" s="411" t="s">
        <v>79</v>
      </c>
      <c r="L19" s="411"/>
      <c r="M19" s="411"/>
      <c r="N19" s="154"/>
      <c r="O19" s="147"/>
      <c r="P19" s="156"/>
      <c r="Q19" s="156"/>
      <c r="R19" s="156"/>
      <c r="S19" s="156"/>
      <c r="T19" s="156"/>
      <c r="W19" s="141"/>
      <c r="X19" s="141"/>
      <c r="Y19" s="141"/>
      <c r="Z19" s="141"/>
      <c r="AA19" s="141"/>
      <c r="AB19" s="141"/>
      <c r="AC19" s="141"/>
      <c r="AD19" s="141"/>
      <c r="AF19" s="148"/>
    </row>
    <row r="20" spans="1:32" ht="15.75" x14ac:dyDescent="0.25">
      <c r="A20" s="126" t="s">
        <v>153</v>
      </c>
      <c r="B20" s="108"/>
      <c r="C20" s="149">
        <f ca="1">SUM('[56]Tariff 24'!D15,'[56]Tariff 24'!D17)</f>
        <v>1297361453</v>
      </c>
      <c r="D20" s="121">
        <f ca="1">'[55]Exhibit No.__(JAP-Tariff)'!E19</f>
        <v>8.6359000000000005E-2</v>
      </c>
      <c r="E20" s="152"/>
      <c r="F20" s="113">
        <f t="shared" ca="1" si="0"/>
        <v>112038838</v>
      </c>
      <c r="G20" s="121">
        <f ca="1">ROUND(D20*(1+$M$25),6)</f>
        <v>8.7578000000000003E-2</v>
      </c>
      <c r="H20" s="152"/>
      <c r="I20" s="113">
        <f t="shared" ca="1" si="1"/>
        <v>113620321</v>
      </c>
      <c r="J20" s="153"/>
      <c r="K20" s="411" t="s">
        <v>65</v>
      </c>
      <c r="L20" s="411"/>
      <c r="M20" s="411"/>
      <c r="N20" s="154"/>
      <c r="O20" s="147"/>
      <c r="W20" s="141"/>
      <c r="X20" s="141"/>
      <c r="Y20" s="141"/>
      <c r="Z20" s="141"/>
      <c r="AA20" s="141"/>
      <c r="AB20" s="141"/>
      <c r="AC20" s="141"/>
      <c r="AD20" s="141"/>
      <c r="AF20" s="148"/>
    </row>
    <row r="21" spans="1:32" ht="15.75" x14ac:dyDescent="0.25">
      <c r="A21" s="114" t="s">
        <v>86</v>
      </c>
      <c r="B21" s="157"/>
      <c r="C21" s="115">
        <f ca="1">SUM(C19:C20)</f>
        <v>2746012706</v>
      </c>
      <c r="D21" s="158"/>
      <c r="E21" s="152"/>
      <c r="F21" s="117">
        <f ca="1">SUM(F19:F20)</f>
        <v>241630833</v>
      </c>
      <c r="G21" s="158"/>
      <c r="H21" s="152"/>
      <c r="I21" s="117">
        <f ca="1">SUM(I19:I20)</f>
        <v>245034719</v>
      </c>
      <c r="J21" s="153"/>
      <c r="K21" s="223"/>
      <c r="W21" s="141"/>
      <c r="X21" s="141"/>
      <c r="Y21" s="141"/>
      <c r="Z21" s="141"/>
      <c r="AA21" s="141"/>
      <c r="AB21" s="141"/>
      <c r="AC21" s="141"/>
      <c r="AD21" s="141"/>
      <c r="AF21" s="148"/>
    </row>
    <row r="22" spans="1:32" ht="15.75" x14ac:dyDescent="0.25">
      <c r="A22" s="120" t="s">
        <v>80</v>
      </c>
      <c r="B22" s="157"/>
      <c r="C22" s="149">
        <f ca="1">SUM('[56]Tariff 24'!$E$19:$J$19)</f>
        <v>21337341.172849126</v>
      </c>
      <c r="D22" s="121">
        <f ca="1">D19</f>
        <v>8.9456999999999995E-2</v>
      </c>
      <c r="E22" s="152"/>
      <c r="F22" s="113">
        <f t="shared" ref="F22:F24" ca="1" si="2">ROUND(D22*$C22,0)</f>
        <v>1908775</v>
      </c>
      <c r="G22" s="121">
        <f ca="1">G19</f>
        <v>9.071499999999999E-2</v>
      </c>
      <c r="H22" s="152"/>
      <c r="I22" s="113">
        <f t="shared" ref="I22:I24" ca="1" si="3">ROUND(G22*$C22,0)</f>
        <v>1935617</v>
      </c>
      <c r="J22" s="153"/>
      <c r="K22" s="411" t="s">
        <v>65</v>
      </c>
      <c r="L22" s="411"/>
      <c r="M22" s="411"/>
      <c r="W22" s="141"/>
      <c r="X22" s="141"/>
      <c r="Y22" s="141"/>
      <c r="Z22" s="141"/>
      <c r="AA22" s="141"/>
      <c r="AB22" s="141"/>
      <c r="AC22" s="141"/>
      <c r="AD22" s="141"/>
      <c r="AF22" s="148"/>
    </row>
    <row r="23" spans="1:32" ht="15.75" x14ac:dyDescent="0.25">
      <c r="A23" s="120" t="s">
        <v>81</v>
      </c>
      <c r="B23" s="157"/>
      <c r="C23" s="149">
        <f ca="1">SUM('[56]Tariff 24'!$K$19:$P$19)</f>
        <v>1211126.9944080415</v>
      </c>
      <c r="D23" s="121">
        <f ca="1">D20</f>
        <v>8.6359000000000005E-2</v>
      </c>
      <c r="E23" s="121"/>
      <c r="F23" s="113">
        <f t="shared" ca="1" si="2"/>
        <v>104592</v>
      </c>
      <c r="G23" s="121">
        <f ca="1">G20</f>
        <v>8.7578000000000003E-2</v>
      </c>
      <c r="H23" s="152"/>
      <c r="I23" s="113">
        <f t="shared" ca="1" si="3"/>
        <v>106068</v>
      </c>
      <c r="J23" s="153"/>
      <c r="K23" s="411" t="s">
        <v>65</v>
      </c>
      <c r="L23" s="411"/>
      <c r="M23" s="411"/>
      <c r="W23" s="141"/>
      <c r="X23" s="141"/>
      <c r="Y23" s="141"/>
      <c r="Z23" s="141"/>
      <c r="AA23" s="141"/>
      <c r="AB23" s="141"/>
      <c r="AC23" s="141"/>
      <c r="AD23" s="141"/>
      <c r="AF23" s="148"/>
    </row>
    <row r="24" spans="1:32" ht="15.75" x14ac:dyDescent="0.25">
      <c r="A24" s="126" t="s">
        <v>69</v>
      </c>
      <c r="B24" s="237"/>
      <c r="C24" s="159">
        <f ca="1">'[56]Tariff 24'!$D$18</f>
        <v>19022939.703836836</v>
      </c>
      <c r="D24" s="121">
        <f ca="1">ROUND(SUM(F17,F21:F23)/SUM(C21:C23),6)</f>
        <v>9.5766000000000004E-2</v>
      </c>
      <c r="E24" s="152"/>
      <c r="F24" s="113">
        <f t="shared" ca="1" si="2"/>
        <v>1821751</v>
      </c>
      <c r="G24" s="121">
        <f ca="1">ROUND(SUM(I17,I21:I23)/SUM(C21:C23),6)</f>
        <v>9.7117999999999996E-2</v>
      </c>
      <c r="H24" s="152"/>
      <c r="I24" s="113">
        <f t="shared" ca="1" si="3"/>
        <v>1847470</v>
      </c>
      <c r="J24" s="119"/>
      <c r="K24" s="411" t="s">
        <v>65</v>
      </c>
      <c r="L24" s="411"/>
      <c r="M24" s="411"/>
      <c r="N24" s="150"/>
      <c r="W24" s="141"/>
      <c r="X24" s="141"/>
      <c r="Y24" s="141"/>
      <c r="Z24" s="141"/>
      <c r="AA24" s="141"/>
      <c r="AB24" s="141"/>
      <c r="AC24" s="141"/>
      <c r="AD24" s="141"/>
      <c r="AF24" s="148"/>
    </row>
    <row r="25" spans="1:32" ht="16.5" thickBot="1" x14ac:dyDescent="0.3">
      <c r="A25" s="108" t="s">
        <v>154</v>
      </c>
      <c r="B25" s="108"/>
      <c r="C25" s="160">
        <f ca="1">SUM(C21:C24)</f>
        <v>2787584113.8710942</v>
      </c>
      <c r="D25" s="161"/>
      <c r="E25" s="162"/>
      <c r="F25" s="129">
        <f ca="1">SUM(F21:F24,F17)</f>
        <v>266956976</v>
      </c>
      <c r="G25" s="161"/>
      <c r="H25" s="162"/>
      <c r="I25" s="129">
        <f ca="1">SUM(I21:I24,I17)</f>
        <v>270723720</v>
      </c>
      <c r="J25" s="163"/>
      <c r="K25" s="164" t="s">
        <v>155</v>
      </c>
      <c r="L25" s="165">
        <f ca="1">'[55]Exhibit No.__(JAP-Rate Spread)'!K11*1000</f>
        <v>270724130.40566456</v>
      </c>
      <c r="M25" s="238">
        <f ca="1">L25/F25-1</f>
        <v>1.4111466432195963E-2</v>
      </c>
      <c r="N25" s="166"/>
      <c r="O25" s="154" t="s">
        <v>111</v>
      </c>
      <c r="W25" s="141"/>
      <c r="X25" s="141"/>
      <c r="Y25" s="141"/>
      <c r="Z25" s="141"/>
      <c r="AA25" s="141"/>
      <c r="AB25" s="141"/>
      <c r="AC25" s="141"/>
      <c r="AD25" s="141"/>
      <c r="AF25" s="148"/>
    </row>
    <row r="26" spans="1:32" ht="16.5" thickTop="1" x14ac:dyDescent="0.25">
      <c r="A26" s="108"/>
      <c r="B26" s="108"/>
      <c r="C26" s="167"/>
      <c r="D26" s="161"/>
      <c r="E26" s="162"/>
      <c r="F26" s="153"/>
      <c r="G26" s="239"/>
      <c r="H26" s="162"/>
      <c r="I26" s="153"/>
      <c r="J26" s="153"/>
      <c r="K26" s="168" t="s">
        <v>40</v>
      </c>
      <c r="L26" s="169">
        <f ca="1">L25-I25</f>
        <v>410.40566456317902</v>
      </c>
      <c r="M26" s="240"/>
      <c r="N26" s="166"/>
      <c r="O26" s="154"/>
      <c r="W26" s="141"/>
      <c r="X26" s="141"/>
      <c r="Y26" s="141"/>
      <c r="Z26" s="141"/>
      <c r="AA26" s="141"/>
      <c r="AB26" s="141"/>
      <c r="AC26" s="141"/>
      <c r="AD26" s="141"/>
      <c r="AF26" s="148"/>
    </row>
    <row r="27" spans="1:32" ht="15.75" x14ac:dyDescent="0.25">
      <c r="A27" s="108"/>
      <c r="B27" s="108"/>
      <c r="C27" s="109"/>
      <c r="D27" s="241">
        <f ca="1">ROUND(SUM(F21:F24)/SUM(C25),6)</f>
        <v>8.8056999999999996E-2</v>
      </c>
      <c r="E27" s="108"/>
      <c r="F27" s="113"/>
      <c r="G27" s="241">
        <f ca="1">ROUND(SUM(I21:I24)/SUM(C25),6)</f>
        <v>8.9297000000000001E-2</v>
      </c>
      <c r="H27" s="108"/>
      <c r="I27" s="113" t="s">
        <v>111</v>
      </c>
      <c r="J27" s="113"/>
      <c r="K27" s="134" t="s">
        <v>353</v>
      </c>
      <c r="L27" s="242">
        <f ca="1">'[55]Exhibit No.__(JAP-SV RD)'!$L$27</f>
        <v>-3.9999999999999998E-6</v>
      </c>
      <c r="M27" s="242">
        <f ca="1">'[55]Exhibit No.__(JAP-SV RD)'!$L$27</f>
        <v>-3.9999999999999998E-6</v>
      </c>
      <c r="N27" s="142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</row>
    <row r="28" spans="1:32" ht="15.75" x14ac:dyDescent="0.25">
      <c r="A28" s="107" t="s">
        <v>156</v>
      </c>
      <c r="B28" s="108"/>
      <c r="C28" s="170"/>
      <c r="D28" s="113"/>
      <c r="E28" s="108"/>
      <c r="F28" s="108"/>
      <c r="G28" s="113"/>
      <c r="H28" s="108"/>
      <c r="I28" s="113" t="s">
        <v>111</v>
      </c>
      <c r="J28" s="113"/>
      <c r="K28" s="141"/>
      <c r="L28" s="142"/>
      <c r="M28" s="142"/>
      <c r="N28" s="142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</row>
    <row r="29" spans="1:32" ht="15.75" x14ac:dyDescent="0.25">
      <c r="A29" s="110" t="s">
        <v>157</v>
      </c>
      <c r="B29" s="108"/>
      <c r="C29" s="108" t="s">
        <v>111</v>
      </c>
      <c r="D29" s="113"/>
      <c r="E29" s="108"/>
      <c r="F29" s="108"/>
      <c r="G29" s="113"/>
      <c r="H29" s="108"/>
      <c r="I29" s="108"/>
      <c r="J29" s="108"/>
      <c r="K29" s="141"/>
      <c r="L29" s="142"/>
      <c r="M29" s="142"/>
      <c r="N29" s="142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</row>
    <row r="30" spans="1:32" ht="15.75" x14ac:dyDescent="0.25">
      <c r="A30" s="152"/>
      <c r="B30" s="108"/>
      <c r="C30" s="108"/>
      <c r="D30" s="113"/>
      <c r="E30" s="108"/>
      <c r="F30" s="108"/>
      <c r="G30" s="113"/>
      <c r="H30" s="108"/>
      <c r="I30" s="108"/>
      <c r="J30" s="108"/>
      <c r="K30" s="141"/>
      <c r="L30" s="142"/>
      <c r="M30" s="142"/>
      <c r="N30" s="142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</row>
    <row r="31" spans="1:32" ht="15.75" x14ac:dyDescent="0.25">
      <c r="A31" s="152" t="s">
        <v>20</v>
      </c>
      <c r="B31" s="108"/>
      <c r="C31" s="149">
        <f ca="1">SUM('[56]Tariff 7A'!$D$6,'[56]Tariff 25'!$D$8)</f>
        <v>86639</v>
      </c>
      <c r="D31" s="171">
        <f ca="1">'[55]Exhibit No.__(JAP-Tariff)'!E22</f>
        <v>51.67</v>
      </c>
      <c r="E31" s="152"/>
      <c r="F31" s="172">
        <f ca="1">ROUND(D31*$C31,0)</f>
        <v>4476637</v>
      </c>
      <c r="G31" s="171">
        <f ca="1">ROUND(D31*(1+$M$47),2)</f>
        <v>52.3</v>
      </c>
      <c r="H31" s="152"/>
      <c r="I31" s="172">
        <f ca="1">ROUND(G31*$C31,0)</f>
        <v>4531220</v>
      </c>
      <c r="J31" s="172"/>
      <c r="K31" s="411" t="s">
        <v>65</v>
      </c>
      <c r="L31" s="411"/>
      <c r="M31" s="41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</row>
    <row r="32" spans="1:32" ht="15.75" x14ac:dyDescent="0.25">
      <c r="A32" s="152" t="s">
        <v>66</v>
      </c>
      <c r="B32" s="108"/>
      <c r="C32" s="149"/>
      <c r="D32" s="173"/>
      <c r="E32" s="172"/>
      <c r="F32" s="172"/>
      <c r="G32" s="171"/>
      <c r="H32" s="172"/>
      <c r="I32" s="172"/>
      <c r="J32" s="172"/>
      <c r="K32" s="141"/>
      <c r="L32" s="142"/>
      <c r="M32" s="142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</row>
    <row r="33" spans="1:30" ht="15.75" x14ac:dyDescent="0.25">
      <c r="A33" s="120" t="s">
        <v>158</v>
      </c>
      <c r="B33" s="108"/>
      <c r="C33" s="149">
        <f ca="1">SUM('[56]Tariff 7A'!D9,'[56]Tariff 25'!D11,'[56]Tariff 25'!D14)</f>
        <v>729616257</v>
      </c>
      <c r="D33" s="174">
        <f ca="1">'[55]Exhibit No.__(JAP-Tariff)'!E24</f>
        <v>8.9582999999999996E-2</v>
      </c>
      <c r="E33" s="172"/>
      <c r="F33" s="172">
        <f ca="1">ROUND($C33*D33,0)</f>
        <v>65361213</v>
      </c>
      <c r="G33" s="84">
        <f ca="1">ROUND(G35+(1+$L$57)*(D33-D35),6)+L49</f>
        <v>9.0753E-2</v>
      </c>
      <c r="H33" s="172"/>
      <c r="I33" s="172">
        <f ca="1">ROUND($C33*G33,0)</f>
        <v>66214864</v>
      </c>
      <c r="J33" s="172"/>
      <c r="K33" s="414" t="s">
        <v>354</v>
      </c>
      <c r="L33" s="413"/>
      <c r="M33" s="413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</row>
    <row r="34" spans="1:30" ht="15.75" x14ac:dyDescent="0.25">
      <c r="A34" s="120" t="s">
        <v>159</v>
      </c>
      <c r="B34" s="108"/>
      <c r="C34" s="149">
        <f ca="1">SUM('[56]Tariff 7A'!D10,'[56]Tariff 25'!D12,'[56]Tariff 25'!D15)</f>
        <v>700134665</v>
      </c>
      <c r="D34" s="174">
        <f ca="1">'[55]Exhibit No.__(JAP-Tariff)'!E25</f>
        <v>8.1430000000000002E-2</v>
      </c>
      <c r="E34" s="172"/>
      <c r="F34" s="172">
        <f t="shared" ref="F34:F37" ca="1" si="4">ROUND($C34*D34,0)</f>
        <v>57011966</v>
      </c>
      <c r="G34" s="84">
        <f ca="1">ROUND(G35+(1+$L$57)*(D34-D35),6)+L49</f>
        <v>8.2225999999999994E-2</v>
      </c>
      <c r="H34" s="172"/>
      <c r="I34" s="172">
        <f t="shared" ref="I34:I38" ca="1" si="5">ROUND($C34*G34,0)</f>
        <v>57569273</v>
      </c>
      <c r="J34" s="172"/>
      <c r="K34" s="414" t="s">
        <v>354</v>
      </c>
      <c r="L34" s="413"/>
      <c r="M34" s="413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</row>
    <row r="35" spans="1:30" ht="15.75" x14ac:dyDescent="0.25">
      <c r="A35" s="120" t="s">
        <v>160</v>
      </c>
      <c r="B35" s="108"/>
      <c r="C35" s="149">
        <f ca="1">SUM('[56]Tariff 7A'!D11,'[56]Tariff 25'!D13,'[56]Tariff 25'!D16)</f>
        <v>1368735464</v>
      </c>
      <c r="D35" s="174">
        <f ca="1">'[55]Exhibit No.__(JAP-Tariff)'!E26</f>
        <v>6.4072000000000004E-2</v>
      </c>
      <c r="E35" s="172"/>
      <c r="F35" s="172">
        <f t="shared" ca="1" si="4"/>
        <v>87697619</v>
      </c>
      <c r="G35" s="174">
        <f ca="1">D35</f>
        <v>6.4072000000000004E-2</v>
      </c>
      <c r="H35" s="172"/>
      <c r="I35" s="172">
        <f t="shared" ca="1" si="5"/>
        <v>87697619</v>
      </c>
      <c r="J35" s="172"/>
      <c r="K35" s="413" t="s">
        <v>355</v>
      </c>
      <c r="L35" s="413"/>
      <c r="M35" s="413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</row>
    <row r="36" spans="1:30" ht="15.75" x14ac:dyDescent="0.25">
      <c r="A36" s="114" t="s">
        <v>86</v>
      </c>
      <c r="B36" s="108"/>
      <c r="C36" s="175">
        <f ca="1">SUM(C33:C35)</f>
        <v>2798486386</v>
      </c>
      <c r="D36" s="158"/>
      <c r="E36" s="152"/>
      <c r="F36" s="117">
        <f ca="1">SUM(F33:F35)</f>
        <v>210070798</v>
      </c>
      <c r="G36" s="158"/>
      <c r="H36" s="152"/>
      <c r="I36" s="117">
        <f ca="1">SUM(I33:I35)</f>
        <v>211481756</v>
      </c>
      <c r="J36" s="113"/>
      <c r="K36" s="141"/>
      <c r="L36" s="142"/>
      <c r="M36" s="142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</row>
    <row r="37" spans="1:30" ht="15.75" x14ac:dyDescent="0.25">
      <c r="A37" s="120" t="s">
        <v>68</v>
      </c>
      <c r="B37" s="108"/>
      <c r="C37" s="149">
        <f ca="1">SUM('[56]Tariff 7A'!$D$13,'[56]Tariff 25'!$D$18)</f>
        <v>11247064.07998576</v>
      </c>
      <c r="D37" s="174">
        <f ca="1">D35</f>
        <v>6.4072000000000004E-2</v>
      </c>
      <c r="E37" s="152"/>
      <c r="F37" s="172">
        <f t="shared" ca="1" si="4"/>
        <v>720622</v>
      </c>
      <c r="G37" s="174">
        <f ca="1">G35</f>
        <v>6.4072000000000004E-2</v>
      </c>
      <c r="H37" s="152"/>
      <c r="I37" s="172">
        <f t="shared" ca="1" si="5"/>
        <v>720622</v>
      </c>
      <c r="J37" s="113"/>
      <c r="K37" s="413" t="s">
        <v>355</v>
      </c>
      <c r="L37" s="413"/>
      <c r="M37" s="413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</row>
    <row r="38" spans="1:30" ht="15.75" x14ac:dyDescent="0.25">
      <c r="A38" s="126" t="s">
        <v>69</v>
      </c>
      <c r="B38" s="108"/>
      <c r="C38" s="149">
        <f ca="1">SUM('[56]Tariff 7A'!$D$12,'[56]Tariff 25'!$D$17)</f>
        <v>29725507.391902685</v>
      </c>
      <c r="D38" s="174">
        <f ca="1">ROUND(F38/C38,6)</f>
        <v>8.8917999999999997E-2</v>
      </c>
      <c r="E38" s="152"/>
      <c r="F38" s="172">
        <f ca="1">SUM('[56]Tariff 25'!$D$45:$D$46)</f>
        <v>2643147</v>
      </c>
      <c r="G38" s="174">
        <f ca="1">ROUND(D38*(1+$M$47),6)</f>
        <v>9.0005000000000002E-2</v>
      </c>
      <c r="H38" s="152"/>
      <c r="I38" s="172">
        <f t="shared" ca="1" si="5"/>
        <v>2675444</v>
      </c>
      <c r="J38" s="119"/>
      <c r="K38" s="411" t="s">
        <v>65</v>
      </c>
      <c r="L38" s="411"/>
      <c r="M38" s="41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</row>
    <row r="39" spans="1:30" ht="15.75" x14ac:dyDescent="0.25">
      <c r="A39" s="114" t="s">
        <v>86</v>
      </c>
      <c r="B39" s="108"/>
      <c r="C39" s="175">
        <f ca="1">SUM(C36:C38)</f>
        <v>2839458957.4718885</v>
      </c>
      <c r="D39" s="152"/>
      <c r="E39" s="152"/>
      <c r="F39" s="117">
        <f ca="1">SUM(F36:F38)</f>
        <v>213434567</v>
      </c>
      <c r="G39" s="152"/>
      <c r="H39" s="152"/>
      <c r="I39" s="117">
        <f ca="1">SUM(I36:I38)</f>
        <v>214877822</v>
      </c>
      <c r="J39" s="119"/>
      <c r="K39" s="243"/>
      <c r="L39" s="244"/>
      <c r="M39" s="142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</row>
    <row r="40" spans="1:30" ht="15.75" x14ac:dyDescent="0.25">
      <c r="A40" s="152" t="s">
        <v>70</v>
      </c>
      <c r="B40" s="108"/>
      <c r="C40" s="149"/>
      <c r="D40" s="176"/>
      <c r="E40" s="152"/>
      <c r="F40" s="172"/>
      <c r="G40" s="176"/>
      <c r="H40" s="152"/>
      <c r="I40" s="172"/>
      <c r="J40" s="172"/>
      <c r="K40" s="141"/>
      <c r="L40" s="142"/>
      <c r="M40" s="142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</row>
    <row r="41" spans="1:30" ht="15.75" x14ac:dyDescent="0.25">
      <c r="A41" s="120" t="s">
        <v>161</v>
      </c>
      <c r="B41" s="108"/>
      <c r="C41" s="149">
        <f ca="1">SUM('[56]Tariff 25'!D22,'[56]Tariff 25'!D24,'[56]Tariff 7A'!D17)</f>
        <v>2199361</v>
      </c>
      <c r="D41" s="171">
        <f ca="1">'[55]Exhibit No.__(JAP-Tariff)'!E29</f>
        <v>9.01</v>
      </c>
      <c r="E41" s="152"/>
      <c r="F41" s="172">
        <f ca="1">ROUND(D41*$C41,0)</f>
        <v>19816243</v>
      </c>
      <c r="G41" s="171">
        <f ca="1">ROUND(D41*(1+$L$57),2)</f>
        <v>9.42</v>
      </c>
      <c r="H41" s="152"/>
      <c r="I41" s="172">
        <f ca="1">ROUND(G41*$C41,0)</f>
        <v>20717981</v>
      </c>
      <c r="J41" s="172"/>
      <c r="K41" s="413" t="s">
        <v>356</v>
      </c>
      <c r="L41" s="413"/>
      <c r="M41" s="413"/>
      <c r="P41" s="80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</row>
    <row r="42" spans="1:30" ht="15.75" x14ac:dyDescent="0.25">
      <c r="A42" s="120" t="s">
        <v>162</v>
      </c>
      <c r="B42" s="108"/>
      <c r="C42" s="149">
        <f ca="1">SUM('[56]Tariff 25'!D23,'[56]Tariff 25'!D25,'[56]Tariff 7A'!D18)</f>
        <v>2139466</v>
      </c>
      <c r="D42" s="171">
        <f ca="1">'[55]Exhibit No.__(JAP-Tariff)'!E30</f>
        <v>6.01</v>
      </c>
      <c r="E42" s="152"/>
      <c r="F42" s="172">
        <f ca="1">ROUND(D42*$C42,0)</f>
        <v>12858191</v>
      </c>
      <c r="G42" s="171">
        <f ca="1">ROUND(D42*(1+$L$57),2)</f>
        <v>6.29</v>
      </c>
      <c r="H42" s="152"/>
      <c r="I42" s="172">
        <f ca="1">ROUND(G42*$C42,0)</f>
        <v>13457241</v>
      </c>
      <c r="J42" s="172"/>
      <c r="K42" s="413" t="s">
        <v>356</v>
      </c>
      <c r="L42" s="413"/>
      <c r="M42" s="413"/>
      <c r="P42" s="80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</row>
    <row r="43" spans="1:30" ht="15.75" x14ac:dyDescent="0.25">
      <c r="A43" s="114" t="s">
        <v>86</v>
      </c>
      <c r="B43" s="108"/>
      <c r="C43" s="175">
        <f ca="1">SUM(C41:C42)</f>
        <v>4338827</v>
      </c>
      <c r="D43" s="176"/>
      <c r="E43" s="152"/>
      <c r="F43" s="177">
        <f ca="1">SUM(F41:F42)</f>
        <v>32674434</v>
      </c>
      <c r="G43" s="176"/>
      <c r="H43" s="152"/>
      <c r="I43" s="177">
        <f ca="1">SUM(I41:I42)</f>
        <v>34175222</v>
      </c>
      <c r="J43" s="172"/>
      <c r="K43" s="141"/>
      <c r="L43" s="142"/>
      <c r="M43" s="142"/>
      <c r="N43" s="142"/>
      <c r="O43" s="178"/>
      <c r="P43" s="80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</row>
    <row r="44" spans="1:30" ht="15.75" x14ac:dyDescent="0.25">
      <c r="A44" s="108"/>
      <c r="B44" s="108"/>
      <c r="C44" s="167"/>
      <c r="D44" s="167"/>
      <c r="E44" s="152"/>
      <c r="F44" s="119"/>
      <c r="G44" s="167"/>
      <c r="H44" s="152"/>
      <c r="I44" s="119"/>
      <c r="J44" s="119"/>
      <c r="K44" s="243"/>
      <c r="L44" s="244"/>
      <c r="M44" s="142"/>
      <c r="N44" s="142"/>
      <c r="O44" s="178"/>
      <c r="P44" s="80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</row>
    <row r="45" spans="1:30" ht="15.75" x14ac:dyDescent="0.25">
      <c r="A45" s="108" t="s">
        <v>54</v>
      </c>
      <c r="B45" s="108"/>
      <c r="C45" s="149">
        <f ca="1">SUM('[56]Tariff 7A'!$D$21,'[56]Tariff 25'!$D$30)</f>
        <v>686869215</v>
      </c>
      <c r="D45" s="179">
        <f ca="1">'[55]Exhibit No.__(JAP-Tariff)'!E32</f>
        <v>2.8300000000000001E-3</v>
      </c>
      <c r="E45" s="152"/>
      <c r="F45" s="172">
        <f ca="1">ROUND(D45*$C45,0)</f>
        <v>1943840</v>
      </c>
      <c r="G45" s="179">
        <f ca="1">ROUND(D45*(1+$L$57),5)</f>
        <v>2.96E-3</v>
      </c>
      <c r="H45" s="152"/>
      <c r="I45" s="172">
        <f ca="1">ROUND(G45*$C45,0)</f>
        <v>2033133</v>
      </c>
      <c r="J45" s="119"/>
      <c r="K45" s="413" t="s">
        <v>356</v>
      </c>
      <c r="L45" s="413"/>
      <c r="M45" s="413"/>
      <c r="N45" s="142"/>
      <c r="O45" s="178"/>
      <c r="P45" s="80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</row>
    <row r="46" spans="1:30" ht="15.75" x14ac:dyDescent="0.25">
      <c r="A46" s="108"/>
      <c r="B46" s="108"/>
      <c r="C46" s="167"/>
      <c r="D46" s="167"/>
      <c r="E46" s="152"/>
      <c r="F46" s="119"/>
      <c r="G46" s="167"/>
      <c r="H46" s="152"/>
      <c r="I46" s="119"/>
      <c r="J46" s="119"/>
      <c r="N46" s="142"/>
      <c r="O46" s="178"/>
      <c r="P46" s="80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</row>
    <row r="47" spans="1:30" ht="16.5" thickBot="1" x14ac:dyDescent="0.3">
      <c r="A47" s="108" t="s">
        <v>154</v>
      </c>
      <c r="B47" s="108"/>
      <c r="C47" s="167"/>
      <c r="D47" s="167"/>
      <c r="E47" s="152"/>
      <c r="F47" s="163">
        <f ca="1">SUM(F31,F39,F43,F45)</f>
        <v>252529478</v>
      </c>
      <c r="G47" s="167"/>
      <c r="H47" s="152"/>
      <c r="I47" s="163">
        <f ca="1">SUM(I31,I39,I43,I45)</f>
        <v>255617397</v>
      </c>
      <c r="J47" s="153"/>
      <c r="K47" s="180" t="s">
        <v>163</v>
      </c>
      <c r="L47" s="165">
        <f ca="1">'[55]Exhibit No.__(JAP-Rate Spread)'!K12*1000</f>
        <v>256769054.42493081</v>
      </c>
      <c r="M47" s="238">
        <f ca="1">L47/SUM(F136,F47)-1</f>
        <v>1.2227951155924011E-2</v>
      </c>
      <c r="N47" s="142"/>
      <c r="O47" s="178"/>
      <c r="P47" s="80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</row>
    <row r="48" spans="1:30" ht="16.5" thickTop="1" x14ac:dyDescent="0.25">
      <c r="A48" s="108"/>
      <c r="B48" s="181"/>
      <c r="C48" s="167"/>
      <c r="D48" s="167"/>
      <c r="E48" s="108"/>
      <c r="F48" s="113"/>
      <c r="G48" s="167"/>
      <c r="H48" s="108"/>
      <c r="I48" s="113"/>
      <c r="J48" s="113"/>
      <c r="K48" s="168" t="s">
        <v>40</v>
      </c>
      <c r="L48" s="169">
        <f ca="1">L47-I136-I47</f>
        <v>-13.575069189071655</v>
      </c>
      <c r="M48" s="245" t="s">
        <v>111</v>
      </c>
      <c r="N48" s="142"/>
      <c r="O48" s="178"/>
      <c r="P48" s="80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</row>
    <row r="49" spans="1:30" ht="15.75" x14ac:dyDescent="0.25">
      <c r="A49" s="182" t="s">
        <v>357</v>
      </c>
      <c r="B49" s="183"/>
      <c r="C49" s="183"/>
      <c r="D49" s="167"/>
      <c r="E49" s="108"/>
      <c r="F49" s="113"/>
      <c r="J49" s="113"/>
      <c r="K49" s="184" t="s">
        <v>358</v>
      </c>
      <c r="L49" s="242">
        <f ca="1">'[55]Exhibit No.__(JAP-SV RD)'!$L$49</f>
        <v>-9.9999999999999995E-7</v>
      </c>
      <c r="M49" s="242">
        <f ca="1">L48/SUM(C33:C34)</f>
        <v>-9.4947091694001059E-9</v>
      </c>
      <c r="N49" s="142"/>
      <c r="O49" s="178"/>
      <c r="P49" s="80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</row>
    <row r="50" spans="1:30" ht="15.75" x14ac:dyDescent="0.25">
      <c r="A50" s="142"/>
      <c r="C50" s="81"/>
      <c r="D50" s="80"/>
      <c r="K50" s="82" t="s">
        <v>359</v>
      </c>
      <c r="L50" s="83">
        <f ca="1">'[55]Exhibit No.__(JAP-Rate Spread)'!M12</f>
        <v>3102308.4249307895</v>
      </c>
      <c r="O50" s="178"/>
      <c r="P50" s="80"/>
      <c r="Q50" s="141"/>
    </row>
    <row r="51" spans="1:30" ht="15.75" x14ac:dyDescent="0.25">
      <c r="A51" s="185" t="s">
        <v>360</v>
      </c>
      <c r="D51" s="246"/>
      <c r="F51" s="246">
        <f ca="1">D33-D35</f>
        <v>2.5510999999999992E-2</v>
      </c>
      <c r="G51" s="246">
        <f ca="1">G33-G35</f>
        <v>2.6680999999999996E-2</v>
      </c>
      <c r="K51" s="247" t="s">
        <v>361</v>
      </c>
      <c r="L51" s="248">
        <f ca="1">+I136-F136</f>
        <v>13925</v>
      </c>
      <c r="O51" s="178"/>
      <c r="P51" s="80"/>
      <c r="Q51" s="141"/>
    </row>
    <row r="52" spans="1:30" ht="15.75" x14ac:dyDescent="0.25">
      <c r="A52" s="185" t="s">
        <v>362</v>
      </c>
      <c r="D52" s="246"/>
      <c r="F52" s="246">
        <f ca="1">D34-D35</f>
        <v>1.7357999999999998E-2</v>
      </c>
      <c r="G52" s="246">
        <f ca="1">G34-G35</f>
        <v>1.815399999999999E-2</v>
      </c>
      <c r="K52" s="247" t="s">
        <v>363</v>
      </c>
      <c r="L52" s="248">
        <f ca="1">+L50-L51</f>
        <v>3088383.4249307895</v>
      </c>
      <c r="O52" s="178"/>
      <c r="P52" s="80"/>
      <c r="Q52" s="141"/>
    </row>
    <row r="53" spans="1:30" ht="15.75" x14ac:dyDescent="0.25">
      <c r="A53" s="185" t="s">
        <v>364</v>
      </c>
      <c r="D53" s="246"/>
      <c r="F53" s="81">
        <f ca="1">C33</f>
        <v>729616257</v>
      </c>
      <c r="G53" s="147">
        <f ca="1">F53</f>
        <v>729616257</v>
      </c>
      <c r="K53" s="247" t="s">
        <v>365</v>
      </c>
      <c r="L53" s="248">
        <f ca="1">-(I31-F31)</f>
        <v>-54583</v>
      </c>
      <c r="O53" s="178"/>
      <c r="P53" s="80"/>
      <c r="Q53" s="141"/>
    </row>
    <row r="54" spans="1:30" ht="15.75" x14ac:dyDescent="0.25">
      <c r="A54" s="185" t="s">
        <v>366</v>
      </c>
      <c r="D54" s="246"/>
      <c r="F54" s="81">
        <f ca="1">C34</f>
        <v>700134665</v>
      </c>
      <c r="G54" s="147">
        <f ca="1">F54</f>
        <v>700134665</v>
      </c>
      <c r="K54" s="247" t="s">
        <v>367</v>
      </c>
      <c r="L54" s="248">
        <f ca="1">-(I38-F38)</f>
        <v>-32297</v>
      </c>
      <c r="O54" s="178"/>
      <c r="P54" s="80"/>
      <c r="Q54" s="141"/>
    </row>
    <row r="55" spans="1:30" ht="15.75" x14ac:dyDescent="0.25">
      <c r="A55" s="185" t="s">
        <v>368</v>
      </c>
      <c r="D55" s="81"/>
      <c r="F55" s="249">
        <f ca="1">F53*F51+F52*F54</f>
        <v>30766177.847396992</v>
      </c>
      <c r="G55" s="249">
        <f ca="1">G53*G51+G52*G54</f>
        <v>32177136.06142699</v>
      </c>
      <c r="K55" s="247" t="s">
        <v>369</v>
      </c>
      <c r="L55" s="248">
        <f ca="1">SUM(L52:L54)</f>
        <v>3001503.4249307895</v>
      </c>
      <c r="O55" s="178"/>
      <c r="P55" s="80"/>
      <c r="Q55" s="141"/>
    </row>
    <row r="56" spans="1:30" ht="15.75" x14ac:dyDescent="0.25">
      <c r="A56" s="185" t="s">
        <v>370</v>
      </c>
      <c r="D56" s="249"/>
      <c r="F56" s="249">
        <f ca="1">SUM(F43,F45)</f>
        <v>34618274</v>
      </c>
      <c r="G56" s="249">
        <f ca="1">SUM(I43,I45)</f>
        <v>36208355</v>
      </c>
      <c r="K56" s="247" t="s">
        <v>371</v>
      </c>
      <c r="L56" s="248">
        <f ca="1">F57</f>
        <v>65384451.847396992</v>
      </c>
      <c r="O56" s="178"/>
      <c r="P56" s="80"/>
      <c r="Q56" s="141"/>
    </row>
    <row r="57" spans="1:30" ht="15.75" x14ac:dyDescent="0.25">
      <c r="A57" s="185" t="s">
        <v>372</v>
      </c>
      <c r="D57" s="80"/>
      <c r="F57" s="249">
        <f ca="1">SUM(F55:F56)</f>
        <v>65384451.847396992</v>
      </c>
      <c r="G57" s="249">
        <f ca="1">SUM(G55:G56)</f>
        <v>68385491.061426997</v>
      </c>
      <c r="K57" s="247" t="s">
        <v>373</v>
      </c>
      <c r="L57" s="250">
        <f ca="1">+L55/L56</f>
        <v>4.590546131572841E-2</v>
      </c>
      <c r="O57" s="178"/>
      <c r="P57" s="80"/>
      <c r="Q57" s="141"/>
    </row>
    <row r="58" spans="1:30" ht="15.75" x14ac:dyDescent="0.25">
      <c r="D58" s="80"/>
      <c r="G58" s="186"/>
    </row>
    <row r="59" spans="1:30" ht="15.75" x14ac:dyDescent="0.25">
      <c r="A59" s="185" t="s">
        <v>374</v>
      </c>
      <c r="C59" s="249"/>
      <c r="D59" s="246">
        <f ca="1">ROUND(SUM(F33:F34)/SUM($C$33:$C$34),6)</f>
        <v>8.5591E-2</v>
      </c>
      <c r="G59" s="246">
        <f ca="1">ROUND(SUM(I33:I34)/SUM($C$33:$C$34),6)</f>
        <v>8.6577000000000001E-2</v>
      </c>
      <c r="K59" s="247"/>
      <c r="L59" s="251"/>
    </row>
    <row r="60" spans="1:30" ht="15.75" x14ac:dyDescent="0.25">
      <c r="A60" s="185" t="s">
        <v>375</v>
      </c>
      <c r="C60" s="249"/>
      <c r="D60" s="252">
        <f ca="1">ROUND(SUM(F43)/SUM($C$43),2)</f>
        <v>7.53</v>
      </c>
      <c r="G60" s="252">
        <f ca="1">ROUND(SUM(I43)/SUM($C$43),2)</f>
        <v>7.88</v>
      </c>
      <c r="K60" s="247"/>
      <c r="L60" s="251"/>
    </row>
    <row r="61" spans="1:30" ht="15.75" x14ac:dyDescent="0.25">
      <c r="D61" s="80"/>
    </row>
    <row r="62" spans="1:30" ht="15.75" x14ac:dyDescent="0.25">
      <c r="A62" s="107" t="s">
        <v>164</v>
      </c>
      <c r="B62" s="108"/>
      <c r="C62" s="170"/>
      <c r="D62" s="113"/>
      <c r="E62" s="108"/>
      <c r="F62" s="108"/>
      <c r="G62" s="113"/>
      <c r="H62" s="108"/>
      <c r="I62" s="113" t="s">
        <v>111</v>
      </c>
      <c r="J62" s="113"/>
      <c r="L62" s="138"/>
      <c r="M62" s="138"/>
    </row>
    <row r="63" spans="1:30" ht="15.75" x14ac:dyDescent="0.25">
      <c r="A63" s="110" t="s">
        <v>165</v>
      </c>
      <c r="B63" s="108"/>
      <c r="C63" s="108" t="s">
        <v>111</v>
      </c>
      <c r="D63" s="113"/>
      <c r="E63" s="108"/>
      <c r="F63" s="108"/>
      <c r="G63" s="113"/>
      <c r="H63" s="108"/>
      <c r="I63" s="108"/>
      <c r="J63" s="108"/>
      <c r="L63" s="138"/>
      <c r="M63" s="138"/>
    </row>
    <row r="64" spans="1:30" ht="15.75" x14ac:dyDescent="0.25">
      <c r="A64" s="152"/>
      <c r="B64" s="108"/>
      <c r="C64" s="108"/>
      <c r="D64" s="113"/>
      <c r="E64" s="108"/>
      <c r="F64" s="108"/>
      <c r="G64" s="113"/>
      <c r="H64" s="108"/>
      <c r="I64" s="108"/>
      <c r="J64" s="108"/>
      <c r="K64" s="141"/>
      <c r="L64" s="142"/>
      <c r="M64" s="142"/>
    </row>
    <row r="65" spans="1:13" ht="15.75" x14ac:dyDescent="0.25">
      <c r="A65" s="152" t="s">
        <v>20</v>
      </c>
      <c r="B65" s="108"/>
      <c r="C65" s="149">
        <f ca="1">'[56]Tariff 26'!$D$9</f>
        <v>9687</v>
      </c>
      <c r="D65" s="171">
        <f ca="1">'[55]Exhibit No.__(JAP-Tariff)'!E35</f>
        <v>104.46</v>
      </c>
      <c r="E65" s="152"/>
      <c r="F65" s="172">
        <f ca="1">ROUND(D65*$C65,0)</f>
        <v>1011904</v>
      </c>
      <c r="G65" s="171">
        <f ca="1">ROUND(D65*(1+$M$81),2)</f>
        <v>105.74</v>
      </c>
      <c r="H65" s="152"/>
      <c r="I65" s="172">
        <f ca="1">ROUND(G65*$C65,0)</f>
        <v>1024303</v>
      </c>
      <c r="J65" s="172"/>
      <c r="K65" s="411" t="s">
        <v>65</v>
      </c>
      <c r="L65" s="411"/>
      <c r="M65" s="411"/>
    </row>
    <row r="66" spans="1:13" ht="15.75" x14ac:dyDescent="0.25">
      <c r="A66" s="152" t="s">
        <v>66</v>
      </c>
      <c r="B66" s="108"/>
      <c r="C66" s="149"/>
      <c r="D66" s="173"/>
      <c r="E66" s="172"/>
      <c r="F66" s="172"/>
      <c r="G66" s="173"/>
      <c r="H66" s="172"/>
      <c r="I66" s="172"/>
      <c r="J66" s="172"/>
      <c r="K66" s="141"/>
      <c r="L66" s="142"/>
      <c r="M66" s="142"/>
    </row>
    <row r="67" spans="1:13" ht="15.75" x14ac:dyDescent="0.25">
      <c r="A67" s="120" t="s">
        <v>53</v>
      </c>
      <c r="B67" s="108"/>
      <c r="C67" s="149">
        <f ca="1">'[56]Tariff 26'!$D$15</f>
        <v>1877448961</v>
      </c>
      <c r="D67" s="174">
        <f ca="1">'[55]Exhibit No.__(JAP-Tariff)'!E37</f>
        <v>5.6732999999999999E-2</v>
      </c>
      <c r="E67" s="172"/>
      <c r="F67" s="172">
        <f t="shared" ref="F67" ca="1" si="6">ROUND($C67*D67,0)</f>
        <v>106513312</v>
      </c>
      <c r="G67" s="122">
        <f ca="1">ROUND((1+$L$109)*'[55]Exhibit No.__(JAP-PV RD)'!G17,6)+L83</f>
        <v>5.7180999999999996E-2</v>
      </c>
      <c r="H67" s="172"/>
      <c r="I67" s="172">
        <f t="shared" ref="I67" ca="1" si="7">ROUND($C67*G67,0)</f>
        <v>107354409</v>
      </c>
      <c r="J67" s="172"/>
      <c r="K67" s="411" t="s">
        <v>67</v>
      </c>
      <c r="L67" s="411"/>
      <c r="M67" s="411"/>
    </row>
    <row r="68" spans="1:13" ht="15.75" x14ac:dyDescent="0.25">
      <c r="A68" s="114" t="s">
        <v>86</v>
      </c>
      <c r="B68" s="108"/>
      <c r="C68" s="175">
        <f ca="1">SUM(C67:C67)</f>
        <v>1877448961</v>
      </c>
      <c r="D68" s="158"/>
      <c r="E68" s="152"/>
      <c r="F68" s="117">
        <f ca="1">SUM(F67:F67)</f>
        <v>106513312</v>
      </c>
      <c r="G68" s="158"/>
      <c r="H68" s="152"/>
      <c r="I68" s="117">
        <f ca="1">SUM(I67:I67)</f>
        <v>107354409</v>
      </c>
      <c r="J68" s="113"/>
      <c r="K68" s="141"/>
      <c r="L68" s="142"/>
      <c r="M68" s="142"/>
    </row>
    <row r="69" spans="1:13" ht="15.75" x14ac:dyDescent="0.25">
      <c r="A69" s="120" t="s">
        <v>68</v>
      </c>
      <c r="B69" s="108"/>
      <c r="C69" s="149">
        <f ca="1">'[56]Tariff 26'!$D$17</f>
        <v>-231987.67610922537</v>
      </c>
      <c r="D69" s="174">
        <f ca="1">D67</f>
        <v>5.6732999999999999E-2</v>
      </c>
      <c r="E69" s="152"/>
      <c r="F69" s="172">
        <f t="shared" ref="F69:F70" ca="1" si="8">ROUND($C69*D69,0)</f>
        <v>-13161</v>
      </c>
      <c r="G69" s="174">
        <f ca="1">G67</f>
        <v>5.7180999999999996E-2</v>
      </c>
      <c r="H69" s="152"/>
      <c r="I69" s="172">
        <f t="shared" ref="I69:I70" ca="1" si="9">ROUND($C69*G69,0)</f>
        <v>-13265</v>
      </c>
      <c r="J69" s="113"/>
      <c r="K69" s="187"/>
      <c r="L69" s="142"/>
      <c r="M69" s="142"/>
    </row>
    <row r="70" spans="1:13" ht="15.75" x14ac:dyDescent="0.25">
      <c r="A70" s="126" t="s">
        <v>69</v>
      </c>
      <c r="B70" s="108"/>
      <c r="C70" s="167">
        <f ca="1">'[56]Tariff 26'!$D$16</f>
        <v>1605471.0577550698</v>
      </c>
      <c r="D70" s="174">
        <f ca="1">ROUND(SUM(F65,F68:F69,F75,F77)/SUM(C68:C69),6)</f>
        <v>8.1344E-2</v>
      </c>
      <c r="E70" s="152"/>
      <c r="F70" s="172">
        <f t="shared" ca="1" si="8"/>
        <v>130595</v>
      </c>
      <c r="G70" s="174">
        <f ca="1">ROUND(SUM(I65,I68:I69,I75,I77)/SUM(C68:C69),6)</f>
        <v>8.2340999999999998E-2</v>
      </c>
      <c r="H70" s="152"/>
      <c r="I70" s="172">
        <f t="shared" ca="1" si="9"/>
        <v>132196</v>
      </c>
      <c r="J70" s="119"/>
      <c r="K70" s="411" t="s">
        <v>65</v>
      </c>
      <c r="L70" s="411"/>
      <c r="M70" s="411"/>
    </row>
    <row r="71" spans="1:13" ht="15.75" x14ac:dyDescent="0.25">
      <c r="A71" s="114" t="s">
        <v>86</v>
      </c>
      <c r="B71" s="108"/>
      <c r="C71" s="175">
        <f ca="1">SUM(C68:C70)</f>
        <v>1878822444.3816457</v>
      </c>
      <c r="D71" s="152"/>
      <c r="E71" s="152"/>
      <c r="F71" s="117">
        <f ca="1">SUM(F68:F70)</f>
        <v>106630746</v>
      </c>
      <c r="G71" s="152"/>
      <c r="H71" s="152"/>
      <c r="I71" s="117">
        <f ca="1">SUM(I68:I70)</f>
        <v>107473340</v>
      </c>
      <c r="J71" s="119"/>
      <c r="K71" s="187"/>
      <c r="L71" s="142"/>
      <c r="M71" s="142"/>
    </row>
    <row r="72" spans="1:13" ht="15.75" x14ac:dyDescent="0.25">
      <c r="A72" s="152" t="s">
        <v>70</v>
      </c>
      <c r="B72" s="108"/>
      <c r="C72" s="149"/>
      <c r="D72" s="176"/>
      <c r="E72" s="152"/>
      <c r="F72" s="172"/>
      <c r="G72" s="176"/>
      <c r="H72" s="152"/>
      <c r="I72" s="172"/>
      <c r="J72" s="172"/>
      <c r="K72" s="187"/>
      <c r="L72" s="244"/>
      <c r="M72" s="142"/>
    </row>
    <row r="73" spans="1:13" ht="15.75" x14ac:dyDescent="0.25">
      <c r="A73" s="120" t="s">
        <v>166</v>
      </c>
      <c r="B73" s="108"/>
      <c r="C73" s="149">
        <f ca="1">'[56]Tariff 26'!$D$24</f>
        <v>2228349</v>
      </c>
      <c r="D73" s="171">
        <f ca="1">'[55]Exhibit No.__(JAP-Tariff)'!E39</f>
        <v>11.65</v>
      </c>
      <c r="E73" s="152"/>
      <c r="F73" s="172">
        <f ca="1">ROUND(D73*$C73,0)</f>
        <v>25960266</v>
      </c>
      <c r="G73" s="171">
        <f ca="1">ROUND((1+$L$109)*'[55]Exhibit No.__(JAP-PV RD)'!G23,2)</f>
        <v>11.91</v>
      </c>
      <c r="H73" s="152"/>
      <c r="I73" s="172">
        <f ca="1">ROUND(G73*$C73,0)</f>
        <v>26539637</v>
      </c>
      <c r="J73" s="172"/>
      <c r="K73" s="411" t="s">
        <v>71</v>
      </c>
      <c r="L73" s="411"/>
      <c r="M73" s="411"/>
    </row>
    <row r="74" spans="1:13" ht="15.75" x14ac:dyDescent="0.25">
      <c r="A74" s="120" t="s">
        <v>167</v>
      </c>
      <c r="B74" s="108"/>
      <c r="C74" s="149">
        <f ca="1">'[56]Tariff 26'!$D$29</f>
        <v>2345120</v>
      </c>
      <c r="D74" s="171">
        <f ca="1">'[55]Exhibit No.__(JAP-Tariff)'!E40</f>
        <v>7.76</v>
      </c>
      <c r="E74" s="152"/>
      <c r="F74" s="172">
        <f ca="1">ROUND(D74*$C74,0)</f>
        <v>18198131</v>
      </c>
      <c r="G74" s="171">
        <f ca="1">ROUND((1+$L$109)*'[55]Exhibit No.__(JAP-PV RD)'!G24,2)</f>
        <v>7.94</v>
      </c>
      <c r="H74" s="152"/>
      <c r="I74" s="172">
        <f ca="1">ROUND(G74*$C74,0)</f>
        <v>18620253</v>
      </c>
      <c r="J74" s="172"/>
      <c r="K74" s="411" t="s">
        <v>71</v>
      </c>
      <c r="L74" s="411"/>
      <c r="M74" s="411"/>
    </row>
    <row r="75" spans="1:13" ht="15.75" x14ac:dyDescent="0.25">
      <c r="A75" s="114" t="s">
        <v>86</v>
      </c>
      <c r="B75" s="108"/>
      <c r="C75" s="175">
        <f ca="1">SUM(C73:C74)</f>
        <v>4573469</v>
      </c>
      <c r="D75" s="176"/>
      <c r="E75" s="152"/>
      <c r="F75" s="177">
        <f ca="1">SUM(F73:F74)</f>
        <v>44158397</v>
      </c>
      <c r="G75" s="176"/>
      <c r="H75" s="152"/>
      <c r="I75" s="177">
        <f ca="1">SUM(I73:I74)</f>
        <v>45159890</v>
      </c>
      <c r="J75" s="172"/>
      <c r="K75" s="187"/>
      <c r="L75" s="142"/>
      <c r="M75" s="142"/>
    </row>
    <row r="76" spans="1:13" ht="15.75" x14ac:dyDescent="0.25">
      <c r="A76" s="108"/>
      <c r="B76" s="108"/>
      <c r="C76" s="167"/>
      <c r="D76" s="167"/>
      <c r="E76" s="152"/>
      <c r="F76" s="119"/>
      <c r="G76" s="167"/>
      <c r="H76" s="152"/>
      <c r="I76" s="119"/>
      <c r="J76" s="119"/>
      <c r="K76" s="187"/>
      <c r="L76" s="142"/>
      <c r="M76" s="142"/>
    </row>
    <row r="77" spans="1:13" ht="15.75" x14ac:dyDescent="0.25">
      <c r="A77" s="108" t="s">
        <v>54</v>
      </c>
      <c r="B77" s="108"/>
      <c r="C77" s="149">
        <f ca="1">'[56]Tariff 26'!$D$35</f>
        <v>829881702</v>
      </c>
      <c r="D77" s="179">
        <f ca="1">'[55]Exhibit No.__(JAP-Tariff)'!E42</f>
        <v>1.24E-3</v>
      </c>
      <c r="E77" s="152"/>
      <c r="F77" s="172">
        <f ca="1">ROUND(D77*$C77,0)</f>
        <v>1029053</v>
      </c>
      <c r="G77" s="179">
        <f ca="1">ROUND(D77*(1+$M$81),5)</f>
        <v>1.2600000000000001E-3</v>
      </c>
      <c r="H77" s="152"/>
      <c r="I77" s="172">
        <f ca="1">ROUND(G77*$C77,0)</f>
        <v>1045651</v>
      </c>
      <c r="J77" s="119"/>
      <c r="K77" s="411" t="s">
        <v>65</v>
      </c>
      <c r="L77" s="411"/>
      <c r="M77" s="411"/>
    </row>
    <row r="78" spans="1:13" ht="15.75" x14ac:dyDescent="0.25">
      <c r="A78" s="108"/>
      <c r="B78" s="108"/>
      <c r="C78" s="167"/>
      <c r="D78" s="167"/>
      <c r="E78" s="152"/>
      <c r="F78" s="119"/>
      <c r="G78" s="167"/>
      <c r="H78" s="152"/>
      <c r="I78" s="119"/>
      <c r="J78" s="119"/>
      <c r="K78" s="243"/>
      <c r="L78" s="244"/>
      <c r="M78" s="142"/>
    </row>
    <row r="79" spans="1:13" ht="16.5" thickBot="1" x14ac:dyDescent="0.3">
      <c r="A79" s="108" t="s">
        <v>154</v>
      </c>
      <c r="B79" s="108"/>
      <c r="C79" s="167"/>
      <c r="D79" s="167"/>
      <c r="E79" s="152"/>
      <c r="F79" s="163">
        <f ca="1">SUM(F65,F71,F75,F77)</f>
        <v>152830100</v>
      </c>
      <c r="G79" s="167"/>
      <c r="H79" s="152"/>
      <c r="I79" s="163">
        <f ca="1">SUM(I65,I71,I75,I77)</f>
        <v>154703184</v>
      </c>
      <c r="J79" s="153"/>
      <c r="K79" s="187"/>
      <c r="L79" s="244"/>
      <c r="M79" s="142"/>
    </row>
    <row r="80" spans="1:13" ht="16.5" thickTop="1" x14ac:dyDescent="0.25">
      <c r="A80" s="108"/>
      <c r="B80" s="181"/>
      <c r="C80" s="167"/>
      <c r="D80" s="167"/>
      <c r="E80" s="108"/>
      <c r="F80" s="113"/>
      <c r="G80" s="167"/>
      <c r="H80" s="108"/>
      <c r="I80" s="113"/>
      <c r="J80" s="113"/>
      <c r="K80" s="243"/>
      <c r="L80" s="244"/>
      <c r="M80" s="142"/>
    </row>
    <row r="81" spans="1:13" ht="15.75" x14ac:dyDescent="0.25">
      <c r="A81" s="147" t="str">
        <f>A60</f>
        <v>Avg Demand</v>
      </c>
      <c r="D81" s="252">
        <f ca="1">ROUND(SUM(F75)/SUM($C$75),2)</f>
        <v>9.66</v>
      </c>
      <c r="G81" s="252">
        <f ca="1">ROUND(SUM(I75)/SUM($C$75),2)</f>
        <v>9.8699999999999992</v>
      </c>
      <c r="K81" s="180" t="s">
        <v>168</v>
      </c>
      <c r="L81" s="165">
        <f ca="1">'[55]Exhibit No.__(JAP-Rate Spread)'!K13*1000</f>
        <v>155746297.75726226</v>
      </c>
      <c r="M81" s="238">
        <f ca="1">L81/SUM(F105,F79)-1</f>
        <v>1.2229858559902995E-2</v>
      </c>
    </row>
    <row r="82" spans="1:13" ht="15.75" x14ac:dyDescent="0.25">
      <c r="B82" s="108"/>
      <c r="C82" s="170"/>
      <c r="D82" s="113"/>
      <c r="E82" s="108"/>
      <c r="F82" s="108"/>
      <c r="G82" s="113"/>
      <c r="H82" s="108"/>
      <c r="I82" s="113" t="s">
        <v>111</v>
      </c>
      <c r="J82" s="113"/>
      <c r="K82" s="168" t="s">
        <v>40</v>
      </c>
      <c r="L82" s="169">
        <f ca="1">L81-I79-I105</f>
        <v>797.75726225972176</v>
      </c>
      <c r="M82" s="245" t="s">
        <v>111</v>
      </c>
    </row>
    <row r="83" spans="1:13" ht="15.75" x14ac:dyDescent="0.25">
      <c r="A83" s="107" t="s">
        <v>169</v>
      </c>
      <c r="B83" s="108"/>
      <c r="C83" s="108" t="s">
        <v>111</v>
      </c>
      <c r="D83" s="113"/>
      <c r="E83" s="108"/>
      <c r="F83" s="108"/>
      <c r="G83" s="113"/>
      <c r="H83" s="108"/>
      <c r="I83" s="108"/>
      <c r="J83" s="108"/>
      <c r="K83" s="134" t="s">
        <v>376</v>
      </c>
      <c r="L83" s="242">
        <f ca="1">'[55]Exhibit No.__(JAP-SV RD)'!$L$83</f>
        <v>-9.9999999999999995E-7</v>
      </c>
      <c r="M83" s="242">
        <f ca="1">L82/C67</f>
        <v>4.2491555234332774E-7</v>
      </c>
    </row>
    <row r="84" spans="1:13" ht="15.75" x14ac:dyDescent="0.25">
      <c r="A84" s="110" t="s">
        <v>165</v>
      </c>
      <c r="B84" s="108"/>
      <c r="C84" s="108"/>
      <c r="D84" s="113"/>
      <c r="E84" s="108"/>
      <c r="F84" s="108"/>
      <c r="G84" s="113"/>
      <c r="H84" s="108"/>
      <c r="I84" s="108"/>
      <c r="J84" s="108"/>
      <c r="K84" s="141"/>
      <c r="L84" s="142"/>
      <c r="M84" s="142"/>
    </row>
    <row r="85" spans="1:13" ht="15.75" x14ac:dyDescent="0.25">
      <c r="A85" s="152" t="s">
        <v>20</v>
      </c>
      <c r="B85" s="108"/>
      <c r="C85" s="149">
        <f ca="1">'[56]Tariff 26P'!$D$6</f>
        <v>24</v>
      </c>
      <c r="D85" s="171">
        <f ca="1">D65</f>
        <v>104.46</v>
      </c>
      <c r="E85" s="152"/>
      <c r="F85" s="172">
        <f ca="1">ROUND(D85*$C85,0)</f>
        <v>2507</v>
      </c>
      <c r="G85" s="171">
        <f ca="1">G65</f>
        <v>105.74</v>
      </c>
      <c r="H85" s="152"/>
      <c r="I85" s="172">
        <f ca="1">ROUND(G85*$C85,0)</f>
        <v>2538</v>
      </c>
      <c r="J85" s="172"/>
      <c r="K85" s="411" t="s">
        <v>170</v>
      </c>
      <c r="L85" s="411"/>
      <c r="M85" s="411"/>
    </row>
    <row r="86" spans="1:13" ht="15.75" x14ac:dyDescent="0.25">
      <c r="A86" s="188" t="s">
        <v>55</v>
      </c>
      <c r="B86" s="108"/>
      <c r="C86" s="149">
        <f ca="1">C85</f>
        <v>24</v>
      </c>
      <c r="D86" s="171">
        <f ca="1">'[55]Exhibit No.__(JAP-Tariff)'!E45</f>
        <v>235.05</v>
      </c>
      <c r="E86" s="152"/>
      <c r="F86" s="172">
        <f t="shared" ref="F86" ca="1" si="10">ROUND(D86*$C86,0)</f>
        <v>5641</v>
      </c>
      <c r="G86" s="171">
        <f ca="1">L108</f>
        <v>237.92000000000002</v>
      </c>
      <c r="H86" s="152"/>
      <c r="I86" s="172">
        <f ca="1">ROUND(G86*$C86,0)</f>
        <v>5710</v>
      </c>
      <c r="J86" s="172"/>
      <c r="K86" s="141"/>
      <c r="L86" s="142"/>
      <c r="M86" s="142"/>
    </row>
    <row r="87" spans="1:13" ht="15.75" x14ac:dyDescent="0.25">
      <c r="A87" s="114" t="s">
        <v>86</v>
      </c>
      <c r="B87" s="108"/>
      <c r="C87" s="149"/>
      <c r="D87" s="171"/>
      <c r="E87" s="152"/>
      <c r="F87" s="117">
        <f ca="1">SUM(F85:F86)</f>
        <v>8148</v>
      </c>
      <c r="G87" s="171"/>
      <c r="H87" s="152"/>
      <c r="I87" s="117">
        <f ca="1">SUM(I85:I86)</f>
        <v>8248</v>
      </c>
      <c r="J87" s="172"/>
      <c r="K87" s="411" t="s">
        <v>82</v>
      </c>
      <c r="L87" s="411"/>
      <c r="M87" s="411"/>
    </row>
    <row r="88" spans="1:13" ht="15.75" x14ac:dyDescent="0.25">
      <c r="A88" s="152" t="s">
        <v>66</v>
      </c>
      <c r="B88" s="108"/>
      <c r="C88" s="149"/>
      <c r="D88" s="173"/>
      <c r="E88" s="172"/>
      <c r="F88" s="172"/>
      <c r="G88" s="173"/>
      <c r="H88" s="172"/>
      <c r="I88" s="172"/>
      <c r="J88" s="172"/>
      <c r="K88" s="187"/>
      <c r="L88" s="142"/>
      <c r="M88" s="142"/>
    </row>
    <row r="89" spans="1:13" ht="15.75" x14ac:dyDescent="0.25">
      <c r="A89" s="120" t="s">
        <v>53</v>
      </c>
      <c r="B89" s="108"/>
      <c r="C89" s="149">
        <f ca="1">'[56]Tariff 26P'!$D$9</f>
        <v>13232300</v>
      </c>
      <c r="D89" s="174">
        <f ca="1">D67</f>
        <v>5.6732999999999999E-2</v>
      </c>
      <c r="E89" s="172"/>
      <c r="F89" s="172">
        <f t="shared" ref="F89:F90" ca="1" si="11">ROUND($C89*D89,0)</f>
        <v>750708</v>
      </c>
      <c r="G89" s="174">
        <f ca="1">G67</f>
        <v>5.7180999999999996E-2</v>
      </c>
      <c r="H89" s="172"/>
      <c r="I89" s="172">
        <f t="shared" ref="I89:I90" ca="1" si="12">ROUND($C89*G89,0)</f>
        <v>756636</v>
      </c>
      <c r="J89" s="172"/>
      <c r="K89" s="411" t="s">
        <v>170</v>
      </c>
      <c r="L89" s="411"/>
      <c r="M89" s="411"/>
    </row>
    <row r="90" spans="1:13" ht="15.75" x14ac:dyDescent="0.25">
      <c r="A90" s="120" t="s">
        <v>171</v>
      </c>
      <c r="B90" s="108"/>
      <c r="C90" s="149">
        <f ca="1">C89</f>
        <v>13232300</v>
      </c>
      <c r="D90" s="174">
        <f ca="1">'[55]Exhibit No.__(JAP-Tariff)'!E51-D89</f>
        <v>-1.9570000000000004E-3</v>
      </c>
      <c r="E90" s="172"/>
      <c r="F90" s="172">
        <f t="shared" ca="1" si="11"/>
        <v>-25896</v>
      </c>
      <c r="G90" s="174">
        <f ca="1">-M110</f>
        <v>-2.2529999999999998E-3</v>
      </c>
      <c r="H90" s="172"/>
      <c r="I90" s="172">
        <f t="shared" ca="1" si="12"/>
        <v>-29812</v>
      </c>
      <c r="J90" s="172"/>
      <c r="K90" s="411" t="s">
        <v>172</v>
      </c>
      <c r="L90" s="411"/>
      <c r="M90" s="411"/>
    </row>
    <row r="91" spans="1:13" ht="15.75" x14ac:dyDescent="0.25">
      <c r="A91" s="114" t="s">
        <v>86</v>
      </c>
      <c r="B91" s="108"/>
      <c r="C91" s="175">
        <f ca="1">SUM(C89:C89)</f>
        <v>13232300</v>
      </c>
      <c r="D91" s="158"/>
      <c r="E91" s="152"/>
      <c r="F91" s="117">
        <f ca="1">SUM(F89:F90)</f>
        <v>724812</v>
      </c>
      <c r="G91" s="158"/>
      <c r="H91" s="152"/>
      <c r="I91" s="117">
        <f ca="1">SUM(I89:I90)</f>
        <v>726824</v>
      </c>
      <c r="J91" s="113"/>
      <c r="K91" s="187"/>
      <c r="L91" s="142"/>
      <c r="M91" s="142"/>
    </row>
    <row r="92" spans="1:13" ht="15.75" x14ac:dyDescent="0.25">
      <c r="A92" s="120" t="s">
        <v>68</v>
      </c>
      <c r="B92" s="108"/>
      <c r="C92" s="149">
        <f ca="1">'[56]Tariff 26P'!$D$11</f>
        <v>0</v>
      </c>
      <c r="D92" s="174">
        <f ca="1">D89</f>
        <v>5.6732999999999999E-2</v>
      </c>
      <c r="E92" s="152"/>
      <c r="F92" s="172">
        <f t="shared" ref="F92:F93" ca="1" si="13">ROUND($C92*D92,0)</f>
        <v>0</v>
      </c>
      <c r="G92" s="174"/>
      <c r="H92" s="152"/>
      <c r="I92" s="172">
        <f t="shared" ref="I92:I93" ca="1" si="14">ROUND($C92*G92,0)</f>
        <v>0</v>
      </c>
      <c r="J92" s="113"/>
      <c r="K92" s="187"/>
      <c r="L92" s="142"/>
      <c r="M92" s="142"/>
    </row>
    <row r="93" spans="1:13" ht="15.75" x14ac:dyDescent="0.25">
      <c r="A93" s="126" t="s">
        <v>69</v>
      </c>
      <c r="B93" s="108"/>
      <c r="C93" s="167">
        <f ca="1">'[56]Tariff 26P'!$D$10</f>
        <v>0</v>
      </c>
      <c r="D93" s="174">
        <f ca="1">ROUND(SUM(F87,F91,F92,F99,F103)/SUM(C91:C92),6)</f>
        <v>7.8176999999999996E-2</v>
      </c>
      <c r="E93" s="152"/>
      <c r="F93" s="172">
        <f t="shared" ca="1" si="13"/>
        <v>0</v>
      </c>
      <c r="G93" s="174">
        <f ca="1">ROUND(SUM(I87,I91,I92,I99,I103)/SUM(C91:C92),6)</f>
        <v>7.8770999999999994E-2</v>
      </c>
      <c r="H93" s="152"/>
      <c r="I93" s="172">
        <f t="shared" ca="1" si="14"/>
        <v>0</v>
      </c>
      <c r="J93" s="119"/>
      <c r="K93" s="141"/>
      <c r="L93" s="142"/>
      <c r="M93" s="142"/>
    </row>
    <row r="94" spans="1:13" ht="15.75" x14ac:dyDescent="0.25">
      <c r="A94" s="114" t="s">
        <v>86</v>
      </c>
      <c r="B94" s="108"/>
      <c r="C94" s="175">
        <f ca="1">SUM(C91:C93)</f>
        <v>13232300</v>
      </c>
      <c r="D94" s="152"/>
      <c r="E94" s="152"/>
      <c r="F94" s="117">
        <f ca="1">SUM(F91:F93)</f>
        <v>724812</v>
      </c>
      <c r="G94" s="152"/>
      <c r="H94" s="152"/>
      <c r="I94" s="117">
        <f ca="1">SUM(I91:I93)</f>
        <v>726824</v>
      </c>
      <c r="J94" s="119"/>
      <c r="K94" s="187"/>
      <c r="L94" s="142"/>
      <c r="M94" s="142"/>
    </row>
    <row r="95" spans="1:13" ht="15.75" x14ac:dyDescent="0.25">
      <c r="A95" s="152" t="s">
        <v>70</v>
      </c>
      <c r="B95" s="108"/>
      <c r="C95" s="149"/>
      <c r="D95" s="176"/>
      <c r="E95" s="152"/>
      <c r="F95" s="172"/>
      <c r="G95" s="176"/>
      <c r="H95" s="152"/>
      <c r="I95" s="172"/>
      <c r="J95" s="172"/>
      <c r="K95" s="187"/>
      <c r="L95" s="244"/>
      <c r="M95" s="142"/>
    </row>
    <row r="96" spans="1:13" ht="15.75" x14ac:dyDescent="0.25">
      <c r="A96" s="120" t="s">
        <v>166</v>
      </c>
      <c r="B96" s="108"/>
      <c r="C96" s="149">
        <f ca="1">'[56]Tariff 26P'!$D$15</f>
        <v>16911</v>
      </c>
      <c r="D96" s="171">
        <f ca="1">D73</f>
        <v>11.65</v>
      </c>
      <c r="E96" s="152"/>
      <c r="F96" s="172">
        <f ca="1">ROUND(D96*$C96,0)</f>
        <v>197013</v>
      </c>
      <c r="G96" s="171">
        <f ca="1">G73</f>
        <v>11.91</v>
      </c>
      <c r="H96" s="152"/>
      <c r="I96" s="172">
        <f ca="1">ROUND(G96*$C96,0)</f>
        <v>201410</v>
      </c>
      <c r="J96" s="172"/>
      <c r="K96" s="411" t="s">
        <v>170</v>
      </c>
      <c r="L96" s="411"/>
      <c r="M96" s="411"/>
    </row>
    <row r="97" spans="1:13" ht="15.75" x14ac:dyDescent="0.25">
      <c r="A97" s="120" t="s">
        <v>167</v>
      </c>
      <c r="B97" s="108"/>
      <c r="C97" s="149">
        <f ca="1">'[56]Tariff 26P'!$D$16</f>
        <v>14150</v>
      </c>
      <c r="D97" s="171">
        <f ca="1">D74</f>
        <v>7.76</v>
      </c>
      <c r="E97" s="152"/>
      <c r="F97" s="172">
        <f ca="1">ROUND(D97*$C97,0)</f>
        <v>109804</v>
      </c>
      <c r="G97" s="171">
        <f ca="1">G74</f>
        <v>7.94</v>
      </c>
      <c r="H97" s="152"/>
      <c r="I97" s="172">
        <f ca="1">ROUND(G97*$C97,0)</f>
        <v>112351</v>
      </c>
      <c r="J97" s="172"/>
      <c r="K97" s="411" t="s">
        <v>170</v>
      </c>
      <c r="L97" s="411"/>
      <c r="M97" s="411"/>
    </row>
    <row r="98" spans="1:13" ht="15.75" x14ac:dyDescent="0.25">
      <c r="A98" s="120" t="s">
        <v>171</v>
      </c>
      <c r="B98" s="108"/>
      <c r="C98" s="149">
        <f ca="1">C97+C96</f>
        <v>31061</v>
      </c>
      <c r="D98" s="171">
        <f ca="1">'[55]Exhibit No.__(JAP-Tariff)'!E46</f>
        <v>-0.35</v>
      </c>
      <c r="E98" s="152"/>
      <c r="F98" s="172">
        <f ca="1">ROUND(D98*$C98,0)</f>
        <v>-10871</v>
      </c>
      <c r="G98" s="171">
        <f ca="1">-M109</f>
        <v>-0.39</v>
      </c>
      <c r="H98" s="152"/>
      <c r="I98" s="172">
        <f ca="1">ROUND(G98*$C98,0)</f>
        <v>-12114</v>
      </c>
      <c r="J98" s="172"/>
      <c r="K98" s="411" t="s">
        <v>172</v>
      </c>
      <c r="L98" s="411"/>
      <c r="M98" s="411"/>
    </row>
    <row r="99" spans="1:13" ht="15.75" x14ac:dyDescent="0.25">
      <c r="A99" s="114" t="s">
        <v>86</v>
      </c>
      <c r="B99" s="108"/>
      <c r="C99" s="175">
        <f ca="1">SUM(C96:C97)</f>
        <v>31061</v>
      </c>
      <c r="D99" s="176"/>
      <c r="E99" s="152"/>
      <c r="F99" s="177">
        <f ca="1">SUM(F96:F98)</f>
        <v>295946</v>
      </c>
      <c r="G99" s="176"/>
      <c r="H99" s="152"/>
      <c r="I99" s="177">
        <f ca="1">SUM(I96:I98)</f>
        <v>301647</v>
      </c>
      <c r="J99" s="172"/>
      <c r="K99" s="187"/>
      <c r="L99" s="142"/>
      <c r="M99" s="142"/>
    </row>
    <row r="100" spans="1:13" ht="15.75" x14ac:dyDescent="0.25">
      <c r="A100" s="108"/>
      <c r="B100" s="108"/>
      <c r="C100" s="167"/>
      <c r="D100" s="167"/>
      <c r="E100" s="152"/>
      <c r="F100" s="119"/>
      <c r="G100" s="167"/>
      <c r="H100" s="152"/>
      <c r="I100" s="119"/>
      <c r="J100" s="119"/>
      <c r="K100" s="187"/>
      <c r="L100" s="142"/>
      <c r="M100" s="142"/>
    </row>
    <row r="101" spans="1:13" ht="15.75" x14ac:dyDescent="0.25">
      <c r="A101" s="108" t="s">
        <v>54</v>
      </c>
      <c r="B101" s="108"/>
      <c r="C101" s="149">
        <f ca="1">'[56]Tariff 26P'!$D$19</f>
        <v>4625110</v>
      </c>
      <c r="D101" s="179">
        <f ca="1">D77</f>
        <v>1.24E-3</v>
      </c>
      <c r="E101" s="152"/>
      <c r="F101" s="172">
        <f ca="1">ROUND(D101*$C101,0)</f>
        <v>5735</v>
      </c>
      <c r="G101" s="179">
        <f ca="1">G77</f>
        <v>1.2600000000000001E-3</v>
      </c>
      <c r="H101" s="152"/>
      <c r="I101" s="172">
        <f ca="1">ROUND(G101*$C101,0)</f>
        <v>5828</v>
      </c>
      <c r="J101" s="119"/>
      <c r="K101" s="411" t="s">
        <v>170</v>
      </c>
      <c r="L101" s="411"/>
      <c r="M101" s="411"/>
    </row>
    <row r="102" spans="1:13" ht="15.75" x14ac:dyDescent="0.25">
      <c r="A102" s="120" t="s">
        <v>171</v>
      </c>
      <c r="B102" s="108"/>
      <c r="C102" s="149">
        <f ca="1">C101+C100</f>
        <v>4625110</v>
      </c>
      <c r="D102" s="179">
        <f ca="1">'[55]Exhibit No.__(JAP-Tariff)'!E52-'[55]Exhibit No.__(JAP-SV RD)'!D101</f>
        <v>-4.0000000000000105E-5</v>
      </c>
      <c r="E102" s="152"/>
      <c r="F102" s="172">
        <f ca="1">ROUND(D102*$C102,0)</f>
        <v>-185</v>
      </c>
      <c r="G102" s="179">
        <f ca="1">-M111</f>
        <v>-5.0000000000000002E-5</v>
      </c>
      <c r="H102" s="152"/>
      <c r="I102" s="172">
        <f ca="1">ROUND(G102*$C102,0)</f>
        <v>-231</v>
      </c>
      <c r="J102" s="119"/>
      <c r="K102" s="411" t="s">
        <v>172</v>
      </c>
      <c r="L102" s="411"/>
      <c r="M102" s="411"/>
    </row>
    <row r="103" spans="1:13" ht="15.75" x14ac:dyDescent="0.25">
      <c r="A103" s="114" t="s">
        <v>86</v>
      </c>
      <c r="B103" s="108"/>
      <c r="C103" s="149"/>
      <c r="D103" s="179"/>
      <c r="E103" s="152"/>
      <c r="F103" s="117">
        <f ca="1">SUM(F100:F102)</f>
        <v>5550</v>
      </c>
      <c r="G103" s="171"/>
      <c r="H103" s="152"/>
      <c r="I103" s="117">
        <f ca="1">SUM(I100:I102)</f>
        <v>5597</v>
      </c>
      <c r="J103" s="119"/>
      <c r="K103" s="187"/>
      <c r="L103" s="244"/>
      <c r="M103" s="142"/>
    </row>
    <row r="104" spans="1:13" ht="15.75" x14ac:dyDescent="0.25">
      <c r="A104" s="108"/>
      <c r="B104" s="108"/>
      <c r="C104" s="167"/>
      <c r="D104" s="167"/>
      <c r="E104" s="152"/>
      <c r="F104" s="119"/>
      <c r="G104" s="167"/>
      <c r="H104" s="152"/>
      <c r="I104" s="119"/>
      <c r="J104" s="119"/>
      <c r="K104" s="187"/>
      <c r="L104" s="244"/>
      <c r="M104" s="142"/>
    </row>
    <row r="105" spans="1:13" ht="16.5" thickBot="1" x14ac:dyDescent="0.3">
      <c r="A105" s="108" t="s">
        <v>154</v>
      </c>
      <c r="B105" s="108"/>
      <c r="C105" s="167"/>
      <c r="D105" s="167"/>
      <c r="E105" s="152"/>
      <c r="F105" s="163">
        <f ca="1">SUM(F103,F99,F94,F87)</f>
        <v>1034456</v>
      </c>
      <c r="G105" s="167"/>
      <c r="H105" s="152"/>
      <c r="I105" s="163">
        <f ca="1">SUM(I103,I99,I94,I87)</f>
        <v>1042316</v>
      </c>
      <c r="J105" s="153"/>
      <c r="K105" s="187"/>
      <c r="L105" s="244"/>
      <c r="M105" s="142"/>
    </row>
    <row r="106" spans="1:13" ht="17.25" thickTop="1" thickBot="1" x14ac:dyDescent="0.3">
      <c r="A106" s="108"/>
      <c r="B106" s="181"/>
      <c r="C106" s="167"/>
      <c r="D106" s="167"/>
      <c r="E106" s="152"/>
      <c r="F106" s="113"/>
      <c r="G106" s="167"/>
      <c r="H106" s="152"/>
      <c r="I106" s="113"/>
      <c r="J106" s="113"/>
      <c r="K106" s="243"/>
      <c r="L106" s="244"/>
      <c r="M106" s="142"/>
    </row>
    <row r="107" spans="1:13" ht="16.5" thickBot="1" x14ac:dyDescent="0.3">
      <c r="K107" s="415" t="s">
        <v>72</v>
      </c>
      <c r="L107" s="416"/>
      <c r="M107" s="417"/>
    </row>
    <row r="108" spans="1:13" ht="15.75" x14ac:dyDescent="0.25">
      <c r="B108" s="108"/>
      <c r="C108" s="170"/>
      <c r="D108" s="113"/>
      <c r="E108" s="108"/>
      <c r="F108" s="108"/>
      <c r="G108" s="113"/>
      <c r="H108" s="108"/>
      <c r="I108" s="113" t="s">
        <v>111</v>
      </c>
      <c r="J108" s="113"/>
      <c r="K108" s="189" t="s">
        <v>73</v>
      </c>
      <c r="L108" s="190">
        <f ca="1">'[55]Exhibit No.__(JAP-PV RD)'!G15-'[55]Exhibit No.__(JAP-SV RD)'!G65</f>
        <v>237.92000000000002</v>
      </c>
      <c r="M108" s="191"/>
    </row>
    <row r="109" spans="1:13" ht="15.75" x14ac:dyDescent="0.25">
      <c r="B109" s="108"/>
      <c r="C109" s="108" t="s">
        <v>111</v>
      </c>
      <c r="D109" s="113"/>
      <c r="E109" s="108"/>
      <c r="F109" s="108"/>
      <c r="G109" s="113"/>
      <c r="H109" s="108"/>
      <c r="I109" s="108"/>
      <c r="J109" s="108"/>
      <c r="K109" s="189" t="s">
        <v>74</v>
      </c>
      <c r="L109" s="253">
        <v>3.9399999999999998E-2</v>
      </c>
      <c r="M109" s="254">
        <f ca="1">ROUND(+L109*(I75/C75),2)</f>
        <v>0.39</v>
      </c>
    </row>
    <row r="110" spans="1:13" ht="15.75" x14ac:dyDescent="0.25">
      <c r="A110" s="152"/>
      <c r="B110" s="108"/>
      <c r="C110" s="108"/>
      <c r="D110" s="113"/>
      <c r="E110" s="108"/>
      <c r="F110" s="108"/>
      <c r="G110" s="113"/>
      <c r="H110" s="108"/>
      <c r="I110" s="108"/>
      <c r="J110" s="108"/>
      <c r="K110" s="189" t="s">
        <v>75</v>
      </c>
      <c r="L110" s="255">
        <f>+L109</f>
        <v>3.9399999999999998E-2</v>
      </c>
      <c r="M110" s="256">
        <f ca="1">ROUND(+L110*G67,6)</f>
        <v>2.2529999999999998E-3</v>
      </c>
    </row>
    <row r="111" spans="1:13" ht="16.5" thickBot="1" x14ac:dyDescent="0.3">
      <c r="A111" s="152"/>
      <c r="B111" s="108"/>
      <c r="C111" s="108"/>
      <c r="D111" s="113"/>
      <c r="E111" s="108"/>
      <c r="F111" s="108"/>
      <c r="G111" s="113"/>
      <c r="H111" s="108"/>
      <c r="I111" s="108"/>
      <c r="J111" s="108"/>
      <c r="K111" s="192" t="s">
        <v>173</v>
      </c>
      <c r="L111" s="257">
        <f>+L110</f>
        <v>3.9399999999999998E-2</v>
      </c>
      <c r="M111" s="258">
        <f ca="1">ROUND(+L111*G77,5)</f>
        <v>5.0000000000000002E-5</v>
      </c>
    </row>
    <row r="112" spans="1:13" ht="15.75" x14ac:dyDescent="0.25">
      <c r="A112" s="107" t="s">
        <v>174</v>
      </c>
      <c r="B112" s="108"/>
      <c r="C112" s="108"/>
      <c r="D112" s="113"/>
      <c r="E112" s="108"/>
      <c r="F112" s="108"/>
      <c r="G112" s="113"/>
      <c r="H112" s="108"/>
      <c r="I112" s="108"/>
      <c r="J112" s="108"/>
      <c r="K112" s="193"/>
      <c r="L112" s="259"/>
      <c r="M112" s="260"/>
    </row>
    <row r="113" spans="1:15" ht="15.75" x14ac:dyDescent="0.25">
      <c r="A113" s="110" t="s">
        <v>175</v>
      </c>
      <c r="B113" s="108"/>
      <c r="C113" s="108"/>
      <c r="D113" s="113"/>
      <c r="E113" s="108"/>
      <c r="F113" s="108"/>
      <c r="G113" s="113"/>
      <c r="H113" s="108"/>
      <c r="I113" s="108"/>
      <c r="J113" s="108"/>
      <c r="K113" s="193"/>
      <c r="L113" s="259"/>
      <c r="M113" s="260"/>
    </row>
    <row r="114" spans="1:15" ht="15.75" x14ac:dyDescent="0.25">
      <c r="A114" s="152"/>
      <c r="B114" s="108"/>
      <c r="C114" s="108"/>
      <c r="D114" s="113"/>
      <c r="E114" s="108"/>
      <c r="F114" s="108"/>
      <c r="G114" s="113"/>
      <c r="H114" s="108"/>
      <c r="I114" s="108"/>
      <c r="J114" s="108"/>
      <c r="K114" s="193"/>
      <c r="L114" s="259"/>
      <c r="M114" s="260"/>
      <c r="N114" s="194"/>
      <c r="O114" s="195"/>
    </row>
    <row r="115" spans="1:15" ht="15.75" x14ac:dyDescent="0.25">
      <c r="A115" s="108" t="s">
        <v>20</v>
      </c>
      <c r="B115" s="108"/>
      <c r="C115" s="149"/>
      <c r="D115" s="171"/>
      <c r="E115" s="152"/>
      <c r="F115" s="172"/>
      <c r="G115" s="171"/>
      <c r="H115" s="152"/>
      <c r="I115" s="172"/>
      <c r="J115" s="172"/>
      <c r="K115" s="141"/>
      <c r="L115" s="142"/>
      <c r="M115" s="142"/>
    </row>
    <row r="116" spans="1:15" ht="15.75" x14ac:dyDescent="0.25">
      <c r="A116" s="108" t="s">
        <v>143</v>
      </c>
      <c r="B116" s="108"/>
      <c r="C116" s="149">
        <f ca="1">'[56]Tariff 29'!$D$7</f>
        <v>2248</v>
      </c>
      <c r="D116" s="171">
        <f ca="1">'[55]Exhibit No.__(JAP-Tariff)'!E55</f>
        <v>9.56</v>
      </c>
      <c r="E116" s="152"/>
      <c r="F116" s="172">
        <f t="shared" ref="F116:F117" ca="1" si="15">ROUND(D116*$C116,0)</f>
        <v>21491</v>
      </c>
      <c r="G116" s="171">
        <f ca="1">ROUND(D116*(1+$I$138),2)</f>
        <v>9.68</v>
      </c>
      <c r="H116" s="152"/>
      <c r="I116" s="172">
        <f t="shared" ref="I116:I117" ca="1" si="16">ROUND(G116*$C116,0)</f>
        <v>21761</v>
      </c>
      <c r="J116" s="172"/>
      <c r="K116" s="411" t="s">
        <v>65</v>
      </c>
      <c r="L116" s="411"/>
      <c r="M116" s="411"/>
    </row>
    <row r="117" spans="1:15" ht="15.75" x14ac:dyDescent="0.25">
      <c r="A117" s="108" t="s">
        <v>144</v>
      </c>
      <c r="B117" s="108"/>
      <c r="C117" s="149">
        <f ca="1">'[56]Tariff 29'!$D$8</f>
        <v>5042</v>
      </c>
      <c r="D117" s="171">
        <f ca="1">'[55]Exhibit No.__(JAP-Tariff)'!E56</f>
        <v>24.28</v>
      </c>
      <c r="E117" s="152"/>
      <c r="F117" s="172">
        <f t="shared" ca="1" si="15"/>
        <v>122420</v>
      </c>
      <c r="G117" s="171">
        <f ca="1">ROUND(D117*(1+$I$138),2)</f>
        <v>24.58</v>
      </c>
      <c r="H117" s="152"/>
      <c r="I117" s="172">
        <f t="shared" ca="1" si="16"/>
        <v>123932</v>
      </c>
      <c r="J117" s="172"/>
      <c r="K117" s="411" t="s">
        <v>65</v>
      </c>
      <c r="L117" s="411"/>
      <c r="M117" s="411"/>
    </row>
    <row r="118" spans="1:15" ht="15.75" x14ac:dyDescent="0.25">
      <c r="A118" s="114" t="s">
        <v>86</v>
      </c>
      <c r="B118" s="108"/>
      <c r="C118" s="175">
        <f ca="1">SUM(C116:C117)</f>
        <v>7290</v>
      </c>
      <c r="D118" s="171"/>
      <c r="E118" s="152"/>
      <c r="F118" s="117">
        <f ca="1">SUM(F116:F117)</f>
        <v>143911</v>
      </c>
      <c r="G118" s="171"/>
      <c r="H118" s="152"/>
      <c r="I118" s="117">
        <f ca="1">SUM(I116:I117)</f>
        <v>145693</v>
      </c>
      <c r="J118" s="172"/>
      <c r="K118" s="411"/>
      <c r="L118" s="411"/>
      <c r="M118" s="411"/>
    </row>
    <row r="119" spans="1:15" ht="15.75" x14ac:dyDescent="0.25">
      <c r="A119" s="152" t="s">
        <v>66</v>
      </c>
      <c r="B119" s="108"/>
      <c r="C119" s="149"/>
      <c r="D119" s="173"/>
      <c r="E119" s="172"/>
      <c r="F119" s="172"/>
      <c r="G119" s="173"/>
      <c r="H119" s="172"/>
      <c r="I119" s="172"/>
      <c r="J119" s="172"/>
      <c r="K119" s="187"/>
      <c r="L119" s="142"/>
      <c r="M119" s="142"/>
    </row>
    <row r="120" spans="1:15" ht="15.75" x14ac:dyDescent="0.25">
      <c r="A120" s="120" t="s">
        <v>158</v>
      </c>
      <c r="B120" s="108"/>
      <c r="C120" s="149">
        <f ca="1">'[56]Tariff 29'!D12</f>
        <v>1724764</v>
      </c>
      <c r="D120" s="174">
        <f ca="1">'[55]Exhibit No.__(JAP-Tariff)'!E58</f>
        <v>8.9582999999999996E-2</v>
      </c>
      <c r="E120" s="172"/>
      <c r="F120" s="172">
        <f ca="1">ROUND($C120*D120,0)</f>
        <v>154510</v>
      </c>
      <c r="G120" s="261">
        <f ca="1">ROUND(D120*(1+$I$138),6)</f>
        <v>9.0677999999999995E-2</v>
      </c>
      <c r="H120" s="172"/>
      <c r="I120" s="172">
        <f ca="1">ROUND($C120*G120,0)</f>
        <v>156398</v>
      </c>
      <c r="J120" s="172"/>
      <c r="K120" s="411" t="s">
        <v>65</v>
      </c>
      <c r="L120" s="411"/>
      <c r="M120" s="411"/>
    </row>
    <row r="121" spans="1:15" ht="15.75" x14ac:dyDescent="0.25">
      <c r="A121" s="120" t="s">
        <v>176</v>
      </c>
      <c r="B121" s="108"/>
      <c r="C121" s="149">
        <f ca="1">'[56]Tariff 29'!D13</f>
        <v>19062</v>
      </c>
      <c r="D121" s="174">
        <f ca="1">'[55]Exhibit No.__(JAP-Tariff)'!E59</f>
        <v>6.8035999999999999E-2</v>
      </c>
      <c r="E121" s="172"/>
      <c r="F121" s="172">
        <f ca="1">ROUND($C121*D121,0)</f>
        <v>1297</v>
      </c>
      <c r="G121" s="261">
        <f ca="1">ROUND(D121*(1+$I$138),6)</f>
        <v>6.8867999999999999E-2</v>
      </c>
      <c r="H121" s="172"/>
      <c r="I121" s="172">
        <f ca="1">ROUND($C121*G121,0)</f>
        <v>1313</v>
      </c>
      <c r="J121" s="172"/>
      <c r="K121" s="411" t="s">
        <v>65</v>
      </c>
      <c r="L121" s="411"/>
      <c r="M121" s="411"/>
    </row>
    <row r="122" spans="1:15" ht="15.75" x14ac:dyDescent="0.25">
      <c r="A122" s="120" t="s">
        <v>159</v>
      </c>
      <c r="B122" s="108"/>
      <c r="C122" s="149">
        <f ca="1">'[56]Tariff 29'!D14</f>
        <v>10852548</v>
      </c>
      <c r="D122" s="174">
        <f ca="1">'[55]Exhibit No.__(JAP-Tariff)'!E60</f>
        <v>6.2075999999999999E-2</v>
      </c>
      <c r="E122" s="172"/>
      <c r="F122" s="172">
        <f t="shared" ref="F122:F123" ca="1" si="17">ROUND($C122*D122,0)</f>
        <v>673683</v>
      </c>
      <c r="G122" s="261">
        <f ca="1">ROUND(D122*(1+$I$138),6)</f>
        <v>6.2835000000000002E-2</v>
      </c>
      <c r="H122" s="172"/>
      <c r="I122" s="172">
        <f t="shared" ref="I122:I123" ca="1" si="18">ROUND($C122*G122,0)</f>
        <v>681920</v>
      </c>
      <c r="J122" s="172"/>
      <c r="K122" s="411" t="s">
        <v>65</v>
      </c>
      <c r="L122" s="411"/>
      <c r="M122" s="411"/>
    </row>
    <row r="123" spans="1:15" ht="15.75" x14ac:dyDescent="0.25">
      <c r="A123" s="120" t="s">
        <v>177</v>
      </c>
      <c r="B123" s="108"/>
      <c r="C123" s="149">
        <f ca="1">'[56]Tariff 29'!D15</f>
        <v>368027</v>
      </c>
      <c r="D123" s="174">
        <f ca="1">'[55]Exhibit No.__(JAP-Tariff)'!E61</f>
        <v>5.3189E-2</v>
      </c>
      <c r="E123" s="172"/>
      <c r="F123" s="172">
        <f t="shared" ca="1" si="17"/>
        <v>19575</v>
      </c>
      <c r="G123" s="261">
        <f ca="1">ROUND(D123*(1+$I$138),6)</f>
        <v>5.3838999999999998E-2</v>
      </c>
      <c r="H123" s="172"/>
      <c r="I123" s="172">
        <f t="shared" ca="1" si="18"/>
        <v>19814</v>
      </c>
      <c r="J123" s="172"/>
      <c r="K123" s="411" t="s">
        <v>65</v>
      </c>
      <c r="L123" s="411"/>
      <c r="M123" s="411"/>
    </row>
    <row r="124" spans="1:15" ht="15.75" x14ac:dyDescent="0.25">
      <c r="A124" s="114" t="s">
        <v>86</v>
      </c>
      <c r="B124" s="108"/>
      <c r="C124" s="175">
        <f ca="1">SUM(C120:C123)</f>
        <v>12964401</v>
      </c>
      <c r="D124" s="158"/>
      <c r="E124" s="152"/>
      <c r="F124" s="117">
        <f ca="1">SUM(F120:F123)</f>
        <v>849065</v>
      </c>
      <c r="G124" s="158"/>
      <c r="H124" s="152"/>
      <c r="I124" s="117">
        <f ca="1">SUM(I120:I123)</f>
        <v>859445</v>
      </c>
      <c r="J124" s="113"/>
      <c r="K124" s="187"/>
      <c r="L124" s="142"/>
      <c r="M124" s="142"/>
    </row>
    <row r="125" spans="1:15" ht="15.75" x14ac:dyDescent="0.25">
      <c r="A125" s="120" t="s">
        <v>80</v>
      </c>
      <c r="B125" s="108"/>
      <c r="C125" s="149">
        <f ca="1">SUM('[56]Tariff 29'!$E$17:$J$17)</f>
        <v>0</v>
      </c>
      <c r="D125" s="174">
        <f ca="1">D121</f>
        <v>6.8035999999999999E-2</v>
      </c>
      <c r="E125" s="152"/>
      <c r="F125" s="172">
        <f t="shared" ref="F125:F127" ca="1" si="19">ROUND($C125*D125,0)</f>
        <v>0</v>
      </c>
      <c r="G125" s="174">
        <f ca="1">G121</f>
        <v>6.8867999999999999E-2</v>
      </c>
      <c r="H125" s="152"/>
      <c r="I125" s="172">
        <f t="shared" ref="I125:I127" ca="1" si="20">ROUND($C125*G125,0)</f>
        <v>0</v>
      </c>
      <c r="J125" s="113"/>
      <c r="K125" s="187"/>
      <c r="L125" s="142"/>
      <c r="M125" s="142"/>
    </row>
    <row r="126" spans="1:15" ht="15.75" x14ac:dyDescent="0.25">
      <c r="A126" s="120" t="s">
        <v>81</v>
      </c>
      <c r="B126" s="108"/>
      <c r="C126" s="149">
        <f ca="1">SUM('[56]Tariff 29'!$K$17:$P$17)</f>
        <v>-158746.83383420159</v>
      </c>
      <c r="D126" s="174">
        <f ca="1">D123</f>
        <v>5.3189E-2</v>
      </c>
      <c r="E126" s="152"/>
      <c r="F126" s="172">
        <f t="shared" ca="1" si="19"/>
        <v>-8444</v>
      </c>
      <c r="G126" s="174">
        <f ca="1">G123</f>
        <v>5.3838999999999998E-2</v>
      </c>
      <c r="H126" s="152"/>
      <c r="I126" s="172">
        <f t="shared" ca="1" si="20"/>
        <v>-8547</v>
      </c>
      <c r="J126" s="113"/>
      <c r="K126" s="141"/>
      <c r="L126" s="142"/>
      <c r="M126" s="142"/>
    </row>
    <row r="127" spans="1:15" ht="15.75" x14ac:dyDescent="0.25">
      <c r="A127" s="126" t="s">
        <v>69</v>
      </c>
      <c r="B127" s="108"/>
      <c r="C127" s="167">
        <f ca="1">'[56]Tariff 29'!$D$16</f>
        <v>1521175.2230270188</v>
      </c>
      <c r="D127" s="174">
        <f ca="1">ROUND(SUM(E105,F118,F124:F126,F132,F134)/SUM(C124:C126),6)</f>
        <v>7.9413999999999998E-2</v>
      </c>
      <c r="E127" s="152"/>
      <c r="F127" s="172">
        <f t="shared" ca="1" si="19"/>
        <v>120803</v>
      </c>
      <c r="G127" s="174">
        <f ca="1">ROUND(SUM(H105,I118,I124:I126,I132,I134)/SUM(C124:C126),6)</f>
        <v>8.0385999999999999E-2</v>
      </c>
      <c r="H127" s="152"/>
      <c r="I127" s="172">
        <f t="shared" ca="1" si="20"/>
        <v>122281</v>
      </c>
      <c r="J127" s="119"/>
      <c r="K127" s="411" t="s">
        <v>65</v>
      </c>
      <c r="L127" s="411"/>
      <c r="M127" s="411"/>
    </row>
    <row r="128" spans="1:15" ht="15.75" x14ac:dyDescent="0.25">
      <c r="A128" s="114" t="s">
        <v>86</v>
      </c>
      <c r="B128" s="108"/>
      <c r="C128" s="175">
        <f ca="1">SUM(C124:C127)</f>
        <v>14326829.389192818</v>
      </c>
      <c r="D128" s="152"/>
      <c r="E128" s="152"/>
      <c r="F128" s="117">
        <f ca="1">SUM(F124:F127)</f>
        <v>961424</v>
      </c>
      <c r="G128" s="152"/>
      <c r="H128" s="152"/>
      <c r="I128" s="117">
        <f ca="1">SUM(I124:I127)</f>
        <v>973179</v>
      </c>
      <c r="J128" s="119"/>
      <c r="K128" s="187"/>
      <c r="L128" s="142"/>
      <c r="M128" s="142"/>
    </row>
    <row r="129" spans="1:13" ht="15.75" x14ac:dyDescent="0.25">
      <c r="A129" s="152" t="s">
        <v>70</v>
      </c>
      <c r="B129" s="108"/>
      <c r="C129" s="149"/>
      <c r="D129" s="176"/>
      <c r="E129" s="152"/>
      <c r="F129" s="172"/>
      <c r="G129" s="176"/>
      <c r="H129" s="152"/>
      <c r="I129" s="172"/>
      <c r="J129" s="172"/>
      <c r="K129" s="187"/>
      <c r="L129" s="244"/>
      <c r="M129" s="142"/>
    </row>
    <row r="130" spans="1:13" ht="15.75" x14ac:dyDescent="0.25">
      <c r="A130" s="120" t="s">
        <v>161</v>
      </c>
      <c r="B130" s="108"/>
      <c r="C130" s="149">
        <f ca="1">'[56]Tariff 29'!D21</f>
        <v>1931</v>
      </c>
      <c r="D130" s="171">
        <f ca="1">'[55]Exhibit No.__(JAP-Tariff)'!E64</f>
        <v>8.83</v>
      </c>
      <c r="E130" s="152"/>
      <c r="F130" s="172">
        <f ca="1">ROUND(D130*$C130,0)</f>
        <v>17051</v>
      </c>
      <c r="G130" s="171">
        <f t="shared" ref="G130:G131" ca="1" si="21">ROUND(D130*(1+$I$138),2)</f>
        <v>8.94</v>
      </c>
      <c r="H130" s="152"/>
      <c r="I130" s="172">
        <f ca="1">ROUND(G130*$C130,0)</f>
        <v>17263</v>
      </c>
      <c r="J130" s="172"/>
      <c r="K130" s="411" t="s">
        <v>65</v>
      </c>
      <c r="L130" s="411"/>
      <c r="M130" s="411"/>
    </row>
    <row r="131" spans="1:13" ht="15.75" x14ac:dyDescent="0.25">
      <c r="A131" s="120" t="s">
        <v>162</v>
      </c>
      <c r="B131" s="108"/>
      <c r="C131" s="149">
        <f ca="1">'[56]Tariff 29'!D22</f>
        <v>3438</v>
      </c>
      <c r="D131" s="171">
        <f ca="1">'[55]Exhibit No.__(JAP-Tariff)'!E65</f>
        <v>4.3499999999999996</v>
      </c>
      <c r="E131" s="152"/>
      <c r="F131" s="172">
        <f ca="1">ROUND(D131*$C131,0)</f>
        <v>14955</v>
      </c>
      <c r="G131" s="171">
        <f t="shared" ca="1" si="21"/>
        <v>4.4000000000000004</v>
      </c>
      <c r="H131" s="152"/>
      <c r="I131" s="172">
        <f ca="1">ROUND(G131*$C131,0)</f>
        <v>15127</v>
      </c>
      <c r="J131" s="172"/>
      <c r="K131" s="411" t="s">
        <v>65</v>
      </c>
      <c r="L131" s="411"/>
      <c r="M131" s="411"/>
    </row>
    <row r="132" spans="1:13" ht="15.75" x14ac:dyDescent="0.25">
      <c r="A132" s="114" t="s">
        <v>86</v>
      </c>
      <c r="B132" s="108"/>
      <c r="C132" s="175">
        <f ca="1">SUM(C130:C131)</f>
        <v>5369</v>
      </c>
      <c r="D132" s="176"/>
      <c r="E132" s="152"/>
      <c r="F132" s="177">
        <f ca="1">SUM(F130:F131)</f>
        <v>32006</v>
      </c>
      <c r="G132" s="176"/>
      <c r="H132" s="152"/>
      <c r="I132" s="177">
        <f ca="1">SUM(I130:I131)</f>
        <v>32390</v>
      </c>
      <c r="J132" s="172"/>
      <c r="K132" s="187"/>
      <c r="L132" s="142"/>
      <c r="M132" s="142"/>
    </row>
    <row r="133" spans="1:13" ht="15.75" x14ac:dyDescent="0.25">
      <c r="A133" s="108"/>
      <c r="B133" s="108"/>
      <c r="C133" s="167"/>
      <c r="D133" s="167"/>
      <c r="E133" s="152"/>
      <c r="F133" s="119"/>
      <c r="G133" s="167"/>
      <c r="H133" s="152"/>
      <c r="I133" s="119"/>
      <c r="J133" s="119"/>
      <c r="K133" s="187"/>
      <c r="L133" s="142"/>
      <c r="M133" s="142"/>
    </row>
    <row r="134" spans="1:13" ht="15.75" x14ac:dyDescent="0.25">
      <c r="A134" s="108" t="s">
        <v>54</v>
      </c>
      <c r="B134" s="108"/>
      <c r="C134" s="149">
        <f ca="1">'[56]Tariff 29'!$D$25</f>
        <v>144115</v>
      </c>
      <c r="D134" s="179">
        <f ca="1">'[55]Exhibit No.__(JAP-Tariff)'!E67</f>
        <v>2.81E-3</v>
      </c>
      <c r="E134" s="152"/>
      <c r="F134" s="172">
        <f ca="1">ROUND(D134*$C134,0)</f>
        <v>405</v>
      </c>
      <c r="G134" s="262">
        <f ca="1">ROUND(D134*(1+$I$138),5)</f>
        <v>2.8400000000000001E-3</v>
      </c>
      <c r="H134" s="152"/>
      <c r="I134" s="172">
        <f ca="1">ROUND(G134*$C134,0)</f>
        <v>409</v>
      </c>
      <c r="J134" s="119"/>
      <c r="K134" s="411" t="s">
        <v>65</v>
      </c>
      <c r="L134" s="411"/>
      <c r="M134" s="411"/>
    </row>
    <row r="135" spans="1:13" ht="15.75" x14ac:dyDescent="0.25">
      <c r="A135" s="108"/>
      <c r="B135" s="108"/>
      <c r="C135" s="167"/>
      <c r="D135" s="167"/>
      <c r="E135" s="152"/>
      <c r="F135" s="119"/>
      <c r="G135" s="167"/>
      <c r="H135" s="152"/>
      <c r="I135" s="119"/>
      <c r="J135" s="119"/>
      <c r="K135" s="243"/>
      <c r="L135" s="244"/>
      <c r="M135" s="142"/>
    </row>
    <row r="136" spans="1:13" ht="16.5" thickBot="1" x14ac:dyDescent="0.3">
      <c r="A136" s="108" t="s">
        <v>154</v>
      </c>
      <c r="B136" s="108"/>
      <c r="C136" s="167"/>
      <c r="D136" s="167"/>
      <c r="E136" s="152"/>
      <c r="F136" s="163">
        <f ca="1">SUM(F118,F128,F132,F134)</f>
        <v>1137746</v>
      </c>
      <c r="G136" s="167"/>
      <c r="H136" s="152"/>
      <c r="I136" s="163">
        <f ca="1">SUM(I118,I128,I132,I134)</f>
        <v>1151671</v>
      </c>
      <c r="J136" s="153"/>
      <c r="K136" s="187"/>
      <c r="L136" s="244"/>
      <c r="M136" s="142"/>
    </row>
    <row r="137" spans="1:13" ht="16.5" thickTop="1" x14ac:dyDescent="0.25">
      <c r="A137" s="108"/>
      <c r="B137" s="181"/>
      <c r="C137" s="167"/>
      <c r="D137" s="167"/>
      <c r="E137" s="108"/>
      <c r="F137" s="113"/>
      <c r="G137" s="167"/>
      <c r="H137" s="108"/>
      <c r="I137" s="113"/>
      <c r="J137" s="113"/>
      <c r="K137" s="243"/>
      <c r="L137" s="244"/>
      <c r="M137" s="142"/>
    </row>
    <row r="138" spans="1:13" ht="15.75" x14ac:dyDescent="0.25">
      <c r="A138" s="138" t="s">
        <v>377</v>
      </c>
      <c r="I138" s="150">
        <f ca="1">M47</f>
        <v>1.2227951155924011E-2</v>
      </c>
      <c r="K138" s="243"/>
      <c r="L138" s="244"/>
      <c r="M138" s="142"/>
    </row>
    <row r="139" spans="1:13" ht="15.75" x14ac:dyDescent="0.25">
      <c r="K139" s="243"/>
      <c r="L139" s="244"/>
      <c r="M139" s="142"/>
    </row>
    <row r="141" spans="1:13" ht="15.75" x14ac:dyDescent="0.25">
      <c r="A141" s="185" t="s">
        <v>374</v>
      </c>
      <c r="C141" s="249"/>
      <c r="D141" s="246">
        <f ca="1">ROUND(SUM(F120,F122)/SUM($C$120,$C$122),6)</f>
        <v>6.5848000000000004E-2</v>
      </c>
      <c r="G141" s="246">
        <f ca="1">ROUND(SUM(I120,I122)/SUM($C$120,$C$122),6)</f>
        <v>6.6653000000000004E-2</v>
      </c>
    </row>
    <row r="142" spans="1:13" ht="15.75" x14ac:dyDescent="0.25">
      <c r="A142" s="185" t="s">
        <v>378</v>
      </c>
      <c r="C142" s="249"/>
      <c r="D142" s="246">
        <f ca="1">ROUND(SUM(F121,F123)/SUM($C$121,$C$123),6)</f>
        <v>5.3920000000000003E-2</v>
      </c>
      <c r="G142" s="246">
        <f ca="1">ROUND(SUM(I121,I123)/SUM($C$121,$C$123),6)</f>
        <v>5.4579000000000003E-2</v>
      </c>
    </row>
    <row r="143" spans="1:13" ht="15.75" x14ac:dyDescent="0.25">
      <c r="A143" s="185" t="s">
        <v>375</v>
      </c>
      <c r="C143" s="249"/>
      <c r="D143" s="252">
        <f ca="1">ROUND(SUM(F132)/SUM($C$132),2)</f>
        <v>5.96</v>
      </c>
      <c r="G143" s="252">
        <f ca="1">ROUND(SUM(I132)/SUM($C$132),2)</f>
        <v>6.03</v>
      </c>
    </row>
  </sheetData>
  <mergeCells count="49">
    <mergeCell ref="K134:M134"/>
    <mergeCell ref="K121:M121"/>
    <mergeCell ref="K122:M122"/>
    <mergeCell ref="K123:M123"/>
    <mergeCell ref="K127:M127"/>
    <mergeCell ref="K130:M130"/>
    <mergeCell ref="K131:M131"/>
    <mergeCell ref="K120:M120"/>
    <mergeCell ref="K89:M89"/>
    <mergeCell ref="K90:M90"/>
    <mergeCell ref="K96:M96"/>
    <mergeCell ref="K97:M97"/>
    <mergeCell ref="K98:M98"/>
    <mergeCell ref="K101:M101"/>
    <mergeCell ref="K102:M102"/>
    <mergeCell ref="K107:M107"/>
    <mergeCell ref="K116:M116"/>
    <mergeCell ref="K117:M117"/>
    <mergeCell ref="K118:M118"/>
    <mergeCell ref="K87:M87"/>
    <mergeCell ref="K38:M38"/>
    <mergeCell ref="K41:M41"/>
    <mergeCell ref="K42:M42"/>
    <mergeCell ref="K45:M45"/>
    <mergeCell ref="K65:M65"/>
    <mergeCell ref="K67:M67"/>
    <mergeCell ref="K70:M70"/>
    <mergeCell ref="K73:M73"/>
    <mergeCell ref="K74:M74"/>
    <mergeCell ref="K77:M77"/>
    <mergeCell ref="K85:M85"/>
    <mergeCell ref="K37:M37"/>
    <mergeCell ref="K15:M15"/>
    <mergeCell ref="K16:M16"/>
    <mergeCell ref="K19:M19"/>
    <mergeCell ref="K20:M20"/>
    <mergeCell ref="K22:M22"/>
    <mergeCell ref="K23:M23"/>
    <mergeCell ref="K24:M24"/>
    <mergeCell ref="K31:M31"/>
    <mergeCell ref="K33:M33"/>
    <mergeCell ref="K34:M34"/>
    <mergeCell ref="K35:M35"/>
    <mergeCell ref="A1:J1"/>
    <mergeCell ref="A2:I2"/>
    <mergeCell ref="A3:I3"/>
    <mergeCell ref="A4:I4"/>
    <mergeCell ref="D9:F9"/>
    <mergeCell ref="G9:I9"/>
  </mergeCells>
  <printOptions horizontalCentered="1"/>
  <pageMargins left="0.7" right="0.7" top="0.75" bottom="0.71" header="0.3" footer="0.3"/>
  <pageSetup scale="54" fitToHeight="5" orientation="landscape" r:id="rId1"/>
  <headerFooter alignWithMargins="0">
    <oddFooter>&amp;L&amp;F&amp;C
&amp;A&amp;RElectric Rate Design Workpapers
Docket No. UE-17xxxx
Page &amp;P of &amp;N</oddFooter>
  </headerFooter>
  <rowBreaks count="1" manualBreakCount="1">
    <brk id="111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AG80"/>
  <sheetViews>
    <sheetView zoomScaleNormal="100" zoomScaleSheetLayoutView="80" workbookViewId="0">
      <pane ySplit="10" topLeftCell="A53" activePane="bottomLeft" state="frozen"/>
      <selection activeCell="G31" sqref="G31"/>
      <selection pane="bottomLeft" activeCell="L57" sqref="L57"/>
    </sheetView>
  </sheetViews>
  <sheetFormatPr defaultColWidth="11.6640625" defaultRowHeight="15.6" x14ac:dyDescent="0.3"/>
  <cols>
    <col min="1" max="1" width="35.88671875" style="92" bestFit="1" customWidth="1"/>
    <col min="2" max="2" width="1.5546875" style="92" bestFit="1" customWidth="1"/>
    <col min="3" max="3" width="15.109375" style="92" bestFit="1" customWidth="1"/>
    <col min="4" max="4" width="12.33203125" style="92" bestFit="1" customWidth="1"/>
    <col min="5" max="5" width="2.33203125" style="92" bestFit="1" customWidth="1"/>
    <col min="6" max="6" width="14.44140625" style="92" bestFit="1" customWidth="1"/>
    <col min="7" max="7" width="12.33203125" style="92" bestFit="1" customWidth="1"/>
    <col min="8" max="8" width="2.33203125" style="92" bestFit="1" customWidth="1"/>
    <col min="9" max="9" width="18.44140625" style="92" customWidth="1"/>
    <col min="10" max="10" width="1.88671875" style="92" customWidth="1"/>
    <col min="11" max="11" width="27.33203125" style="92" bestFit="1" customWidth="1"/>
    <col min="12" max="12" width="14.44140625" style="99" bestFit="1" customWidth="1"/>
    <col min="13" max="13" width="13.88671875" style="99" bestFit="1" customWidth="1"/>
    <col min="14" max="14" width="8.109375" style="99" bestFit="1" customWidth="1"/>
    <col min="15" max="15" width="8.109375" style="92" bestFit="1" customWidth="1"/>
    <col min="16" max="17" width="1.5546875" style="92" bestFit="1" customWidth="1"/>
    <col min="18" max="18" width="16.109375" style="92" bestFit="1" customWidth="1"/>
    <col min="19" max="19" width="1.5546875" style="92" bestFit="1" customWidth="1"/>
    <col min="20" max="20" width="15.109375" style="92" bestFit="1" customWidth="1"/>
    <col min="21" max="21" width="14.88671875" style="92" bestFit="1" customWidth="1"/>
    <col min="22" max="22" width="14" style="92" bestFit="1" customWidth="1"/>
    <col min="23" max="23" width="6.33203125" style="92" bestFit="1" customWidth="1"/>
    <col min="24" max="24" width="1.5546875" style="92" bestFit="1" customWidth="1"/>
    <col min="25" max="25" width="11.6640625" style="92" customWidth="1"/>
    <col min="26" max="26" width="13.88671875" style="92" customWidth="1"/>
    <col min="27" max="16384" width="11.6640625" style="92"/>
  </cols>
  <sheetData>
    <row r="1" spans="1:33" ht="18" x14ac:dyDescent="0.25">
      <c r="A1" s="402" t="s">
        <v>133</v>
      </c>
      <c r="B1" s="402"/>
      <c r="C1" s="402"/>
      <c r="D1" s="402"/>
      <c r="E1" s="402"/>
      <c r="F1" s="402"/>
      <c r="G1" s="402"/>
      <c r="H1" s="402"/>
      <c r="I1" s="402"/>
      <c r="J1" s="402"/>
      <c r="K1" s="224"/>
      <c r="L1" s="225"/>
      <c r="M1" s="225"/>
      <c r="N1" s="91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3" ht="18" x14ac:dyDescent="0.25">
      <c r="A2" s="402" t="s">
        <v>134</v>
      </c>
      <c r="B2" s="402"/>
      <c r="C2" s="402"/>
      <c r="D2" s="402"/>
      <c r="E2" s="402"/>
      <c r="F2" s="402"/>
      <c r="G2" s="402"/>
      <c r="H2" s="402"/>
      <c r="I2" s="402"/>
      <c r="J2" s="93"/>
      <c r="K2" s="224"/>
      <c r="L2" s="225"/>
      <c r="M2" s="225"/>
      <c r="N2" s="91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</row>
    <row r="3" spans="1:33" ht="15.75" x14ac:dyDescent="0.25">
      <c r="A3" s="403" t="str">
        <f ca="1">'[55]Exhibit No.__(JAP-Prof-Prop)'!$B$6</f>
        <v>12 MONTHS ENDED SEPTEMBER 2016</v>
      </c>
      <c r="B3" s="403"/>
      <c r="C3" s="403"/>
      <c r="D3" s="403"/>
      <c r="E3" s="403"/>
      <c r="F3" s="403"/>
      <c r="G3" s="403"/>
      <c r="H3" s="403"/>
      <c r="I3" s="403"/>
      <c r="J3" s="94"/>
      <c r="K3" s="224"/>
      <c r="L3" s="225"/>
      <c r="M3" s="225"/>
      <c r="N3" s="91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</row>
    <row r="4" spans="1:33" ht="15.75" x14ac:dyDescent="0.25">
      <c r="A4" s="404" t="s">
        <v>135</v>
      </c>
      <c r="B4" s="404"/>
      <c r="C4" s="404"/>
      <c r="D4" s="404"/>
      <c r="E4" s="404"/>
      <c r="F4" s="404"/>
      <c r="G4" s="404"/>
      <c r="H4" s="404"/>
      <c r="I4" s="404"/>
      <c r="J4" s="95"/>
      <c r="K4" s="224"/>
      <c r="L4" s="225"/>
      <c r="M4" s="225"/>
      <c r="N4" s="91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</row>
    <row r="5" spans="1:33" ht="15.75" x14ac:dyDescent="0.25">
      <c r="A5" s="96" t="s">
        <v>178</v>
      </c>
      <c r="B5" s="97"/>
      <c r="C5" s="97"/>
      <c r="D5" s="98"/>
      <c r="E5" s="98"/>
      <c r="F5" s="97"/>
      <c r="G5" s="98"/>
      <c r="H5" s="97"/>
      <c r="I5" s="97"/>
      <c r="J5" s="97"/>
      <c r="K5" s="224"/>
      <c r="L5" s="225"/>
      <c r="M5" s="225"/>
      <c r="N5" s="91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</row>
    <row r="6" spans="1:33" ht="15.75" x14ac:dyDescent="0.25">
      <c r="A6" s="96"/>
      <c r="B6" s="97"/>
      <c r="C6" s="97"/>
      <c r="D6" s="98"/>
      <c r="E6" s="98"/>
      <c r="F6" s="97"/>
      <c r="G6" s="98"/>
      <c r="H6" s="97"/>
      <c r="I6" s="97"/>
      <c r="J6" s="97"/>
      <c r="K6" s="224"/>
      <c r="L6" s="225"/>
      <c r="M6" s="225"/>
      <c r="N6" s="91"/>
      <c r="O6" s="91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</row>
    <row r="7" spans="1:33" ht="15.75" x14ac:dyDescent="0.25">
      <c r="A7" s="97"/>
      <c r="B7" s="97"/>
      <c r="C7" s="97"/>
      <c r="D7" s="98"/>
      <c r="E7" s="98"/>
      <c r="F7" s="97"/>
      <c r="G7" s="98"/>
      <c r="H7" s="97"/>
      <c r="I7" s="97"/>
      <c r="J7" s="97"/>
      <c r="K7" s="224"/>
      <c r="L7" s="225"/>
      <c r="M7" s="225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</row>
    <row r="8" spans="1:33" ht="15.75" x14ac:dyDescent="0.25">
      <c r="A8" s="100"/>
      <c r="B8" s="100"/>
      <c r="C8" s="101"/>
      <c r="D8" s="102"/>
      <c r="E8" s="102"/>
      <c r="F8" s="13"/>
      <c r="G8" s="102"/>
      <c r="H8" s="103"/>
      <c r="I8" s="103"/>
      <c r="J8" s="103"/>
      <c r="K8" s="224"/>
      <c r="L8" s="225"/>
      <c r="M8" s="225"/>
      <c r="N8" s="91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</row>
    <row r="9" spans="1:33" ht="15.75" x14ac:dyDescent="0.25">
      <c r="A9" s="100"/>
      <c r="B9" s="100"/>
      <c r="C9" s="101" t="s">
        <v>122</v>
      </c>
      <c r="D9" s="405" t="s">
        <v>124</v>
      </c>
      <c r="E9" s="406"/>
      <c r="F9" s="407"/>
      <c r="G9" s="408" t="str">
        <f ca="1">'[55]Exhibit No.__(JAP-Res RD)'!$G$9</f>
        <v>Proposed Effective December 2017</v>
      </c>
      <c r="H9" s="406"/>
      <c r="I9" s="407"/>
      <c r="J9" s="103"/>
      <c r="K9" s="224"/>
      <c r="L9" s="225"/>
      <c r="M9" s="225"/>
      <c r="N9" s="91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</row>
    <row r="10" spans="1:33" ht="15.75" x14ac:dyDescent="0.25">
      <c r="A10" s="100"/>
      <c r="B10" s="100"/>
      <c r="C10" s="104" t="s">
        <v>138</v>
      </c>
      <c r="D10" s="105" t="s">
        <v>139</v>
      </c>
      <c r="E10" s="106"/>
      <c r="F10" s="103" t="s">
        <v>140</v>
      </c>
      <c r="G10" s="105" t="s">
        <v>139</v>
      </c>
      <c r="H10" s="105"/>
      <c r="I10" s="105" t="s">
        <v>140</v>
      </c>
      <c r="J10" s="105"/>
      <c r="K10" s="224"/>
      <c r="L10" s="225"/>
      <c r="M10" s="225"/>
      <c r="N10" s="91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</row>
    <row r="11" spans="1:33" ht="15.75" x14ac:dyDescent="0.25">
      <c r="A11" s="13"/>
      <c r="B11" s="13"/>
      <c r="C11" s="263"/>
      <c r="D11" s="229" t="s">
        <v>111</v>
      </c>
      <c r="E11" s="263"/>
      <c r="F11" s="264"/>
      <c r="G11" s="108" t="s">
        <v>111</v>
      </c>
      <c r="H11" s="263"/>
      <c r="I11" s="113" t="s">
        <v>111</v>
      </c>
      <c r="J11" s="113"/>
      <c r="K11" s="224"/>
      <c r="L11" s="225"/>
      <c r="M11" s="225"/>
      <c r="N11" s="91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G11" s="136"/>
    </row>
    <row r="12" spans="1:33" ht="15.75" x14ac:dyDescent="0.25">
      <c r="A12" s="107" t="s">
        <v>179</v>
      </c>
      <c r="B12" s="108"/>
      <c r="C12" s="170"/>
      <c r="D12" s="113"/>
      <c r="E12" s="108"/>
      <c r="F12" s="108"/>
      <c r="G12" s="113"/>
      <c r="H12" s="108"/>
      <c r="I12" s="113" t="s">
        <v>111</v>
      </c>
      <c r="J12" s="113"/>
      <c r="K12" s="13"/>
      <c r="L12" s="13"/>
      <c r="M12" s="13"/>
      <c r="N12" s="91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</row>
    <row r="13" spans="1:33" ht="15.75" x14ac:dyDescent="0.25">
      <c r="A13" s="110" t="s">
        <v>180</v>
      </c>
      <c r="B13" s="108"/>
      <c r="C13" s="108" t="s">
        <v>111</v>
      </c>
      <c r="D13" s="113"/>
      <c r="E13" s="108"/>
      <c r="F13" s="108"/>
      <c r="G13" s="113"/>
      <c r="H13" s="108"/>
      <c r="I13" s="108"/>
      <c r="J13" s="108"/>
      <c r="K13" s="13"/>
      <c r="L13" s="13"/>
      <c r="M13" s="13"/>
      <c r="N13" s="91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</row>
    <row r="14" spans="1:33" ht="15.75" x14ac:dyDescent="0.25">
      <c r="A14" s="265"/>
      <c r="B14" s="108"/>
      <c r="C14" s="108"/>
      <c r="D14" s="113"/>
      <c r="E14" s="108"/>
      <c r="F14" s="108"/>
      <c r="G14" s="113"/>
      <c r="H14" s="108"/>
      <c r="I14" s="108"/>
      <c r="J14" s="108"/>
      <c r="K14" s="224"/>
      <c r="L14" s="225"/>
      <c r="M14" s="225"/>
      <c r="N14" s="91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</row>
    <row r="15" spans="1:33" ht="15.75" x14ac:dyDescent="0.25">
      <c r="A15" s="265" t="s">
        <v>20</v>
      </c>
      <c r="B15" s="108"/>
      <c r="C15" s="266">
        <f ca="1">'[56]Tariff 31'!$D$8</f>
        <v>5854</v>
      </c>
      <c r="D15" s="171">
        <f ca="1">'[55]Exhibit No.__(JAP-Tariff)'!E70</f>
        <v>339.51</v>
      </c>
      <c r="E15" s="265"/>
      <c r="F15" s="267">
        <f ca="1">ROUND(D15*$C15,0)</f>
        <v>1987492</v>
      </c>
      <c r="G15" s="171">
        <f ca="1">ROUND(D15*(1+$M$31),2)</f>
        <v>343.66</v>
      </c>
      <c r="H15" s="265"/>
      <c r="I15" s="267">
        <f ca="1">ROUND(G15*$C15,0)</f>
        <v>2011786</v>
      </c>
      <c r="J15" s="267"/>
      <c r="K15" s="418" t="s">
        <v>65</v>
      </c>
      <c r="L15" s="418"/>
      <c r="M15" s="418"/>
      <c r="N15" s="91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</row>
    <row r="16" spans="1:33" ht="15.75" x14ac:dyDescent="0.25">
      <c r="A16" s="265" t="s">
        <v>66</v>
      </c>
      <c r="B16" s="108"/>
      <c r="C16" s="266"/>
      <c r="D16" s="173"/>
      <c r="E16" s="267"/>
      <c r="F16" s="267"/>
      <c r="G16" s="173"/>
      <c r="H16" s="267"/>
      <c r="I16" s="267"/>
      <c r="J16" s="267"/>
      <c r="K16" s="224"/>
      <c r="L16" s="225"/>
      <c r="M16" s="225"/>
      <c r="N16" s="91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</row>
    <row r="17" spans="1:26" ht="15.75" x14ac:dyDescent="0.25">
      <c r="A17" s="120" t="s">
        <v>53</v>
      </c>
      <c r="B17" s="108"/>
      <c r="C17" s="266">
        <f ca="1">SUM('[56]Tariff 31'!$D$11:$D$12)</f>
        <v>1298591685</v>
      </c>
      <c r="D17" s="174">
        <f ca="1">'[55]Exhibit No.__(JAP-Tariff)'!E72</f>
        <v>5.4346999999999999E-2</v>
      </c>
      <c r="E17" s="267"/>
      <c r="F17" s="267">
        <f t="shared" ref="F17" ca="1" si="0">ROUND($C17*D17,0)</f>
        <v>70574562</v>
      </c>
      <c r="G17" s="122">
        <f ca="1">ROUND(D17*(1+$M$31),6)+L33</f>
        <v>5.5014E-2</v>
      </c>
      <c r="H17" s="267"/>
      <c r="I17" s="267">
        <f t="shared" ref="I17" ca="1" si="1">ROUND($C17*G17,0)</f>
        <v>71440723</v>
      </c>
      <c r="J17" s="267"/>
      <c r="K17" s="418" t="s">
        <v>76</v>
      </c>
      <c r="L17" s="418"/>
      <c r="M17" s="418"/>
      <c r="N17" s="91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</row>
    <row r="18" spans="1:26" ht="15.75" x14ac:dyDescent="0.25">
      <c r="A18" s="114" t="s">
        <v>86</v>
      </c>
      <c r="B18" s="108"/>
      <c r="C18" s="268">
        <f ca="1">SUM(C17:C17)</f>
        <v>1298591685</v>
      </c>
      <c r="D18" s="158"/>
      <c r="E18" s="265"/>
      <c r="F18" s="117">
        <f ca="1">SUM(F17:F17)</f>
        <v>70574562</v>
      </c>
      <c r="G18" s="158"/>
      <c r="H18" s="265"/>
      <c r="I18" s="117">
        <f ca="1">SUM(I17:I17)</f>
        <v>71440723</v>
      </c>
      <c r="J18" s="113"/>
      <c r="K18" s="224"/>
      <c r="L18" s="225"/>
      <c r="M18" s="225"/>
      <c r="N18" s="91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</row>
    <row r="19" spans="1:26" ht="15.75" x14ac:dyDescent="0.25">
      <c r="A19" s="120" t="s">
        <v>68</v>
      </c>
      <c r="B19" s="108"/>
      <c r="C19" s="266">
        <f ca="1">'[56]Tariff 31'!$D$14</f>
        <v>957232.70373482059</v>
      </c>
      <c r="D19" s="174">
        <f ca="1">D17</f>
        <v>5.4346999999999999E-2</v>
      </c>
      <c r="E19" s="265"/>
      <c r="F19" s="267">
        <f t="shared" ref="F19:F20" ca="1" si="2">ROUND($C19*D19,0)</f>
        <v>52023</v>
      </c>
      <c r="G19" s="174">
        <f ca="1">G17</f>
        <v>5.5014E-2</v>
      </c>
      <c r="H19" s="265"/>
      <c r="I19" s="267">
        <f t="shared" ref="I19:I20" ca="1" si="3">ROUND($C19*G19,0)</f>
        <v>52661</v>
      </c>
      <c r="J19" s="113"/>
      <c r="K19" s="196"/>
      <c r="L19" s="225"/>
      <c r="M19" s="225"/>
      <c r="N19" s="91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</row>
    <row r="20" spans="1:26" ht="15.75" x14ac:dyDescent="0.25">
      <c r="A20" s="126" t="s">
        <v>69</v>
      </c>
      <c r="B20" s="108"/>
      <c r="C20" s="233">
        <f ca="1">'[56]Tariff 31'!$D$13</f>
        <v>-15147343.245038178</v>
      </c>
      <c r="D20" s="174">
        <f ca="1">ROUND(SUM(F15,F18:F19,F25,F27)/SUM(C18:C19),6)</f>
        <v>8.0107999999999999E-2</v>
      </c>
      <c r="E20" s="229"/>
      <c r="F20" s="267">
        <f t="shared" ca="1" si="2"/>
        <v>-1213423</v>
      </c>
      <c r="G20" s="174">
        <f ca="1">ROUND(D20*(1+$M$31),6)</f>
        <v>8.1087999999999993E-2</v>
      </c>
      <c r="H20" s="229"/>
      <c r="I20" s="267">
        <f t="shared" ca="1" si="3"/>
        <v>-1228268</v>
      </c>
      <c r="J20" s="119"/>
      <c r="K20" s="418" t="s">
        <v>65</v>
      </c>
      <c r="L20" s="418"/>
      <c r="M20" s="418"/>
    </row>
    <row r="21" spans="1:26" ht="15.75" x14ac:dyDescent="0.25">
      <c r="A21" s="114" t="s">
        <v>86</v>
      </c>
      <c r="B21" s="108"/>
      <c r="C21" s="268">
        <f ca="1">SUM(C18:C20)</f>
        <v>1284401574.4586966</v>
      </c>
      <c r="D21" s="229"/>
      <c r="E21" s="229"/>
      <c r="F21" s="117">
        <f ca="1">SUM(F18:F20)</f>
        <v>69413162</v>
      </c>
      <c r="G21" s="229"/>
      <c r="H21" s="229"/>
      <c r="I21" s="117">
        <f ca="1">SUM(I18:I20)</f>
        <v>70265116</v>
      </c>
      <c r="J21" s="119"/>
      <c r="K21" s="196"/>
      <c r="L21" s="225"/>
      <c r="M21" s="225"/>
    </row>
    <row r="22" spans="1:26" ht="15.75" x14ac:dyDescent="0.25">
      <c r="A22" s="229" t="s">
        <v>70</v>
      </c>
      <c r="B22" s="108"/>
      <c r="C22" s="266"/>
      <c r="D22" s="176"/>
      <c r="E22" s="265"/>
      <c r="F22" s="267"/>
      <c r="G22" s="176"/>
      <c r="H22" s="265"/>
      <c r="I22" s="267"/>
      <c r="J22" s="267"/>
      <c r="K22" s="196"/>
      <c r="L22" s="269"/>
      <c r="M22" s="225"/>
    </row>
    <row r="23" spans="1:26" ht="15.75" x14ac:dyDescent="0.25">
      <c r="A23" s="120" t="s">
        <v>166</v>
      </c>
      <c r="B23" s="108"/>
      <c r="C23" s="266">
        <f ca="1">SUM('[56]Tariff 31'!$D$18:$D$19)</f>
        <v>1595334</v>
      </c>
      <c r="D23" s="171">
        <f ca="1">'[55]Exhibit No.__(JAP-Tariff)'!E74</f>
        <v>11.32</v>
      </c>
      <c r="E23" s="265"/>
      <c r="F23" s="267">
        <f ca="1">ROUND(D23*$C23,0)</f>
        <v>18059181</v>
      </c>
      <c r="G23" s="171">
        <f ca="1">ROUND(D23*(1+$M$31),2)</f>
        <v>11.46</v>
      </c>
      <c r="H23" s="265"/>
      <c r="I23" s="267">
        <f ca="1">ROUND(G23*$C23,0)</f>
        <v>18282528</v>
      </c>
      <c r="J23" s="267"/>
      <c r="K23" s="418" t="s">
        <v>65</v>
      </c>
      <c r="L23" s="418"/>
      <c r="M23" s="418"/>
      <c r="N23" s="92"/>
    </row>
    <row r="24" spans="1:26" ht="15.75" x14ac:dyDescent="0.25">
      <c r="A24" s="120" t="s">
        <v>167</v>
      </c>
      <c r="B24" s="108"/>
      <c r="C24" s="266">
        <f ca="1">SUM('[56]Tariff 31'!$D$20:$D$21)</f>
        <v>1682286</v>
      </c>
      <c r="D24" s="171">
        <f ca="1">'[55]Exhibit No.__(JAP-Tariff)'!E75</f>
        <v>7.55</v>
      </c>
      <c r="E24" s="265"/>
      <c r="F24" s="267">
        <f ca="1">ROUND(D24*$C24,0)</f>
        <v>12701259</v>
      </c>
      <c r="G24" s="171">
        <f ca="1">ROUND(D24*(1+$M$31),2)</f>
        <v>7.64</v>
      </c>
      <c r="H24" s="265"/>
      <c r="I24" s="267">
        <f ca="1">ROUND(G24*$C24,0)</f>
        <v>12852665</v>
      </c>
      <c r="J24" s="267"/>
      <c r="K24" s="418" t="s">
        <v>65</v>
      </c>
      <c r="L24" s="418"/>
      <c r="M24" s="418"/>
      <c r="N24" s="92"/>
    </row>
    <row r="25" spans="1:26" ht="15.75" x14ac:dyDescent="0.25">
      <c r="A25" s="114" t="s">
        <v>86</v>
      </c>
      <c r="B25" s="108"/>
      <c r="C25" s="268">
        <f ca="1">SUM(C23:C24)</f>
        <v>3277620</v>
      </c>
      <c r="D25" s="176"/>
      <c r="E25" s="265"/>
      <c r="F25" s="270">
        <f ca="1">SUM(F23:F24)</f>
        <v>30760440</v>
      </c>
      <c r="G25" s="176"/>
      <c r="H25" s="265"/>
      <c r="I25" s="270">
        <f ca="1">SUM(I23:I24)</f>
        <v>31135193</v>
      </c>
      <c r="J25" s="267"/>
      <c r="K25" s="196"/>
      <c r="L25" s="225"/>
      <c r="M25" s="225"/>
    </row>
    <row r="26" spans="1:26" ht="15.75" x14ac:dyDescent="0.25">
      <c r="A26" s="108"/>
      <c r="B26" s="108"/>
      <c r="C26" s="233"/>
      <c r="D26" s="233"/>
      <c r="E26" s="229"/>
      <c r="F26" s="119"/>
      <c r="G26" s="233"/>
      <c r="H26" s="229"/>
      <c r="I26" s="119"/>
      <c r="J26" s="119"/>
      <c r="K26" s="196"/>
      <c r="L26" s="225"/>
      <c r="M26" s="225"/>
    </row>
    <row r="27" spans="1:26" ht="15.75" x14ac:dyDescent="0.25">
      <c r="A27" s="108" t="s">
        <v>54</v>
      </c>
      <c r="B27" s="108"/>
      <c r="C27" s="266">
        <f ca="1">'[56]Tariff 31'!$D$26</f>
        <v>688319083</v>
      </c>
      <c r="D27" s="179">
        <f ca="1">'[55]Exhibit No.__(JAP-Tariff)'!E77</f>
        <v>1.06E-3</v>
      </c>
      <c r="E27" s="265"/>
      <c r="F27" s="267">
        <f ca="1">ROUND(D27*$C27,0)</f>
        <v>729618</v>
      </c>
      <c r="G27" s="179">
        <f ca="1">ROUND(D27*(1+$M$31),5)</f>
        <v>1.07E-3</v>
      </c>
      <c r="H27" s="265"/>
      <c r="I27" s="267">
        <f ca="1">ROUND(G27*$C27,0)</f>
        <v>736501</v>
      </c>
      <c r="J27" s="119"/>
      <c r="K27" s="418" t="s">
        <v>65</v>
      </c>
      <c r="L27" s="418"/>
      <c r="M27" s="418"/>
    </row>
    <row r="28" spans="1:26" ht="15.75" x14ac:dyDescent="0.25">
      <c r="A28" s="108"/>
      <c r="B28" s="108"/>
      <c r="C28" s="233"/>
      <c r="D28" s="233"/>
      <c r="E28" s="229"/>
      <c r="F28" s="119"/>
      <c r="G28" s="233"/>
      <c r="H28" s="229"/>
      <c r="I28" s="119"/>
      <c r="J28" s="119"/>
      <c r="K28" s="271"/>
      <c r="L28" s="269"/>
      <c r="M28" s="225"/>
    </row>
    <row r="29" spans="1:26" ht="16.5" thickBot="1" x14ac:dyDescent="0.3">
      <c r="A29" s="108" t="s">
        <v>154</v>
      </c>
      <c r="B29" s="108"/>
      <c r="C29" s="233"/>
      <c r="D29" s="233"/>
      <c r="E29" s="229"/>
      <c r="F29" s="272">
        <f ca="1">SUM(F15,F21,F25,F27)</f>
        <v>102890712</v>
      </c>
      <c r="G29" s="233"/>
      <c r="H29" s="229"/>
      <c r="I29" s="272">
        <f ca="1">SUM(I15,I21,I25,I27)</f>
        <v>104148596</v>
      </c>
      <c r="J29" s="273"/>
      <c r="K29" s="271"/>
      <c r="L29" s="269"/>
      <c r="M29" s="225"/>
    </row>
    <row r="30" spans="1:26" ht="16.5" thickTop="1" x14ac:dyDescent="0.25">
      <c r="A30" s="108"/>
      <c r="B30" s="274"/>
      <c r="C30" s="233"/>
      <c r="D30" s="233"/>
      <c r="E30" s="108"/>
      <c r="F30" s="113"/>
      <c r="G30" s="233"/>
      <c r="H30" s="108"/>
      <c r="I30" s="113"/>
      <c r="J30" s="113"/>
      <c r="K30" s="271"/>
      <c r="L30" s="269"/>
      <c r="M30" s="225"/>
    </row>
    <row r="31" spans="1:26" ht="15.75" x14ac:dyDescent="0.25">
      <c r="A31" s="185" t="s">
        <v>375</v>
      </c>
      <c r="B31" s="138"/>
      <c r="C31" s="249"/>
      <c r="D31" s="252">
        <f ca="1">ROUND(SUM(F25)/SUM($C$25),2)</f>
        <v>9.3800000000000008</v>
      </c>
      <c r="E31" s="138"/>
      <c r="F31" s="138"/>
      <c r="G31" s="252">
        <f ca="1">ROUND(SUM(I25)/SUM($C$25),2)</f>
        <v>9.5</v>
      </c>
      <c r="H31" s="13"/>
      <c r="I31" s="13"/>
      <c r="J31" s="13"/>
      <c r="K31" s="275" t="s">
        <v>379</v>
      </c>
      <c r="L31" s="276">
        <f ca="1">'[55]Exhibit No.__(JAP-Rate Spread)'!K17*1000</f>
        <v>104149050.85488769</v>
      </c>
      <c r="M31" s="232">
        <f ca="1">L31/SUM(F29)-1</f>
        <v>1.2229858559902773E-2</v>
      </c>
    </row>
    <row r="32" spans="1:26" ht="15.75" x14ac:dyDescent="0.25">
      <c r="A32" s="13"/>
      <c r="B32" s="108"/>
      <c r="C32" s="170"/>
      <c r="D32" s="113"/>
      <c r="E32" s="108"/>
      <c r="F32" s="108"/>
      <c r="G32" s="113"/>
      <c r="H32" s="108"/>
      <c r="I32" s="113" t="s">
        <v>111</v>
      </c>
      <c r="J32" s="113"/>
      <c r="K32" s="234" t="s">
        <v>40</v>
      </c>
      <c r="L32" s="277">
        <f ca="1">L31-I29</f>
        <v>454.85488769412041</v>
      </c>
      <c r="M32" s="245" t="s">
        <v>111</v>
      </c>
    </row>
    <row r="33" spans="1:13" ht="15.75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4" t="s">
        <v>376</v>
      </c>
      <c r="L33" s="242">
        <f ca="1">'[55]Exhibit No.__(JAP-PV RD)'!$L$33</f>
        <v>1.9999999999999999E-6</v>
      </c>
      <c r="M33" s="242">
        <f ca="1">L32/C17</f>
        <v>3.5026782702225635E-7</v>
      </c>
    </row>
    <row r="34" spans="1:13" ht="15.75" x14ac:dyDescent="0.25">
      <c r="A34" s="107" t="s">
        <v>181</v>
      </c>
      <c r="B34" s="108"/>
      <c r="C34" s="170"/>
      <c r="D34" s="113"/>
      <c r="E34" s="108"/>
      <c r="F34" s="108"/>
      <c r="G34" s="113"/>
      <c r="H34" s="108"/>
      <c r="I34" s="113" t="s">
        <v>111</v>
      </c>
      <c r="J34" s="113"/>
      <c r="K34" s="13"/>
      <c r="L34" s="13"/>
      <c r="M34" s="13"/>
    </row>
    <row r="35" spans="1:13" ht="15.75" x14ac:dyDescent="0.25">
      <c r="A35" s="110" t="s">
        <v>180</v>
      </c>
      <c r="B35" s="108"/>
      <c r="C35" s="108" t="s">
        <v>111</v>
      </c>
      <c r="D35" s="113"/>
      <c r="E35" s="108"/>
      <c r="F35" s="108"/>
      <c r="G35" s="113"/>
      <c r="H35" s="108"/>
      <c r="I35" s="108"/>
      <c r="J35" s="108"/>
      <c r="K35" s="13"/>
      <c r="L35" s="13"/>
      <c r="M35" s="13"/>
    </row>
    <row r="36" spans="1:13" ht="15.75" x14ac:dyDescent="0.25">
      <c r="A36" s="265"/>
      <c r="B36" s="108"/>
      <c r="C36" s="108"/>
      <c r="D36" s="113"/>
      <c r="E36" s="108"/>
      <c r="F36" s="108"/>
      <c r="G36" s="113"/>
      <c r="H36" s="108"/>
      <c r="I36" s="108"/>
      <c r="J36" s="108"/>
      <c r="K36" s="224"/>
      <c r="L36" s="225"/>
      <c r="M36" s="225"/>
    </row>
    <row r="37" spans="1:13" ht="15.75" x14ac:dyDescent="0.25">
      <c r="A37" s="265" t="s">
        <v>20</v>
      </c>
      <c r="B37" s="108"/>
      <c r="C37" s="266">
        <f ca="1">'[56]Tariff 35'!$D$6</f>
        <v>12</v>
      </c>
      <c r="D37" s="171">
        <f ca="1">'[55]Exhibit No.__(JAP-Tariff)'!E80</f>
        <v>339.51</v>
      </c>
      <c r="E37" s="265"/>
      <c r="F37" s="267">
        <f ca="1">ROUND(D37*$C37,0)</f>
        <v>4074</v>
      </c>
      <c r="G37" s="171">
        <f ca="1">G15</f>
        <v>343.66</v>
      </c>
      <c r="H37" s="265"/>
      <c r="I37" s="267">
        <f ca="1">ROUND(G37*$C37,0)</f>
        <v>4124</v>
      </c>
      <c r="J37" s="267"/>
      <c r="K37" s="418" t="s">
        <v>82</v>
      </c>
      <c r="L37" s="418"/>
      <c r="M37" s="418"/>
    </row>
    <row r="38" spans="1:13" ht="15.75" x14ac:dyDescent="0.25">
      <c r="A38" s="265" t="s">
        <v>66</v>
      </c>
      <c r="B38" s="108"/>
      <c r="C38" s="266"/>
      <c r="D38" s="173"/>
      <c r="E38" s="267"/>
      <c r="F38" s="267"/>
      <c r="G38" s="173"/>
      <c r="H38" s="267"/>
      <c r="I38" s="267"/>
      <c r="J38" s="267"/>
      <c r="K38" s="224"/>
      <c r="L38" s="225"/>
      <c r="M38" s="225"/>
    </row>
    <row r="39" spans="1:13" ht="15.75" x14ac:dyDescent="0.25">
      <c r="A39" s="120" t="s">
        <v>53</v>
      </c>
      <c r="B39" s="108"/>
      <c r="C39" s="266">
        <f ca="1">'[56]Tariff 35'!$D$9</f>
        <v>4443000</v>
      </c>
      <c r="D39" s="174">
        <f ca="1">'[55]Exhibit No.__(JAP-Tariff)'!E82</f>
        <v>4.8598000000000002E-2</v>
      </c>
      <c r="E39" s="267"/>
      <c r="F39" s="267">
        <f t="shared" ref="F39" ca="1" si="4">ROUND($C39*D39,0)</f>
        <v>215921</v>
      </c>
      <c r="G39" s="174">
        <f ca="1">ROUND(D39*(1+$M$54),6)+L56</f>
        <v>4.9973999999999998E-2</v>
      </c>
      <c r="H39" s="267"/>
      <c r="I39" s="267">
        <f t="shared" ref="I39" ca="1" si="5">ROUND($C39*G39,0)</f>
        <v>222034</v>
      </c>
      <c r="J39" s="267"/>
      <c r="K39" s="419" t="s">
        <v>380</v>
      </c>
      <c r="L39" s="418"/>
      <c r="M39" s="418"/>
    </row>
    <row r="40" spans="1:13" ht="15.75" x14ac:dyDescent="0.25">
      <c r="A40" s="114" t="s">
        <v>86</v>
      </c>
      <c r="B40" s="108"/>
      <c r="C40" s="268">
        <f ca="1">SUM(C39:C39)</f>
        <v>4443000</v>
      </c>
      <c r="D40" s="158"/>
      <c r="E40" s="265"/>
      <c r="F40" s="117">
        <f ca="1">SUM(F39:F39)</f>
        <v>215921</v>
      </c>
      <c r="G40" s="158"/>
      <c r="H40" s="265"/>
      <c r="I40" s="117">
        <f ca="1">SUM(I39:I39)</f>
        <v>222034</v>
      </c>
      <c r="J40" s="113"/>
      <c r="K40" s="224"/>
      <c r="L40" s="225"/>
      <c r="M40" s="225"/>
    </row>
    <row r="41" spans="1:13" ht="15.75" x14ac:dyDescent="0.25">
      <c r="A41" s="120" t="s">
        <v>68</v>
      </c>
      <c r="B41" s="108"/>
      <c r="C41" s="266">
        <f ca="1">'[56]Tariff 35'!$D$11</f>
        <v>0</v>
      </c>
      <c r="D41" s="174">
        <f ca="1">D39</f>
        <v>4.8598000000000002E-2</v>
      </c>
      <c r="E41" s="265"/>
      <c r="F41" s="267">
        <f t="shared" ref="F41:F42" ca="1" si="6">ROUND($C41*D41,0)</f>
        <v>0</v>
      </c>
      <c r="G41" s="174">
        <f ca="1">G39</f>
        <v>4.9973999999999998E-2</v>
      </c>
      <c r="H41" s="265"/>
      <c r="I41" s="267">
        <f t="shared" ref="I41:I42" ca="1" si="7">ROUND($C41*G41,0)</f>
        <v>0</v>
      </c>
      <c r="J41" s="113"/>
      <c r="K41" s="196"/>
      <c r="L41" s="225"/>
      <c r="M41" s="225"/>
    </row>
    <row r="42" spans="1:13" ht="15.75" x14ac:dyDescent="0.25">
      <c r="A42" s="126" t="s">
        <v>69</v>
      </c>
      <c r="B42" s="108"/>
      <c r="C42" s="233">
        <f ca="1">'[56]Tariff 35'!$D$10</f>
        <v>9600</v>
      </c>
      <c r="D42" s="174">
        <f ca="1">ROUND(SUM(F37,F40,F47,F49)/C40,6)</f>
        <v>5.5745999999999997E-2</v>
      </c>
      <c r="E42" s="229"/>
      <c r="F42" s="267">
        <f t="shared" ca="1" si="6"/>
        <v>535</v>
      </c>
      <c r="G42" s="174">
        <f ca="1">ROUND(D42*(1+$M$52),6)</f>
        <v>5.7319000000000002E-2</v>
      </c>
      <c r="H42" s="229"/>
      <c r="I42" s="267">
        <f t="shared" ca="1" si="7"/>
        <v>550</v>
      </c>
      <c r="J42" s="119"/>
      <c r="K42" s="419" t="s">
        <v>65</v>
      </c>
      <c r="L42" s="418"/>
      <c r="M42" s="418"/>
    </row>
    <row r="43" spans="1:13" ht="15.75" x14ac:dyDescent="0.25">
      <c r="A43" s="114" t="s">
        <v>86</v>
      </c>
      <c r="B43" s="108"/>
      <c r="C43" s="268">
        <f ca="1">SUM(C40:C42)</f>
        <v>4452600</v>
      </c>
      <c r="D43" s="229"/>
      <c r="E43" s="229"/>
      <c r="F43" s="117">
        <f ca="1">SUM(F40:F42)</f>
        <v>216456</v>
      </c>
      <c r="G43" s="229"/>
      <c r="H43" s="229"/>
      <c r="I43" s="117">
        <f ca="1">SUM(I40:I42)</f>
        <v>222584</v>
      </c>
      <c r="J43" s="119"/>
      <c r="K43" s="196"/>
      <c r="L43" s="225"/>
      <c r="M43" s="225"/>
    </row>
    <row r="44" spans="1:13" ht="15.75" x14ac:dyDescent="0.25">
      <c r="A44" s="229" t="s">
        <v>70</v>
      </c>
      <c r="B44" s="108"/>
      <c r="C44" s="266"/>
      <c r="D44" s="176"/>
      <c r="E44" s="265"/>
      <c r="F44" s="267"/>
      <c r="G44" s="176"/>
      <c r="H44" s="265"/>
      <c r="I44" s="267"/>
      <c r="J44" s="267"/>
      <c r="K44" s="196"/>
      <c r="L44" s="269"/>
      <c r="M44" s="225"/>
    </row>
    <row r="45" spans="1:13" ht="15.75" x14ac:dyDescent="0.25">
      <c r="A45" s="120" t="s">
        <v>166</v>
      </c>
      <c r="B45" s="108"/>
      <c r="C45" s="266">
        <f ca="1">'[56]Tariff 35'!$D$15</f>
        <v>204</v>
      </c>
      <c r="D45" s="171">
        <f ca="1">'[55]Exhibit No.__(JAP-Tariff)'!E84</f>
        <v>4.49</v>
      </c>
      <c r="E45" s="265"/>
      <c r="F45" s="267">
        <f ca="1">ROUND(D45*$C45,0)</f>
        <v>916</v>
      </c>
      <c r="G45" s="171">
        <f ca="1">ROUND(D45*(1+$M$54),2)</f>
        <v>4.62</v>
      </c>
      <c r="H45" s="265"/>
      <c r="I45" s="267">
        <f ca="1">ROUND(G45*$C45,0)</f>
        <v>942</v>
      </c>
      <c r="J45" s="267"/>
      <c r="K45" s="419" t="s">
        <v>380</v>
      </c>
      <c r="L45" s="418"/>
      <c r="M45" s="418"/>
    </row>
    <row r="46" spans="1:13" ht="15.75" x14ac:dyDescent="0.25">
      <c r="A46" s="120" t="s">
        <v>167</v>
      </c>
      <c r="B46" s="108"/>
      <c r="C46" s="266">
        <f ca="1">'[56]Tariff 35'!$D$16</f>
        <v>8102</v>
      </c>
      <c r="D46" s="171">
        <f ca="1">'[55]Exhibit No.__(JAP-Tariff)'!E85</f>
        <v>2.99</v>
      </c>
      <c r="E46" s="265"/>
      <c r="F46" s="267">
        <f ca="1">ROUND(D46*$C46,0)</f>
        <v>24225</v>
      </c>
      <c r="G46" s="171">
        <f ca="1">ROUND(D46*(1+$M$54),2)</f>
        <v>3.08</v>
      </c>
      <c r="H46" s="265"/>
      <c r="I46" s="267">
        <f ca="1">ROUND(G46*$C46,0)</f>
        <v>24954</v>
      </c>
      <c r="J46" s="267"/>
      <c r="K46" s="419" t="s">
        <v>380</v>
      </c>
      <c r="L46" s="418"/>
      <c r="M46" s="418"/>
    </row>
    <row r="47" spans="1:13" ht="15.75" x14ac:dyDescent="0.25">
      <c r="A47" s="114" t="s">
        <v>86</v>
      </c>
      <c r="B47" s="108"/>
      <c r="C47" s="268">
        <f ca="1">SUM(C45:C46)</f>
        <v>8306</v>
      </c>
      <c r="D47" s="176"/>
      <c r="E47" s="265"/>
      <c r="F47" s="270">
        <f ca="1">SUM(F45:F46)</f>
        <v>25141</v>
      </c>
      <c r="G47" s="176"/>
      <c r="H47" s="265"/>
      <c r="I47" s="270">
        <f ca="1">SUM(I45:I46)</f>
        <v>25896</v>
      </c>
      <c r="J47" s="267"/>
      <c r="K47" s="196"/>
      <c r="L47" s="225"/>
      <c r="M47" s="225"/>
    </row>
    <row r="48" spans="1:13" ht="15.75" x14ac:dyDescent="0.25">
      <c r="A48" s="108"/>
      <c r="B48" s="108"/>
      <c r="C48" s="233"/>
      <c r="D48" s="233"/>
      <c r="E48" s="229"/>
      <c r="F48" s="119"/>
      <c r="G48" s="233"/>
      <c r="H48" s="229"/>
      <c r="I48" s="119"/>
      <c r="J48" s="119"/>
      <c r="K48" s="196"/>
      <c r="L48" s="225"/>
      <c r="M48" s="225"/>
    </row>
    <row r="49" spans="1:13" ht="15.75" x14ac:dyDescent="0.25">
      <c r="A49" s="108" t="s">
        <v>54</v>
      </c>
      <c r="B49" s="108"/>
      <c r="C49" s="266">
        <f ca="1">'[56]Tariff 35'!$D$19</f>
        <v>2355612</v>
      </c>
      <c r="D49" s="179">
        <f ca="1">'[55]Exhibit No.__(JAP-Tariff)'!E87</f>
        <v>1.08E-3</v>
      </c>
      <c r="E49" s="265"/>
      <c r="F49" s="267">
        <f ca="1">ROUND(D49*$C49,0)</f>
        <v>2544</v>
      </c>
      <c r="G49" s="179">
        <f ca="1">ROUND(D49*(1+$M$54),5)</f>
        <v>1.1100000000000001E-3</v>
      </c>
      <c r="H49" s="265"/>
      <c r="I49" s="267">
        <f ca="1">ROUND(G49*$C49,0)</f>
        <v>2615</v>
      </c>
      <c r="J49" s="119"/>
      <c r="K49" s="419" t="s">
        <v>380</v>
      </c>
      <c r="L49" s="418"/>
      <c r="M49" s="418"/>
    </row>
    <row r="50" spans="1:13" ht="15.75" x14ac:dyDescent="0.25">
      <c r="A50" s="108"/>
      <c r="B50" s="108"/>
      <c r="C50" s="233"/>
      <c r="D50" s="233"/>
      <c r="E50" s="229"/>
      <c r="F50" s="119"/>
      <c r="G50" s="233"/>
      <c r="H50" s="229"/>
      <c r="I50" s="119"/>
      <c r="J50" s="119"/>
      <c r="K50" s="271"/>
      <c r="L50" s="269"/>
      <c r="M50" s="225"/>
    </row>
    <row r="51" spans="1:13" ht="16.5" thickBot="1" x14ac:dyDescent="0.3">
      <c r="A51" s="108" t="s">
        <v>154</v>
      </c>
      <c r="B51" s="108"/>
      <c r="C51" s="233"/>
      <c r="D51" s="233"/>
      <c r="E51" s="229"/>
      <c r="F51" s="272">
        <f ca="1">SUM(F37,F43,F47,F49)</f>
        <v>248215</v>
      </c>
      <c r="G51" s="233"/>
      <c r="H51" s="229"/>
      <c r="I51" s="272">
        <f ca="1">SUM(I37,I43,I47,I49)</f>
        <v>255219</v>
      </c>
      <c r="J51" s="273"/>
      <c r="K51" s="13"/>
      <c r="L51" s="34"/>
      <c r="M51" s="34"/>
    </row>
    <row r="52" spans="1:13" ht="16.5" thickTop="1" x14ac:dyDescent="0.25">
      <c r="A52" s="108"/>
      <c r="B52" s="274"/>
      <c r="C52" s="233"/>
      <c r="D52" s="233"/>
      <c r="E52" s="108"/>
      <c r="F52" s="113"/>
      <c r="G52" s="233"/>
      <c r="H52" s="108"/>
      <c r="I52" s="113"/>
      <c r="J52" s="113"/>
      <c r="K52" s="275" t="s">
        <v>381</v>
      </c>
      <c r="L52" s="276">
        <f ca="1">'[55]Exhibit No.__(JAP-Rate Spread)'!M18</f>
        <v>7005.3100210298608</v>
      </c>
      <c r="M52" s="232">
        <f ca="1">L52/F51</f>
        <v>2.822275052285261E-2</v>
      </c>
    </row>
    <row r="53" spans="1:13" ht="15.75" x14ac:dyDescent="0.25">
      <c r="A53" s="108"/>
      <c r="B53" s="274"/>
      <c r="C53" s="233"/>
      <c r="D53" s="233"/>
      <c r="E53" s="108"/>
      <c r="F53" s="113"/>
      <c r="G53" s="233"/>
      <c r="H53" s="108"/>
      <c r="I53" s="113"/>
      <c r="J53" s="113"/>
      <c r="K53" s="278" t="s">
        <v>382</v>
      </c>
      <c r="L53" s="279">
        <f ca="1">-(I37-F37)</f>
        <v>-50</v>
      </c>
      <c r="M53" s="280"/>
    </row>
    <row r="54" spans="1:13" ht="15.75" x14ac:dyDescent="0.25">
      <c r="A54" s="108"/>
      <c r="B54" s="274"/>
      <c r="C54" s="233"/>
      <c r="D54" s="233"/>
      <c r="E54" s="108"/>
      <c r="F54" s="113"/>
      <c r="G54" s="233"/>
      <c r="H54" s="108"/>
      <c r="I54" s="113"/>
      <c r="J54" s="113"/>
      <c r="K54" s="278" t="s">
        <v>383</v>
      </c>
      <c r="L54" s="279">
        <f ca="1">SUM(L52:L53)</f>
        <v>6955.3100210298608</v>
      </c>
      <c r="M54" s="281">
        <f ca="1">L54/(F51-F37)</f>
        <v>2.8488906087178561E-2</v>
      </c>
    </row>
    <row r="55" spans="1:13" ht="15.75" x14ac:dyDescent="0.25">
      <c r="A55" s="108"/>
      <c r="B55" s="274"/>
      <c r="C55" s="233"/>
      <c r="D55" s="233"/>
      <c r="E55" s="108"/>
      <c r="F55" s="113"/>
      <c r="G55" s="233"/>
      <c r="H55" s="108"/>
      <c r="I55" s="113"/>
      <c r="J55" s="113"/>
      <c r="K55" s="282" t="s">
        <v>40</v>
      </c>
      <c r="L55" s="277">
        <f ca="1">L52-(I51-F51)</f>
        <v>1.3100210298607635</v>
      </c>
      <c r="M55" s="245" t="s">
        <v>111</v>
      </c>
    </row>
    <row r="56" spans="1:13" ht="15.75" x14ac:dyDescent="0.25">
      <c r="A56" s="108"/>
      <c r="B56" s="274"/>
      <c r="C56" s="233"/>
      <c r="D56" s="233"/>
      <c r="E56" s="108"/>
      <c r="F56" s="113"/>
      <c r="G56" s="233"/>
      <c r="H56" s="108"/>
      <c r="I56" s="113"/>
      <c r="J56" s="113"/>
      <c r="K56" s="134" t="s">
        <v>376</v>
      </c>
      <c r="L56" s="242">
        <f ca="1">'[55]Exhibit No.__(JAP-PV RD)'!$L$56</f>
        <v>-9.0000000000000002E-6</v>
      </c>
      <c r="M56" s="242">
        <f ca="1">L55/C39</f>
        <v>2.9485055815007056E-7</v>
      </c>
    </row>
    <row r="57" spans="1:13" ht="15.75" x14ac:dyDescent="0.25">
      <c r="A57" s="107" t="s">
        <v>182</v>
      </c>
      <c r="B57" s="108"/>
      <c r="C57" s="170"/>
      <c r="D57" s="113"/>
      <c r="E57" s="108"/>
      <c r="F57" s="108"/>
      <c r="G57" s="113"/>
      <c r="H57" s="108"/>
      <c r="I57" s="113" t="s">
        <v>111</v>
      </c>
      <c r="J57" s="113"/>
      <c r="K57" s="13"/>
      <c r="L57" s="13"/>
      <c r="M57" s="13"/>
    </row>
    <row r="58" spans="1:13" ht="15.75" x14ac:dyDescent="0.25">
      <c r="A58" s="110" t="s">
        <v>183</v>
      </c>
      <c r="B58" s="108"/>
      <c r="C58" s="108" t="s">
        <v>111</v>
      </c>
      <c r="D58" s="113"/>
      <c r="E58" s="108"/>
      <c r="F58" s="108"/>
      <c r="G58" s="113"/>
      <c r="H58" s="108"/>
      <c r="I58" s="108"/>
      <c r="J58" s="108"/>
      <c r="K58" s="13"/>
      <c r="L58" s="13"/>
      <c r="M58" s="13"/>
    </row>
    <row r="59" spans="1:13" ht="15.75" x14ac:dyDescent="0.25">
      <c r="A59" s="265"/>
      <c r="B59" s="108"/>
      <c r="C59" s="108"/>
      <c r="D59" s="113"/>
      <c r="E59" s="108"/>
      <c r="F59" s="108"/>
      <c r="G59" s="113"/>
      <c r="H59" s="108"/>
      <c r="I59" s="108"/>
      <c r="J59" s="108"/>
      <c r="K59" s="224"/>
      <c r="L59" s="225"/>
      <c r="M59" s="225"/>
    </row>
    <row r="60" spans="1:13" ht="15.75" x14ac:dyDescent="0.25">
      <c r="A60" s="265" t="s">
        <v>20</v>
      </c>
      <c r="B60" s="108"/>
      <c r="C60" s="266">
        <f ca="1">'[56]Tariff 43'!$D$6</f>
        <v>1904</v>
      </c>
      <c r="D60" s="171">
        <f ca="1">'[55]Exhibit No.__(JAP-Tariff)'!E90</f>
        <v>339.51</v>
      </c>
      <c r="E60" s="265"/>
      <c r="F60" s="267">
        <f ca="1">ROUND(D60*$C60,0)</f>
        <v>646427</v>
      </c>
      <c r="G60" s="171">
        <f ca="1">G15</f>
        <v>343.66</v>
      </c>
      <c r="H60" s="265"/>
      <c r="I60" s="267">
        <f ca="1">ROUND(G60*$C60,0)</f>
        <v>654329</v>
      </c>
      <c r="J60" s="267"/>
      <c r="K60" s="418" t="s">
        <v>82</v>
      </c>
      <c r="L60" s="418"/>
      <c r="M60" s="418"/>
    </row>
    <row r="61" spans="1:13" ht="15.75" x14ac:dyDescent="0.25">
      <c r="A61" s="265" t="s">
        <v>66</v>
      </c>
      <c r="B61" s="108"/>
      <c r="C61" s="266"/>
      <c r="D61" s="173"/>
      <c r="E61" s="267"/>
      <c r="F61" s="267"/>
      <c r="G61" s="173"/>
      <c r="H61" s="267"/>
      <c r="I61" s="267"/>
      <c r="J61" s="267"/>
      <c r="K61" s="224"/>
      <c r="L61" s="225"/>
      <c r="M61" s="225"/>
    </row>
    <row r="62" spans="1:13" ht="15.75" x14ac:dyDescent="0.25">
      <c r="A62" s="120" t="s">
        <v>53</v>
      </c>
      <c r="B62" s="108"/>
      <c r="C62" s="266">
        <f ca="1">'[56]Tariff 43'!$D$9</f>
        <v>116386804</v>
      </c>
      <c r="D62" s="174">
        <f ca="1">'[55]Exhibit No.__(JAP-Tariff)'!E92</f>
        <v>5.5893999999999999E-2</v>
      </c>
      <c r="E62" s="267"/>
      <c r="F62" s="267">
        <f t="shared" ref="F62" ca="1" si="8">ROUND($C62*D62,0)</f>
        <v>6505324</v>
      </c>
      <c r="G62" s="122">
        <f ca="1">ROUND((L77-I60-I65-I68-I73)/SUM(C63:C64),6)</f>
        <v>5.7135999999999999E-2</v>
      </c>
      <c r="H62" s="267"/>
      <c r="I62" s="267">
        <f t="shared" ref="I62" ca="1" si="9">ROUND($C62*G62,0)</f>
        <v>6649876</v>
      </c>
      <c r="J62" s="267"/>
      <c r="K62" s="418" t="s">
        <v>83</v>
      </c>
      <c r="L62" s="418"/>
      <c r="M62" s="418"/>
    </row>
    <row r="63" spans="1:13" ht="15.75" x14ac:dyDescent="0.25">
      <c r="A63" s="114" t="s">
        <v>86</v>
      </c>
      <c r="B63" s="108"/>
      <c r="C63" s="268">
        <f ca="1">SUM(C62:C62)</f>
        <v>116386804</v>
      </c>
      <c r="D63" s="158"/>
      <c r="E63" s="265"/>
      <c r="F63" s="117">
        <f ca="1">SUM(F62:F62)</f>
        <v>6505324</v>
      </c>
      <c r="G63" s="158"/>
      <c r="H63" s="265"/>
      <c r="I63" s="117">
        <f ca="1">SUM(I62:I62)</f>
        <v>6649876</v>
      </c>
      <c r="J63" s="113"/>
      <c r="K63" s="36"/>
      <c r="L63" s="225"/>
      <c r="M63" s="225"/>
    </row>
    <row r="64" spans="1:13" ht="15.75" x14ac:dyDescent="0.25">
      <c r="A64" s="120" t="s">
        <v>68</v>
      </c>
      <c r="B64" s="108"/>
      <c r="C64" s="266">
        <f ca="1">'[56]Tariff 43'!$D$11</f>
        <v>3836119.7974334164</v>
      </c>
      <c r="D64" s="174">
        <f ca="1">D62</f>
        <v>5.5893999999999999E-2</v>
      </c>
      <c r="E64" s="265"/>
      <c r="F64" s="267">
        <f t="shared" ref="F64:F65" ca="1" si="10">ROUND($C64*D64,0)</f>
        <v>214416</v>
      </c>
      <c r="G64" s="174">
        <f ca="1">G62</f>
        <v>5.7135999999999999E-2</v>
      </c>
      <c r="H64" s="265"/>
      <c r="I64" s="267">
        <f t="shared" ref="I64:I65" ca="1" si="11">ROUND($C64*G64,0)</f>
        <v>219181</v>
      </c>
      <c r="J64" s="113"/>
      <c r="K64" s="197"/>
      <c r="L64" s="225"/>
      <c r="M64" s="225"/>
    </row>
    <row r="65" spans="1:13" ht="15.75" x14ac:dyDescent="0.25">
      <c r="A65" s="126" t="s">
        <v>69</v>
      </c>
      <c r="B65" s="108"/>
      <c r="C65" s="233">
        <f ca="1">'[56]Tariff 43'!$D$10</f>
        <v>-562522.33265664149</v>
      </c>
      <c r="D65" s="174">
        <f ca="1">ROUND(SUM(F60,F63:F64,F69,F73)/SUM(C63:C64),6)</f>
        <v>8.6392999999999998E-2</v>
      </c>
      <c r="E65" s="229"/>
      <c r="F65" s="267">
        <f t="shared" ca="1" si="10"/>
        <v>-48598</v>
      </c>
      <c r="G65" s="174">
        <f ca="1">ROUND(D65*(1+$M$77),6)</f>
        <v>8.8017999999999999E-2</v>
      </c>
      <c r="H65" s="229"/>
      <c r="I65" s="267">
        <f t="shared" ca="1" si="11"/>
        <v>-49512</v>
      </c>
      <c r="J65" s="119"/>
      <c r="K65" s="418" t="s">
        <v>65</v>
      </c>
      <c r="L65" s="418"/>
      <c r="M65" s="418"/>
    </row>
    <row r="66" spans="1:13" ht="15.75" x14ac:dyDescent="0.25">
      <c r="A66" s="114" t="s">
        <v>86</v>
      </c>
      <c r="B66" s="108"/>
      <c r="C66" s="268">
        <f ca="1">SUM(C63:C65)</f>
        <v>119660401.46477678</v>
      </c>
      <c r="D66" s="229"/>
      <c r="E66" s="229"/>
      <c r="F66" s="117">
        <f ca="1">SUM(F63:F65)</f>
        <v>6671142</v>
      </c>
      <c r="G66" s="229"/>
      <c r="H66" s="229"/>
      <c r="I66" s="117">
        <f ca="1">SUM(I63:I65)</f>
        <v>6819545</v>
      </c>
      <c r="J66" s="119"/>
      <c r="K66" s="196"/>
      <c r="L66" s="225"/>
      <c r="M66" s="225"/>
    </row>
    <row r="67" spans="1:13" ht="15.75" x14ac:dyDescent="0.25">
      <c r="A67" s="229" t="s">
        <v>70</v>
      </c>
      <c r="B67" s="108"/>
      <c r="C67" s="266"/>
      <c r="D67" s="176"/>
      <c r="E67" s="265"/>
      <c r="F67" s="267"/>
      <c r="G67" s="176"/>
      <c r="H67" s="265"/>
      <c r="I67" s="267"/>
      <c r="J67" s="267"/>
      <c r="K67" s="196"/>
      <c r="L67" s="269"/>
      <c r="M67" s="225"/>
    </row>
    <row r="68" spans="1:13" ht="15.75" x14ac:dyDescent="0.25">
      <c r="A68" s="120" t="s">
        <v>184</v>
      </c>
      <c r="B68" s="108"/>
      <c r="C68" s="266">
        <f ca="1">'[56]Tariff 43'!$D$14</f>
        <v>604733</v>
      </c>
      <c r="D68" s="171">
        <f ca="1">'[55]Exhibit No.__(JAP-Tariff)'!E94</f>
        <v>4.75</v>
      </c>
      <c r="E68" s="265"/>
      <c r="F68" s="267">
        <f ca="1">ROUND(D68*$C68,0)</f>
        <v>2872482</v>
      </c>
      <c r="G68" s="171">
        <f ca="1">ROUND(D68*(1+$M$31),2)</f>
        <v>4.8099999999999996</v>
      </c>
      <c r="H68" s="265"/>
      <c r="I68" s="267">
        <f ca="1">ROUND(G68*$C68,0)</f>
        <v>2908766</v>
      </c>
      <c r="J68" s="267"/>
      <c r="K68" s="418" t="s">
        <v>65</v>
      </c>
      <c r="L68" s="418"/>
      <c r="M68" s="418"/>
    </row>
    <row r="69" spans="1:13" ht="15.75" x14ac:dyDescent="0.25">
      <c r="A69" s="114" t="s">
        <v>86</v>
      </c>
      <c r="B69" s="108"/>
      <c r="C69" s="268">
        <f ca="1">SUM(C68:C68)</f>
        <v>604733</v>
      </c>
      <c r="D69" s="176"/>
      <c r="E69" s="265"/>
      <c r="F69" s="270">
        <f ca="1">SUM(F68:F68)</f>
        <v>2872482</v>
      </c>
      <c r="G69" s="176"/>
      <c r="H69" s="265"/>
      <c r="I69" s="270">
        <f ca="1">SUM(I68:I68)</f>
        <v>2908766</v>
      </c>
      <c r="J69" s="267"/>
      <c r="K69" s="196"/>
      <c r="L69" s="225"/>
      <c r="M69" s="225"/>
    </row>
    <row r="70" spans="1:13" ht="15.75" x14ac:dyDescent="0.25">
      <c r="A70" s="108"/>
      <c r="B70" s="108"/>
      <c r="C70" s="233"/>
      <c r="D70" s="233"/>
      <c r="E70" s="229"/>
      <c r="F70" s="119"/>
      <c r="G70" s="233"/>
      <c r="H70" s="229"/>
      <c r="I70" s="119"/>
      <c r="J70" s="119"/>
      <c r="K70" s="196"/>
      <c r="L70" s="225"/>
      <c r="M70" s="225"/>
    </row>
    <row r="71" spans="1:13" ht="15.75" x14ac:dyDescent="0.25">
      <c r="A71" s="13" t="s">
        <v>185</v>
      </c>
      <c r="B71" s="108"/>
      <c r="C71" s="266">
        <v>0</v>
      </c>
      <c r="D71" s="283">
        <f ca="1">ROUND(D23-D68,2)</f>
        <v>6.57</v>
      </c>
      <c r="E71" s="229"/>
      <c r="F71" s="267">
        <f ca="1">ROUND(D71*$C71,0)</f>
        <v>0</v>
      </c>
      <c r="G71" s="283">
        <f ca="1">ROUND(G23-G68,2)</f>
        <v>6.65</v>
      </c>
      <c r="H71" s="229"/>
      <c r="I71" s="267">
        <f ca="1">ROUND(G71*$C71,0)</f>
        <v>0</v>
      </c>
      <c r="J71" s="119"/>
      <c r="K71" s="418" t="s">
        <v>186</v>
      </c>
      <c r="L71" s="418"/>
      <c r="M71" s="418"/>
    </row>
    <row r="72" spans="1:13" ht="15.75" x14ac:dyDescent="0.25">
      <c r="A72" s="108"/>
      <c r="B72" s="108"/>
      <c r="C72" s="233"/>
      <c r="D72" s="233"/>
      <c r="E72" s="229"/>
      <c r="F72" s="119"/>
      <c r="G72" s="233"/>
      <c r="H72" s="229"/>
      <c r="I72" s="119"/>
      <c r="J72" s="119"/>
      <c r="K72" s="196"/>
      <c r="L72" s="225"/>
      <c r="M72" s="225"/>
    </row>
    <row r="73" spans="1:13" ht="15.75" x14ac:dyDescent="0.25">
      <c r="A73" s="108" t="s">
        <v>54</v>
      </c>
      <c r="B73" s="108"/>
      <c r="C73" s="266">
        <f ca="1">'[56]Tariff 43'!$D$16</f>
        <v>49257775</v>
      </c>
      <c r="D73" s="179">
        <f ca="1">'[55]Exhibit No.__(JAP-Tariff)'!E98</f>
        <v>3.0000000000000001E-3</v>
      </c>
      <c r="E73" s="265"/>
      <c r="F73" s="267">
        <f ca="1">ROUND(D73*$C73,0)</f>
        <v>147773</v>
      </c>
      <c r="G73" s="179">
        <f ca="1">ROUND(D73*(1+$M$31),5)</f>
        <v>3.0400000000000002E-3</v>
      </c>
      <c r="H73" s="265"/>
      <c r="I73" s="267">
        <f ca="1">ROUND(G73*$C73,0)</f>
        <v>149744</v>
      </c>
      <c r="J73" s="119"/>
      <c r="K73" s="418" t="s">
        <v>65</v>
      </c>
      <c r="L73" s="418"/>
      <c r="M73" s="418"/>
    </row>
    <row r="74" spans="1:13" ht="15.75" x14ac:dyDescent="0.25">
      <c r="A74" s="108"/>
      <c r="B74" s="108"/>
      <c r="C74" s="233"/>
      <c r="D74" s="233"/>
      <c r="E74" s="229"/>
      <c r="F74" s="119"/>
      <c r="G74" s="233"/>
      <c r="H74" s="229"/>
      <c r="I74" s="119"/>
      <c r="J74" s="119"/>
      <c r="K74" s="271"/>
      <c r="L74" s="269"/>
      <c r="M74" s="225"/>
    </row>
    <row r="75" spans="1:13" ht="16.5" thickBot="1" x14ac:dyDescent="0.3">
      <c r="A75" s="108" t="s">
        <v>154</v>
      </c>
      <c r="B75" s="108"/>
      <c r="C75" s="233"/>
      <c r="D75" s="233"/>
      <c r="E75" s="229"/>
      <c r="F75" s="272">
        <f ca="1">SUM(F60,F66,F69,F73)</f>
        <v>10337824</v>
      </c>
      <c r="G75" s="233"/>
      <c r="H75" s="229"/>
      <c r="I75" s="272">
        <f ca="1">SUM(I60,I66,I69,I73)</f>
        <v>10532384</v>
      </c>
      <c r="J75" s="273"/>
      <c r="K75" s="271"/>
      <c r="L75" s="269"/>
      <c r="M75" s="225"/>
    </row>
    <row r="76" spans="1:13" ht="16.5" thickTop="1" x14ac:dyDescent="0.25">
      <c r="A76" s="108"/>
      <c r="B76" s="274"/>
      <c r="C76" s="233"/>
      <c r="D76" s="233"/>
      <c r="E76" s="108"/>
      <c r="F76" s="113"/>
      <c r="G76" s="233"/>
      <c r="H76" s="108"/>
      <c r="I76" s="113"/>
      <c r="J76" s="113"/>
      <c r="K76" s="271"/>
      <c r="L76" s="269"/>
      <c r="M76" s="225"/>
    </row>
    <row r="77" spans="1:13" ht="15.75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275" t="s">
        <v>187</v>
      </c>
      <c r="L77" s="276">
        <f ca="1">'[55]Exhibit No.__(JAP-Rate Spread)'!K19*1000</f>
        <v>10532331.885134107</v>
      </c>
      <c r="M77" s="232">
        <f ca="1">L77/SUM(F75)-1</f>
        <v>1.8815167015235224E-2</v>
      </c>
    </row>
    <row r="78" spans="1:13" ht="15.75" x14ac:dyDescent="0.25">
      <c r="A78" s="13"/>
      <c r="B78" s="108"/>
      <c r="C78" s="170"/>
      <c r="D78" s="113"/>
      <c r="E78" s="108"/>
      <c r="F78" s="108"/>
      <c r="G78" s="113"/>
      <c r="H78" s="108"/>
      <c r="I78" s="113" t="s">
        <v>111</v>
      </c>
      <c r="J78" s="113"/>
      <c r="K78" s="234" t="s">
        <v>40</v>
      </c>
      <c r="L78" s="277">
        <f ca="1">L77-I75-I97</f>
        <v>-52.114865893498063</v>
      </c>
      <c r="M78" s="245" t="s">
        <v>111</v>
      </c>
    </row>
    <row r="79" spans="1:13" ht="15.75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34"/>
      <c r="M79" s="34"/>
    </row>
    <row r="80" spans="1:13" ht="15.75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34"/>
      <c r="M80" s="34"/>
    </row>
  </sheetData>
  <mergeCells count="24">
    <mergeCell ref="K73:M73"/>
    <mergeCell ref="K37:M37"/>
    <mergeCell ref="K39:M39"/>
    <mergeCell ref="K42:M42"/>
    <mergeCell ref="K45:M45"/>
    <mergeCell ref="K46:M46"/>
    <mergeCell ref="K49:M49"/>
    <mergeCell ref="K60:M60"/>
    <mergeCell ref="K62:M62"/>
    <mergeCell ref="K65:M65"/>
    <mergeCell ref="K68:M68"/>
    <mergeCell ref="K71:M71"/>
    <mergeCell ref="K27:M27"/>
    <mergeCell ref="A1:J1"/>
    <mergeCell ref="A2:I2"/>
    <mergeCell ref="A3:I3"/>
    <mergeCell ref="A4:I4"/>
    <mergeCell ref="D9:F9"/>
    <mergeCell ref="G9:I9"/>
    <mergeCell ref="K15:M15"/>
    <mergeCell ref="K17:M17"/>
    <mergeCell ref="K20:M20"/>
    <mergeCell ref="K23:M23"/>
    <mergeCell ref="K24:M24"/>
  </mergeCells>
  <printOptions horizontalCentered="1"/>
  <pageMargins left="0.7" right="0.7" top="0.75" bottom="0.71" header="0.3" footer="0.3"/>
  <pageSetup scale="65" fitToHeight="5" orientation="landscape" r:id="rId1"/>
  <headerFooter alignWithMargins="0">
    <oddFooter>&amp;L&amp;F&amp;C
&amp;A&amp;RElectric Rate Design Workpapers
Docket No. UE-17xxxx
Page &amp;P of &amp;N</oddFooter>
  </headerFooter>
  <rowBreaks count="1" manualBreakCount="1">
    <brk id="33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AH91"/>
  <sheetViews>
    <sheetView zoomScale="75" zoomScaleNormal="75" zoomScaleSheetLayoutView="80" workbookViewId="0">
      <pane ySplit="10" topLeftCell="A11" activePane="bottomLeft" state="frozen"/>
      <selection activeCell="G31" sqref="G31"/>
      <selection pane="bottomLeft" activeCell="C24" sqref="C24"/>
    </sheetView>
  </sheetViews>
  <sheetFormatPr defaultColWidth="11.6640625" defaultRowHeight="15.6" x14ac:dyDescent="0.3"/>
  <cols>
    <col min="1" max="1" width="45.44140625" style="92" bestFit="1" customWidth="1"/>
    <col min="2" max="2" width="1.5546875" style="92" bestFit="1" customWidth="1"/>
    <col min="3" max="4" width="21.5546875" style="92" bestFit="1" customWidth="1"/>
    <col min="5" max="5" width="20.109375" style="92" bestFit="1" customWidth="1"/>
    <col min="6" max="6" width="2.33203125" style="92" bestFit="1" customWidth="1"/>
    <col min="7" max="7" width="16.44140625" style="92" bestFit="1" customWidth="1"/>
    <col min="8" max="8" width="15.6640625" style="92" customWidth="1"/>
    <col min="9" max="9" width="2.33203125" style="92" bestFit="1" customWidth="1"/>
    <col min="10" max="10" width="15.6640625" style="92" customWidth="1"/>
    <col min="11" max="11" width="2.5546875" style="92" customWidth="1"/>
    <col min="12" max="12" width="11.109375" style="92" customWidth="1"/>
    <col min="13" max="13" width="13.33203125" style="99" bestFit="1" customWidth="1"/>
    <col min="14" max="14" width="23.109375" style="99" customWidth="1"/>
    <col min="15" max="15" width="8.5546875" style="99" bestFit="1" customWidth="1"/>
    <col min="16" max="16" width="8.109375" style="92" bestFit="1" customWidth="1"/>
    <col min="17" max="18" width="1.5546875" style="92" bestFit="1" customWidth="1"/>
    <col min="19" max="19" width="16.109375" style="92" bestFit="1" customWidth="1"/>
    <col min="20" max="20" width="1.5546875" style="92" bestFit="1" customWidth="1"/>
    <col min="21" max="21" width="15.109375" style="92" bestFit="1" customWidth="1"/>
    <col min="22" max="22" width="14.88671875" style="92" bestFit="1" customWidth="1"/>
    <col min="23" max="23" width="14" style="92" bestFit="1" customWidth="1"/>
    <col min="24" max="24" width="6.33203125" style="92" bestFit="1" customWidth="1"/>
    <col min="25" max="25" width="1.5546875" style="92" bestFit="1" customWidth="1"/>
    <col min="26" max="26" width="11.6640625" style="92" customWidth="1"/>
    <col min="27" max="27" width="13.88671875" style="92" customWidth="1"/>
    <col min="28" max="16384" width="11.6640625" style="92"/>
  </cols>
  <sheetData>
    <row r="1" spans="1:34" ht="18" x14ac:dyDescent="0.25">
      <c r="A1" s="402" t="s">
        <v>133</v>
      </c>
      <c r="B1" s="402"/>
      <c r="C1" s="402"/>
      <c r="D1" s="402"/>
      <c r="E1" s="402"/>
      <c r="F1" s="402"/>
      <c r="G1" s="402"/>
      <c r="H1" s="402"/>
      <c r="I1" s="402"/>
      <c r="J1" s="402"/>
      <c r="K1" s="93"/>
      <c r="L1" s="224"/>
      <c r="M1" s="225"/>
      <c r="N1" s="225"/>
      <c r="O1" s="91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</row>
    <row r="2" spans="1:34" ht="18" x14ac:dyDescent="0.25">
      <c r="A2" s="402" t="s">
        <v>134</v>
      </c>
      <c r="B2" s="402"/>
      <c r="C2" s="402"/>
      <c r="D2" s="402"/>
      <c r="E2" s="402"/>
      <c r="F2" s="402"/>
      <c r="G2" s="402"/>
      <c r="H2" s="402"/>
      <c r="I2" s="402"/>
      <c r="J2" s="402"/>
      <c r="K2" s="93"/>
      <c r="L2" s="224"/>
      <c r="M2" s="225"/>
      <c r="N2" s="225"/>
      <c r="O2" s="91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4" ht="15.75" x14ac:dyDescent="0.25">
      <c r="A3" s="403" t="str">
        <f ca="1">'[55]Exhibit No.__(JAP-Prof-Prop)'!$B$6</f>
        <v>12 MONTHS ENDED SEPTEMBER 2016</v>
      </c>
      <c r="B3" s="403"/>
      <c r="C3" s="403"/>
      <c r="D3" s="403"/>
      <c r="E3" s="403"/>
      <c r="F3" s="403"/>
      <c r="G3" s="403"/>
      <c r="H3" s="403"/>
      <c r="I3" s="403"/>
      <c r="J3" s="403"/>
      <c r="K3" s="94"/>
      <c r="L3" s="224"/>
      <c r="M3" s="225"/>
      <c r="N3" s="225"/>
      <c r="O3" s="91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</row>
    <row r="4" spans="1:34" ht="15.75" x14ac:dyDescent="0.25">
      <c r="A4" s="404" t="s">
        <v>135</v>
      </c>
      <c r="B4" s="404"/>
      <c r="C4" s="404"/>
      <c r="D4" s="404"/>
      <c r="E4" s="404"/>
      <c r="F4" s="404"/>
      <c r="G4" s="404"/>
      <c r="H4" s="404"/>
      <c r="I4" s="404"/>
      <c r="J4" s="404"/>
      <c r="K4" s="95"/>
      <c r="L4" s="224"/>
      <c r="M4" s="225"/>
      <c r="N4" s="225"/>
      <c r="O4" s="91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</row>
    <row r="5" spans="1:34" ht="15.75" x14ac:dyDescent="0.25">
      <c r="A5" s="96" t="s">
        <v>188</v>
      </c>
      <c r="B5" s="97"/>
      <c r="C5" s="97"/>
      <c r="D5" s="97"/>
      <c r="E5" s="98"/>
      <c r="F5" s="98"/>
      <c r="G5" s="97"/>
      <c r="H5" s="98"/>
      <c r="I5" s="97"/>
      <c r="J5" s="97"/>
      <c r="K5" s="97"/>
      <c r="L5" s="224"/>
      <c r="M5" s="225"/>
      <c r="N5" s="225"/>
      <c r="O5" s="91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</row>
    <row r="6" spans="1:34" ht="15.75" x14ac:dyDescent="0.25">
      <c r="A6" s="96"/>
      <c r="B6" s="97"/>
      <c r="C6" s="97"/>
      <c r="D6" s="97"/>
      <c r="E6" s="98"/>
      <c r="F6" s="98"/>
      <c r="G6" s="97"/>
      <c r="H6" s="98"/>
      <c r="I6" s="97"/>
      <c r="J6" s="97"/>
      <c r="K6" s="97"/>
      <c r="L6" s="224"/>
      <c r="M6" s="225"/>
      <c r="N6" s="225"/>
      <c r="O6" s="91"/>
      <c r="P6" s="91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</row>
    <row r="7" spans="1:34" ht="15.75" x14ac:dyDescent="0.25">
      <c r="A7" s="97"/>
      <c r="B7" s="97"/>
      <c r="C7" s="97"/>
      <c r="D7" s="97"/>
      <c r="E7" s="98"/>
      <c r="F7" s="98"/>
      <c r="G7" s="97"/>
      <c r="H7" s="98"/>
      <c r="I7" s="97"/>
      <c r="J7" s="97"/>
      <c r="K7" s="97"/>
      <c r="L7" s="224"/>
      <c r="M7" s="225"/>
      <c r="N7" s="225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</row>
    <row r="8" spans="1:34" ht="15.75" x14ac:dyDescent="0.25">
      <c r="A8" s="100"/>
      <c r="B8" s="100"/>
      <c r="C8" s="101"/>
      <c r="D8" s="101"/>
      <c r="E8" s="102"/>
      <c r="F8" s="102"/>
      <c r="G8" s="13"/>
      <c r="H8" s="102"/>
      <c r="I8" s="103"/>
      <c r="J8" s="103"/>
      <c r="K8" s="103"/>
      <c r="L8" s="224"/>
      <c r="M8" s="225"/>
      <c r="N8" s="225"/>
      <c r="O8" s="91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</row>
    <row r="9" spans="1:34" ht="15.75" x14ac:dyDescent="0.25">
      <c r="A9" s="100"/>
      <c r="B9" s="100"/>
      <c r="C9" s="101" t="s">
        <v>122</v>
      </c>
      <c r="D9" s="101" t="s">
        <v>122</v>
      </c>
      <c r="E9" s="405" t="s">
        <v>124</v>
      </c>
      <c r="F9" s="406"/>
      <c r="G9" s="407"/>
      <c r="H9" s="408" t="str">
        <f ca="1">'[55]Exhibit No.__(JAP-Res RD)'!$G$9</f>
        <v>Proposed Effective December 2017</v>
      </c>
      <c r="I9" s="420"/>
      <c r="J9" s="421"/>
      <c r="K9" s="103"/>
      <c r="L9" s="224"/>
      <c r="M9" s="225"/>
      <c r="N9" s="225"/>
      <c r="O9" s="91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</row>
    <row r="10" spans="1:34" ht="15.75" x14ac:dyDescent="0.25">
      <c r="A10" s="100"/>
      <c r="B10" s="100"/>
      <c r="C10" s="104" t="s">
        <v>138</v>
      </c>
      <c r="D10" s="104" t="s">
        <v>36</v>
      </c>
      <c r="E10" s="105" t="s">
        <v>139</v>
      </c>
      <c r="F10" s="106"/>
      <c r="G10" s="103" t="s">
        <v>140</v>
      </c>
      <c r="H10" s="105" t="s">
        <v>139</v>
      </c>
      <c r="I10" s="105"/>
      <c r="J10" s="105" t="s">
        <v>140</v>
      </c>
      <c r="K10" s="105"/>
      <c r="L10" s="224"/>
      <c r="M10" s="225"/>
      <c r="N10" s="225"/>
      <c r="O10" s="91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</row>
    <row r="11" spans="1:34" ht="15.75" x14ac:dyDescent="0.25">
      <c r="A11" s="13"/>
      <c r="B11" s="13"/>
      <c r="C11" s="263"/>
      <c r="D11" s="263"/>
      <c r="E11" s="229" t="s">
        <v>111</v>
      </c>
      <c r="F11" s="263"/>
      <c r="G11" s="264"/>
      <c r="H11" s="108" t="s">
        <v>111</v>
      </c>
      <c r="I11" s="263"/>
      <c r="J11" s="113" t="s">
        <v>111</v>
      </c>
      <c r="K11" s="113"/>
      <c r="L11" s="224"/>
      <c r="M11" s="225"/>
      <c r="N11" s="225"/>
      <c r="O11" s="91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H11" s="136"/>
    </row>
    <row r="12" spans="1:34" ht="15.75" x14ac:dyDescent="0.25">
      <c r="A12" s="107" t="s">
        <v>189</v>
      </c>
      <c r="B12" s="108"/>
      <c r="C12" s="170"/>
      <c r="D12" s="170"/>
      <c r="E12" s="113"/>
      <c r="F12" s="108"/>
      <c r="G12" s="108"/>
      <c r="H12" s="113"/>
      <c r="I12" s="108"/>
      <c r="J12" s="113" t="s">
        <v>111</v>
      </c>
      <c r="K12" s="113"/>
      <c r="L12" s="13"/>
      <c r="M12" s="13"/>
      <c r="N12" s="13"/>
      <c r="O12" s="91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</row>
    <row r="13" spans="1:34" ht="15.75" x14ac:dyDescent="0.25">
      <c r="A13" s="110" t="s">
        <v>190</v>
      </c>
      <c r="B13" s="108"/>
      <c r="C13" s="108" t="s">
        <v>111</v>
      </c>
      <c r="D13" s="108"/>
      <c r="E13" s="113"/>
      <c r="F13" s="108"/>
      <c r="G13" s="108"/>
      <c r="H13" s="113"/>
      <c r="I13" s="108"/>
      <c r="J13" s="108"/>
      <c r="K13" s="108"/>
      <c r="L13" s="13"/>
      <c r="M13" s="13"/>
      <c r="N13" s="13"/>
      <c r="O13" s="91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</row>
    <row r="14" spans="1:34" ht="15.75" x14ac:dyDescent="0.25">
      <c r="A14" s="265" t="s">
        <v>64</v>
      </c>
      <c r="B14" s="108"/>
      <c r="C14" s="108"/>
      <c r="D14" s="108"/>
      <c r="E14" s="113"/>
      <c r="F14" s="108"/>
      <c r="G14" s="108"/>
      <c r="H14" s="113"/>
      <c r="I14" s="108"/>
      <c r="J14" s="108"/>
      <c r="K14" s="108"/>
      <c r="L14" s="13"/>
      <c r="M14" s="13"/>
      <c r="N14" s="13"/>
      <c r="O14" s="91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</row>
    <row r="15" spans="1:34" ht="15.75" x14ac:dyDescent="0.25">
      <c r="A15" s="120" t="s">
        <v>191</v>
      </c>
      <c r="B15" s="108"/>
      <c r="C15" s="266">
        <f ca="1">SUM('[56]Tariff 40'!D6,'[56]Tariff 40'!D9)</f>
        <v>495</v>
      </c>
      <c r="D15" s="266"/>
      <c r="E15" s="171">
        <f ca="1">'[55]Exhibit No.__(JAP-Tariff)'!E103</f>
        <v>51.67</v>
      </c>
      <c r="F15" s="265"/>
      <c r="G15" s="267">
        <f t="shared" ref="G15:G17" ca="1" si="0">ROUND(E15*$C15,0)</f>
        <v>25577</v>
      </c>
      <c r="H15" s="171">
        <f ca="1">'[55]Exhibit No.__(JAP-SV RD)'!G31</f>
        <v>52.3</v>
      </c>
      <c r="I15" s="265"/>
      <c r="J15" s="267">
        <f t="shared" ref="J15:J17" ca="1" si="1">ROUND(H15*$C15,0)</f>
        <v>25889</v>
      </c>
      <c r="K15" s="267"/>
      <c r="L15" s="418" t="s">
        <v>192</v>
      </c>
      <c r="M15" s="418"/>
      <c r="N15" s="418"/>
      <c r="O15" s="91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</row>
    <row r="16" spans="1:34" ht="15.75" x14ac:dyDescent="0.25">
      <c r="A16" s="120" t="s">
        <v>193</v>
      </c>
      <c r="B16" s="108"/>
      <c r="C16" s="266">
        <f ca="1">SUM('[56]Tariff 40'!D7,'[56]Tariff 40'!D10)</f>
        <v>825</v>
      </c>
      <c r="D16" s="266"/>
      <c r="E16" s="171">
        <f ca="1">'[55]Exhibit No.__(JAP-Tariff)'!E104</f>
        <v>104.46</v>
      </c>
      <c r="F16" s="265"/>
      <c r="G16" s="267">
        <f t="shared" ca="1" si="0"/>
        <v>86180</v>
      </c>
      <c r="H16" s="171">
        <f ca="1">'[55]Exhibit No.__(JAP-SV RD)'!G65</f>
        <v>105.74</v>
      </c>
      <c r="I16" s="265"/>
      <c r="J16" s="267">
        <f t="shared" ca="1" si="1"/>
        <v>87236</v>
      </c>
      <c r="K16" s="267"/>
      <c r="L16" s="418" t="s">
        <v>194</v>
      </c>
      <c r="M16" s="418"/>
      <c r="N16" s="418"/>
      <c r="O16" s="91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</row>
    <row r="17" spans="1:27" ht="15.75" x14ac:dyDescent="0.25">
      <c r="A17" s="120" t="s">
        <v>46</v>
      </c>
      <c r="B17" s="108"/>
      <c r="C17" s="266">
        <f ca="1">SUM('[56]Tariff 40'!D8,'[56]Tariff 40'!D11)</f>
        <v>387</v>
      </c>
      <c r="D17" s="266"/>
      <c r="E17" s="171">
        <f ca="1">'[55]Exhibit No.__(JAP-Tariff)'!E105</f>
        <v>339.51</v>
      </c>
      <c r="F17" s="265"/>
      <c r="G17" s="267">
        <f t="shared" ca="1" si="0"/>
        <v>131390</v>
      </c>
      <c r="H17" s="171">
        <f ca="1">'[55]Exhibit No.__(JAP-PV RD)'!G15</f>
        <v>343.66</v>
      </c>
      <c r="I17" s="265"/>
      <c r="J17" s="267">
        <f t="shared" ca="1" si="1"/>
        <v>132996</v>
      </c>
      <c r="K17" s="267"/>
      <c r="L17" s="418" t="s">
        <v>195</v>
      </c>
      <c r="M17" s="418"/>
      <c r="N17" s="418"/>
      <c r="O17" s="91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</row>
    <row r="18" spans="1:27" ht="15.75" x14ac:dyDescent="0.25">
      <c r="A18" s="114" t="s">
        <v>86</v>
      </c>
      <c r="B18" s="108"/>
      <c r="C18" s="266">
        <f ca="1">SUM(C15:C17)</f>
        <v>1707</v>
      </c>
      <c r="D18" s="266"/>
      <c r="E18" s="171"/>
      <c r="F18" s="265"/>
      <c r="G18" s="117">
        <f ca="1">SUM(G15:G17)</f>
        <v>243147</v>
      </c>
      <c r="H18" s="171"/>
      <c r="I18" s="265"/>
      <c r="J18" s="117">
        <f ca="1">SUM(J15:J17)</f>
        <v>246121</v>
      </c>
      <c r="K18" s="267"/>
      <c r="L18" s="196"/>
      <c r="M18" s="225"/>
      <c r="N18" s="225"/>
      <c r="O18" s="91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</row>
    <row r="19" spans="1:27" ht="15.75" x14ac:dyDescent="0.25">
      <c r="A19" s="265"/>
      <c r="B19" s="108"/>
      <c r="C19" s="266"/>
      <c r="D19" s="266"/>
      <c r="E19" s="171"/>
      <c r="F19" s="265"/>
      <c r="G19" s="267"/>
      <c r="H19" s="171"/>
      <c r="I19" s="265"/>
      <c r="J19" s="267"/>
      <c r="K19" s="267"/>
      <c r="L19" s="196"/>
      <c r="M19" s="225"/>
      <c r="N19" s="225"/>
      <c r="O19" s="91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</row>
    <row r="20" spans="1:27" ht="15.75" x14ac:dyDescent="0.25">
      <c r="A20" s="265" t="s">
        <v>66</v>
      </c>
      <c r="B20" s="108"/>
      <c r="C20" s="266"/>
      <c r="D20" s="266"/>
      <c r="E20" s="173"/>
      <c r="F20" s="267"/>
      <c r="G20" s="267"/>
      <c r="H20" s="173"/>
      <c r="I20" s="267"/>
      <c r="J20" s="267"/>
      <c r="K20" s="267"/>
      <c r="L20" s="224"/>
      <c r="M20" s="225"/>
      <c r="N20" s="225"/>
      <c r="O20" s="91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</row>
    <row r="21" spans="1:27" ht="15.75" x14ac:dyDescent="0.25">
      <c r="A21" s="120" t="s">
        <v>43</v>
      </c>
      <c r="B21" s="108"/>
      <c r="C21" s="266">
        <f ca="1">SUM('[56]Tariff 40'!D15,'[56]Tariff 40'!D17)</f>
        <v>286202830</v>
      </c>
      <c r="D21" s="266"/>
      <c r="E21" s="174">
        <f ca="1">'[55]Exhibit No.__(JAP-Tariff)'!E108</f>
        <v>5.6638000000000001E-2</v>
      </c>
      <c r="F21" s="267"/>
      <c r="G21" s="267">
        <f t="shared" ref="G21:G22" ca="1" si="2">ROUND($C21*E21,0)</f>
        <v>16209956</v>
      </c>
      <c r="H21" s="174">
        <f ca="1">G61</f>
        <v>5.3848E-2</v>
      </c>
      <c r="I21" s="267"/>
      <c r="J21" s="267">
        <f t="shared" ref="J21:J22" ca="1" si="3">ROUND($C21*H21,0)</f>
        <v>15411450</v>
      </c>
      <c r="K21" s="267"/>
      <c r="L21" s="418" t="s">
        <v>196</v>
      </c>
      <c r="M21" s="418"/>
      <c r="N21" s="418"/>
      <c r="O21" s="91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</row>
    <row r="22" spans="1:27" ht="15.75" x14ac:dyDescent="0.25">
      <c r="A22" s="120" t="s">
        <v>46</v>
      </c>
      <c r="B22" s="108"/>
      <c r="C22" s="266">
        <f ca="1">SUM('[56]Tariff 40'!D16,'[56]Tariff 40'!D18)</f>
        <v>343241100</v>
      </c>
      <c r="D22" s="266"/>
      <c r="E22" s="174">
        <f ca="1">'[55]Exhibit No.__(JAP-Tariff)'!E110</f>
        <v>5.5190999999999997E-2</v>
      </c>
      <c r="F22" s="267"/>
      <c r="G22" s="267">
        <f t="shared" ca="1" si="2"/>
        <v>18943820</v>
      </c>
      <c r="H22" s="174">
        <f ca="1">G60</f>
        <v>5.1728999999999997E-2</v>
      </c>
      <c r="I22" s="267"/>
      <c r="J22" s="267">
        <f t="shared" ca="1" si="3"/>
        <v>17755519</v>
      </c>
      <c r="K22" s="267"/>
      <c r="L22" s="418" t="s">
        <v>196</v>
      </c>
      <c r="M22" s="418"/>
      <c r="N22" s="418"/>
      <c r="O22" s="91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</row>
    <row r="23" spans="1:27" ht="15.75" x14ac:dyDescent="0.25">
      <c r="A23" s="114" t="s">
        <v>86</v>
      </c>
      <c r="B23" s="108"/>
      <c r="C23" s="268">
        <f ca="1">SUM(C21:C22)</f>
        <v>629443930</v>
      </c>
      <c r="D23" s="233"/>
      <c r="E23" s="158"/>
      <c r="F23" s="265"/>
      <c r="G23" s="117">
        <f ca="1">SUM(G21:G22)</f>
        <v>35153776</v>
      </c>
      <c r="H23" s="158"/>
      <c r="I23" s="265"/>
      <c r="J23" s="117">
        <f ca="1">SUM(J21:J22)</f>
        <v>33166969</v>
      </c>
      <c r="K23" s="113"/>
      <c r="L23" s="284"/>
      <c r="M23" s="284"/>
      <c r="N23" s="284"/>
      <c r="O23" s="91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</row>
    <row r="24" spans="1:27" ht="15.75" x14ac:dyDescent="0.25">
      <c r="A24" s="120" t="s">
        <v>197</v>
      </c>
      <c r="B24" s="108"/>
      <c r="C24" s="266">
        <f ca="1">'[56]Tariff 40'!$D$20</f>
        <v>423503.04529972037</v>
      </c>
      <c r="D24" s="266"/>
      <c r="E24" s="174">
        <f ca="1">E21</f>
        <v>5.6638000000000001E-2</v>
      </c>
      <c r="F24" s="265"/>
      <c r="G24" s="267">
        <f t="shared" ref="G24:G25" ca="1" si="4">ROUND($C24*E24,0)</f>
        <v>23986</v>
      </c>
      <c r="H24" s="174">
        <f ca="1">H21</f>
        <v>5.3848E-2</v>
      </c>
      <c r="I24" s="265"/>
      <c r="J24" s="267">
        <f t="shared" ref="J24:J26" ca="1" si="5">ROUND($C24*H24,0)</f>
        <v>22805</v>
      </c>
      <c r="K24" s="113"/>
      <c r="L24" s="418" t="s">
        <v>196</v>
      </c>
      <c r="M24" s="418"/>
      <c r="N24" s="418"/>
      <c r="O24" s="91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</row>
    <row r="25" spans="1:27" ht="15.75" x14ac:dyDescent="0.25">
      <c r="A25" s="120" t="s">
        <v>198</v>
      </c>
      <c r="B25" s="108"/>
      <c r="C25" s="266">
        <f ca="1">'[56]Tariff 40'!$D$21</f>
        <v>-30131.256685476576</v>
      </c>
      <c r="D25" s="266"/>
      <c r="E25" s="174">
        <f ca="1">E22</f>
        <v>5.5190999999999997E-2</v>
      </c>
      <c r="F25" s="265"/>
      <c r="G25" s="267">
        <f t="shared" ca="1" si="4"/>
        <v>-1663</v>
      </c>
      <c r="H25" s="174">
        <f ca="1">H22</f>
        <v>5.1728999999999997E-2</v>
      </c>
      <c r="I25" s="265"/>
      <c r="J25" s="267">
        <f t="shared" ca="1" si="5"/>
        <v>-1559</v>
      </c>
      <c r="K25" s="113"/>
      <c r="L25" s="418" t="s">
        <v>196</v>
      </c>
      <c r="M25" s="418"/>
      <c r="N25" s="418"/>
      <c r="O25" s="91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</row>
    <row r="26" spans="1:27" ht="15.75" x14ac:dyDescent="0.25">
      <c r="A26" s="126" t="s">
        <v>69</v>
      </c>
      <c r="B26" s="108"/>
      <c r="C26" s="233">
        <f ca="1">'[56]Tariff 40'!$D$19</f>
        <v>-8158575.4494833089</v>
      </c>
      <c r="D26" s="233"/>
      <c r="E26" s="174">
        <f ca="1">ROUND(G26/C26,6)</f>
        <v>6.2047999999999999E-2</v>
      </c>
      <c r="F26" s="229"/>
      <c r="G26" s="267">
        <f ca="1">SUM('[56]Tariff 40'!$D$84:$D$85)</f>
        <v>-506225</v>
      </c>
      <c r="H26" s="174">
        <f ca="1">ROUND(SUM(J18,J23:J25,J32,J37,J39)/SUM(C23:C25),6)</f>
        <v>7.2567000000000006E-2</v>
      </c>
      <c r="I26" s="229"/>
      <c r="J26" s="267">
        <f t="shared" ca="1" si="5"/>
        <v>-592043</v>
      </c>
      <c r="K26" s="119"/>
      <c r="L26" s="418" t="s">
        <v>199</v>
      </c>
      <c r="M26" s="418"/>
      <c r="N26" s="418"/>
    </row>
    <row r="27" spans="1:27" ht="15.75" x14ac:dyDescent="0.25">
      <c r="A27" s="114" t="s">
        <v>86</v>
      </c>
      <c r="B27" s="108"/>
      <c r="C27" s="268">
        <f ca="1">SUM(C23:C26)</f>
        <v>621678726.339131</v>
      </c>
      <c r="D27" s="233"/>
      <c r="E27" s="229"/>
      <c r="F27" s="229"/>
      <c r="G27" s="117">
        <f ca="1">SUM(G23:G26)</f>
        <v>34669874</v>
      </c>
      <c r="H27" s="229"/>
      <c r="I27" s="229"/>
      <c r="J27" s="117">
        <f ca="1">SUM(J23:J26)</f>
        <v>32596172</v>
      </c>
      <c r="K27" s="119"/>
      <c r="L27" s="284"/>
      <c r="M27" s="284"/>
      <c r="N27" s="284"/>
    </row>
    <row r="28" spans="1:27" ht="15.75" x14ac:dyDescent="0.25">
      <c r="A28" s="114"/>
      <c r="B28" s="108"/>
      <c r="C28" s="233"/>
      <c r="D28" s="233"/>
      <c r="E28" s="229"/>
      <c r="F28" s="229"/>
      <c r="G28" s="119"/>
      <c r="H28" s="229"/>
      <c r="I28" s="229"/>
      <c r="J28" s="119"/>
      <c r="K28" s="119"/>
      <c r="L28" s="284"/>
      <c r="M28" s="284"/>
      <c r="N28" s="284"/>
    </row>
    <row r="29" spans="1:27" ht="15.75" x14ac:dyDescent="0.25">
      <c r="A29" s="229" t="s">
        <v>70</v>
      </c>
      <c r="B29" s="108"/>
      <c r="C29" s="266"/>
      <c r="D29" s="266"/>
      <c r="E29" s="176"/>
      <c r="F29" s="265"/>
      <c r="G29" s="267"/>
      <c r="H29" s="176"/>
      <c r="I29" s="265"/>
      <c r="J29" s="267"/>
      <c r="K29" s="267"/>
      <c r="L29" s="284"/>
      <c r="M29" s="284"/>
      <c r="N29" s="284"/>
    </row>
    <row r="30" spans="1:27" ht="15.75" x14ac:dyDescent="0.25">
      <c r="A30" s="120" t="s">
        <v>200</v>
      </c>
      <c r="B30" s="108"/>
      <c r="C30" s="266">
        <f ca="1">'[57]Customer Demand'!$G$34</f>
        <v>578556</v>
      </c>
      <c r="D30" s="266">
        <f ca="1">'[57]Customer Demand'!$D$34</f>
        <v>570788</v>
      </c>
      <c r="E30" s="171">
        <f ca="1">'[55]Exhibit No.__(JAP-Tariff)'!E114</f>
        <v>4.2</v>
      </c>
      <c r="F30" s="265"/>
      <c r="G30" s="267">
        <f t="shared" ref="G30:G31" ca="1" si="6">ROUND(E30*$C30,0)</f>
        <v>2429935</v>
      </c>
      <c r="H30" s="171">
        <f ca="1">G57</f>
        <v>6.13</v>
      </c>
      <c r="I30" s="265"/>
      <c r="J30" s="267">
        <f ca="1">ROUND($D30*H30,0)</f>
        <v>3498930</v>
      </c>
      <c r="K30" s="267"/>
      <c r="L30" s="418" t="s">
        <v>201</v>
      </c>
      <c r="M30" s="418"/>
      <c r="N30" s="418"/>
      <c r="O30" s="92"/>
    </row>
    <row r="31" spans="1:27" ht="15.75" x14ac:dyDescent="0.25">
      <c r="A31" s="120" t="s">
        <v>202</v>
      </c>
      <c r="B31" s="108"/>
      <c r="C31" s="266">
        <f ca="1">'[57]Customer Demand'!$G$35</f>
        <v>628883</v>
      </c>
      <c r="D31" s="266">
        <f ca="1">'[57]Customer Demand'!$D$35</f>
        <v>627620</v>
      </c>
      <c r="E31" s="171">
        <f ca="1">'[55]Exhibit No.__(JAP-Tariff)'!E115</f>
        <v>4.1100000000000003</v>
      </c>
      <c r="F31" s="265"/>
      <c r="G31" s="267">
        <f t="shared" ca="1" si="6"/>
        <v>2584709</v>
      </c>
      <c r="H31" s="171">
        <f ca="1">G56</f>
        <v>5.88</v>
      </c>
      <c r="I31" s="265"/>
      <c r="J31" s="267">
        <f ca="1">ROUND($D31*H31,0)</f>
        <v>3690406</v>
      </c>
      <c r="K31" s="267"/>
      <c r="L31" s="418" t="s">
        <v>201</v>
      </c>
      <c r="M31" s="418"/>
      <c r="N31" s="418"/>
      <c r="O31" s="92"/>
    </row>
    <row r="32" spans="1:27" ht="15.75" x14ac:dyDescent="0.25">
      <c r="A32" s="114" t="s">
        <v>86</v>
      </c>
      <c r="B32" s="108"/>
      <c r="C32" s="268">
        <f ca="1">SUM(C30:C31)</f>
        <v>1207439</v>
      </c>
      <c r="D32" s="268">
        <f ca="1">SUM(D30:D31)</f>
        <v>1198408</v>
      </c>
      <c r="E32" s="176"/>
      <c r="F32" s="265"/>
      <c r="G32" s="270">
        <f ca="1">SUM(G30:G31)</f>
        <v>5014644</v>
      </c>
      <c r="H32" s="176"/>
      <c r="I32" s="265"/>
      <c r="J32" s="270">
        <f ca="1">SUM(J30:J31)</f>
        <v>7189336</v>
      </c>
      <c r="K32" s="267"/>
      <c r="L32" s="196"/>
      <c r="M32" s="225"/>
      <c r="N32" s="225"/>
    </row>
    <row r="33" spans="1:14" ht="15.75" x14ac:dyDescent="0.25">
      <c r="A33" s="108"/>
      <c r="B33" s="108"/>
      <c r="C33" s="233"/>
      <c r="D33" s="233"/>
      <c r="E33" s="233"/>
      <c r="F33" s="229"/>
      <c r="G33" s="119"/>
      <c r="H33" s="233"/>
      <c r="I33" s="229"/>
      <c r="J33" s="119"/>
      <c r="K33" s="119"/>
      <c r="L33" s="196"/>
      <c r="M33" s="225"/>
      <c r="N33" s="225"/>
    </row>
    <row r="34" spans="1:14" ht="15.75" x14ac:dyDescent="0.25">
      <c r="A34" s="110" t="s">
        <v>203</v>
      </c>
      <c r="B34" s="108"/>
      <c r="C34" s="233"/>
      <c r="D34" s="233"/>
      <c r="E34" s="233"/>
      <c r="F34" s="229"/>
      <c r="G34" s="119"/>
      <c r="H34" s="233"/>
      <c r="I34" s="229"/>
      <c r="J34" s="119"/>
      <c r="K34" s="119"/>
      <c r="L34" s="196"/>
      <c r="M34" s="225"/>
      <c r="N34" s="225"/>
    </row>
    <row r="35" spans="1:14" ht="15.75" x14ac:dyDescent="0.25">
      <c r="A35" s="120" t="s">
        <v>43</v>
      </c>
      <c r="B35" s="108"/>
      <c r="C35" s="233">
        <f ca="1">SUM('[56]Tariff 40'!D36,'[56]Tariff 40'!D38)</f>
        <v>61195990</v>
      </c>
      <c r="D35" s="233"/>
      <c r="E35" s="179">
        <v>1.24E-3</v>
      </c>
      <c r="F35" s="229"/>
      <c r="G35" s="267">
        <f t="shared" ref="G35:G36" ca="1" si="7">ROUND(E35*$C35,0)</f>
        <v>75883</v>
      </c>
      <c r="H35" s="179">
        <f ca="1">'[55]Exhibit No.__(JAP-SV RD)'!G77</f>
        <v>1.2600000000000001E-3</v>
      </c>
      <c r="I35" s="229"/>
      <c r="J35" s="267">
        <f ca="1">ROUND($C35*H35,0)</f>
        <v>77107</v>
      </c>
      <c r="K35" s="119"/>
      <c r="L35" s="418" t="s">
        <v>194</v>
      </c>
      <c r="M35" s="418"/>
      <c r="N35" s="418"/>
    </row>
    <row r="36" spans="1:14" ht="15.75" x14ac:dyDescent="0.25">
      <c r="A36" s="120" t="s">
        <v>46</v>
      </c>
      <c r="B36" s="108"/>
      <c r="C36" s="233">
        <f ca="1">SUM('[56]Tariff 40'!D37,'[56]Tariff 40'!D39)</f>
        <v>98712577</v>
      </c>
      <c r="D36" s="233"/>
      <c r="E36" s="179">
        <f ca="1">'[55]Exhibit No.__(JAP-Tariff)'!E120</f>
        <v>1.08E-3</v>
      </c>
      <c r="F36" s="229"/>
      <c r="G36" s="267">
        <f t="shared" ca="1" si="7"/>
        <v>106610</v>
      </c>
      <c r="H36" s="179">
        <f ca="1">'[55]Exhibit No.__(JAP-PV RD)'!G27</f>
        <v>1.07E-3</v>
      </c>
      <c r="I36" s="229"/>
      <c r="J36" s="267">
        <f ca="1">ROUND($C36*H36,0)</f>
        <v>105622</v>
      </c>
      <c r="K36" s="119"/>
      <c r="L36" s="418" t="s">
        <v>195</v>
      </c>
      <c r="M36" s="418"/>
      <c r="N36" s="418"/>
    </row>
    <row r="37" spans="1:14" ht="15.75" x14ac:dyDescent="0.25">
      <c r="A37" s="114" t="s">
        <v>86</v>
      </c>
      <c r="B37" s="108"/>
      <c r="C37" s="268">
        <f ca="1">SUM(C33:C36)</f>
        <v>159908567</v>
      </c>
      <c r="D37" s="233"/>
      <c r="E37" s="179"/>
      <c r="F37" s="265"/>
      <c r="G37" s="270">
        <f ca="1">SUM(G35:G36)</f>
        <v>182493</v>
      </c>
      <c r="H37" s="179"/>
      <c r="I37" s="265"/>
      <c r="J37" s="270">
        <f ca="1">SUM(J35:J36)</f>
        <v>182729</v>
      </c>
      <c r="K37" s="119"/>
      <c r="L37" s="196"/>
      <c r="M37" s="225"/>
      <c r="N37" s="225"/>
    </row>
    <row r="38" spans="1:14" ht="15.75" x14ac:dyDescent="0.25">
      <c r="A38" s="108"/>
      <c r="B38" s="108"/>
      <c r="C38" s="266"/>
      <c r="D38" s="266"/>
      <c r="E38" s="179"/>
      <c r="F38" s="265"/>
      <c r="G38" s="267"/>
      <c r="H38" s="179"/>
      <c r="I38" s="265"/>
      <c r="J38" s="267"/>
      <c r="K38" s="119"/>
      <c r="L38" s="196"/>
      <c r="M38" s="225"/>
      <c r="N38" s="225"/>
    </row>
    <row r="39" spans="1:14" ht="15.75" x14ac:dyDescent="0.25">
      <c r="A39" s="108" t="s">
        <v>204</v>
      </c>
      <c r="B39" s="108"/>
      <c r="C39" s="266"/>
      <c r="D39" s="266"/>
      <c r="E39" s="179"/>
      <c r="F39" s="265"/>
      <c r="G39" s="270">
        <f ca="1">'[56]Tariff 40'!$D$111</f>
        <v>3441161.8012620001</v>
      </c>
      <c r="H39" s="179"/>
      <c r="I39" s="265"/>
      <c r="J39" s="270">
        <f ca="1">'[58]Distribution Revenue'!$H$30</f>
        <v>4898827.5</v>
      </c>
      <c r="K39" s="119"/>
      <c r="L39" s="418" t="s">
        <v>205</v>
      </c>
      <c r="M39" s="418"/>
      <c r="N39" s="418"/>
    </row>
    <row r="40" spans="1:14" ht="15.75" x14ac:dyDescent="0.25">
      <c r="A40" s="108"/>
      <c r="B40" s="108"/>
      <c r="C40" s="233"/>
      <c r="D40" s="233"/>
      <c r="E40" s="233"/>
      <c r="F40" s="229"/>
      <c r="G40" s="119"/>
      <c r="H40" s="179"/>
      <c r="I40" s="229"/>
      <c r="J40" s="119"/>
      <c r="K40" s="119"/>
      <c r="L40" s="271"/>
      <c r="M40" s="269"/>
      <c r="N40" s="225"/>
    </row>
    <row r="41" spans="1:14" ht="16.5" thickBot="1" x14ac:dyDescent="0.3">
      <c r="A41" s="108" t="s">
        <v>154</v>
      </c>
      <c r="B41" s="108"/>
      <c r="C41" s="233"/>
      <c r="D41" s="233"/>
      <c r="E41" s="233"/>
      <c r="F41" s="229"/>
      <c r="G41" s="272">
        <f ca="1">SUM(G39,G37,G32,G27,G18)</f>
        <v>43551319.801261999</v>
      </c>
      <c r="H41" s="233"/>
      <c r="I41" s="229"/>
      <c r="J41" s="272">
        <f ca="1">SUM(J39,J37,J32,J27,J18)</f>
        <v>45113185.5</v>
      </c>
      <c r="K41" s="273"/>
      <c r="L41" s="271"/>
      <c r="M41" s="269"/>
      <c r="N41" s="225"/>
    </row>
    <row r="42" spans="1:14" ht="16.5" thickTop="1" x14ac:dyDescent="0.25">
      <c r="A42" s="108"/>
      <c r="B42" s="274"/>
      <c r="C42" s="233"/>
      <c r="D42" s="233"/>
      <c r="E42" s="233"/>
      <c r="F42" s="108"/>
      <c r="G42" s="113"/>
      <c r="H42" s="233"/>
      <c r="I42" s="108"/>
      <c r="J42" s="113"/>
      <c r="K42" s="113"/>
      <c r="L42" s="271"/>
      <c r="M42" s="269"/>
      <c r="N42" s="225"/>
    </row>
    <row r="43" spans="1:14" ht="15.75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285">
        <f ca="1">'[55]Exhibit No.__(JAP-Rate Spread)'!K22*1000</f>
        <v>45113185.500063345</v>
      </c>
      <c r="K43" s="286"/>
      <c r="L43" s="422" t="s">
        <v>206</v>
      </c>
      <c r="M43" s="422"/>
      <c r="N43" s="423"/>
    </row>
    <row r="44" spans="1:14" ht="15.75" customHeight="1" x14ac:dyDescent="0.25">
      <c r="A44" s="13"/>
      <c r="B44" s="108"/>
      <c r="C44" s="170"/>
      <c r="D44" s="170"/>
      <c r="E44" s="113"/>
      <c r="F44" s="108"/>
      <c r="G44" s="108"/>
      <c r="H44" s="113"/>
      <c r="I44" s="108"/>
      <c r="J44" s="287">
        <f ca="1">J43-J41-J62</f>
        <v>6.3344836235046387E-5</v>
      </c>
      <c r="K44" s="119"/>
      <c r="L44" s="424" t="s">
        <v>207</v>
      </c>
      <c r="M44" s="425"/>
      <c r="N44" s="426" t="s">
        <v>111</v>
      </c>
    </row>
    <row r="45" spans="1:14" ht="15.75" x14ac:dyDescent="0.25">
      <c r="A45" s="13"/>
      <c r="B45" s="108"/>
      <c r="C45" s="170"/>
      <c r="D45" s="170"/>
      <c r="E45" s="113"/>
      <c r="F45" s="108"/>
      <c r="G45" s="108"/>
      <c r="H45" s="113"/>
      <c r="I45" s="108"/>
      <c r="J45" s="288">
        <f ca="1">J43/SUM(G59,G41)-1</f>
        <v>3.5862647868537323E-2</v>
      </c>
      <c r="K45" s="198"/>
      <c r="L45" s="289"/>
      <c r="M45" s="290"/>
      <c r="N45" s="245"/>
    </row>
    <row r="46" spans="1:14" ht="15.75" x14ac:dyDescent="0.25">
      <c r="A46" s="13" t="s">
        <v>208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34"/>
      <c r="N46" s="34"/>
    </row>
    <row r="47" spans="1:14" x14ac:dyDescent="0.3">
      <c r="A47" s="120" t="s">
        <v>209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34"/>
      <c r="N47" s="34"/>
    </row>
    <row r="48" spans="1:14" x14ac:dyDescent="0.3">
      <c r="A48" s="199" t="s">
        <v>210</v>
      </c>
      <c r="B48" s="13"/>
      <c r="C48" s="291">
        <f ca="1">ROUND('[58]2017 FCR Rates'!$H$7,2)</f>
        <v>0.95</v>
      </c>
      <c r="D48" s="292"/>
      <c r="E48" s="13"/>
      <c r="F48" s="13"/>
      <c r="G48" s="13"/>
      <c r="H48" s="13"/>
      <c r="I48" s="13"/>
      <c r="J48" s="13"/>
      <c r="K48" s="13"/>
      <c r="L48" s="13"/>
      <c r="M48" s="34"/>
      <c r="N48" s="34"/>
    </row>
    <row r="49" spans="1:14" x14ac:dyDescent="0.3">
      <c r="A49" s="120" t="s">
        <v>211</v>
      </c>
      <c r="B49" s="13"/>
      <c r="C49" s="36"/>
      <c r="D49" s="36"/>
      <c r="E49" s="36"/>
      <c r="F49" s="13"/>
      <c r="G49" s="13"/>
      <c r="H49" s="13"/>
      <c r="I49" s="13"/>
      <c r="J49" s="13"/>
      <c r="K49" s="13"/>
      <c r="L49" s="13"/>
      <c r="M49" s="34"/>
      <c r="N49" s="34"/>
    </row>
    <row r="50" spans="1:14" x14ac:dyDescent="0.3">
      <c r="A50" s="200" t="s">
        <v>212</v>
      </c>
      <c r="B50" s="13"/>
      <c r="C50" s="292">
        <f ca="1">'[58]2017 FCR Rates'!$G$10</f>
        <v>1.7552976600949292E-2</v>
      </c>
      <c r="D50" s="292"/>
      <c r="E50" s="292"/>
      <c r="F50" s="13"/>
      <c r="G50" s="13"/>
      <c r="H50" s="13"/>
      <c r="I50" s="13"/>
      <c r="J50" s="13"/>
      <c r="K50" s="13"/>
      <c r="L50" s="13"/>
      <c r="M50" s="34"/>
      <c r="N50" s="34"/>
    </row>
    <row r="51" spans="1:14" x14ac:dyDescent="0.3">
      <c r="A51" s="200" t="s">
        <v>18</v>
      </c>
      <c r="B51" s="13"/>
      <c r="C51" s="292">
        <f ca="1">'[58]2017 FCR Rates'!$G$11</f>
        <v>3.7069728960821585E-2</v>
      </c>
      <c r="D51" s="292">
        <f ca="1">+C51-C50</f>
        <v>1.9516752359872293E-2</v>
      </c>
      <c r="E51" s="13"/>
      <c r="F51" s="13"/>
      <c r="G51" s="13"/>
      <c r="H51" s="13"/>
      <c r="I51" s="13"/>
      <c r="J51" s="13"/>
      <c r="K51" s="13"/>
      <c r="L51" s="13"/>
      <c r="M51" s="34"/>
      <c r="N51" s="34"/>
    </row>
    <row r="52" spans="1:14" x14ac:dyDescent="0.3">
      <c r="A52" s="200" t="s">
        <v>213</v>
      </c>
      <c r="B52" s="13"/>
      <c r="C52" s="292">
        <f ca="1">'[58]2017 FCR Rates'!$G$12</f>
        <v>7.8836606634277315E-2</v>
      </c>
      <c r="D52" s="292">
        <f ca="1">+C52-C50</f>
        <v>6.1283630033328026E-2</v>
      </c>
      <c r="E52" s="13"/>
      <c r="F52" s="13"/>
      <c r="G52" s="13"/>
      <c r="H52" s="13"/>
      <c r="I52" s="13"/>
      <c r="J52" s="13"/>
      <c r="K52" s="13"/>
      <c r="L52" s="13"/>
      <c r="M52" s="34"/>
      <c r="N52" s="34"/>
    </row>
    <row r="53" spans="1:14" x14ac:dyDescent="0.3">
      <c r="A53" s="201"/>
      <c r="B53" s="37"/>
      <c r="C53" s="37"/>
      <c r="D53" s="293"/>
      <c r="E53" s="13"/>
      <c r="F53" s="13"/>
      <c r="G53" s="13"/>
      <c r="H53" s="13"/>
      <c r="I53" s="13"/>
      <c r="J53" s="13"/>
      <c r="K53" s="13"/>
      <c r="L53" s="13"/>
      <c r="M53" s="34"/>
      <c r="N53" s="34"/>
    </row>
    <row r="54" spans="1:14" x14ac:dyDescent="0.3">
      <c r="A54" s="120" t="s">
        <v>84</v>
      </c>
      <c r="B54" s="37"/>
      <c r="C54" s="202" t="s">
        <v>214</v>
      </c>
      <c r="D54" s="202" t="s">
        <v>215</v>
      </c>
      <c r="E54" s="203" t="s">
        <v>216</v>
      </c>
      <c r="F54" s="203"/>
      <c r="G54" s="204" t="s">
        <v>217</v>
      </c>
      <c r="H54" s="13"/>
      <c r="I54" s="13"/>
      <c r="J54" s="13"/>
      <c r="K54" s="13"/>
      <c r="L54" s="13"/>
      <c r="M54" s="34"/>
      <c r="N54" s="34"/>
    </row>
    <row r="55" spans="1:14" x14ac:dyDescent="0.3">
      <c r="A55" s="205" t="s">
        <v>218</v>
      </c>
      <c r="B55" s="13"/>
      <c r="C55" s="294">
        <f ca="1">'[55]Exhibit No.__(JAP-Tariff)'!E116</f>
        <v>4.0199999999999996</v>
      </c>
      <c r="D55" s="294">
        <f ca="1">ROUND(C55*$C$48,2)</f>
        <v>3.82</v>
      </c>
      <c r="E55" s="294">
        <f ca="1">'[55]Exhibit No.__(JAP-HV RD)'!G35</f>
        <v>5.48</v>
      </c>
      <c r="F55" s="13"/>
      <c r="G55" s="13">
        <f ca="1">ROUND(E55/$C$48,2)</f>
        <v>5.77</v>
      </c>
      <c r="H55" s="13"/>
      <c r="I55" s="13"/>
      <c r="J55" s="13"/>
      <c r="K55" s="13"/>
      <c r="L55" s="13"/>
      <c r="M55" s="34"/>
      <c r="N55" s="34"/>
    </row>
    <row r="56" spans="1:14" x14ac:dyDescent="0.3">
      <c r="A56" s="205" t="s">
        <v>219</v>
      </c>
      <c r="B56" s="13"/>
      <c r="C56" s="294">
        <f ca="1">'[55]Exhibit No.__(JAP-Tariff)'!E115</f>
        <v>4.1100000000000003</v>
      </c>
      <c r="D56" s="294">
        <f ca="1">ROUND(C56*$C$48,2)</f>
        <v>3.9</v>
      </c>
      <c r="E56" s="294">
        <f ca="1">ROUND(+E55*(1+D51),2)</f>
        <v>5.59</v>
      </c>
      <c r="F56" s="13"/>
      <c r="G56" s="13">
        <f ca="1">ROUND(E56/$C$48,2)</f>
        <v>5.88</v>
      </c>
      <c r="H56" s="13"/>
      <c r="I56" s="13"/>
      <c r="J56" s="13"/>
      <c r="K56" s="13"/>
      <c r="L56" s="13"/>
      <c r="M56" s="34"/>
      <c r="N56" s="34"/>
    </row>
    <row r="57" spans="1:14" x14ac:dyDescent="0.3">
      <c r="A57" s="205" t="s">
        <v>220</v>
      </c>
      <c r="B57" s="13"/>
      <c r="C57" s="294">
        <f ca="1">'[55]Exhibit No.__(JAP-Tariff)'!E114</f>
        <v>4.2</v>
      </c>
      <c r="D57" s="294">
        <f ca="1">ROUND(C57*$C$48,2)</f>
        <v>3.99</v>
      </c>
      <c r="E57" s="294">
        <f ca="1">ROUND(+E55*(1+D52),2)</f>
        <v>5.82</v>
      </c>
      <c r="F57" s="13"/>
      <c r="G57" s="13">
        <f ca="1">ROUND(E57/$C$48,2)</f>
        <v>6.13</v>
      </c>
      <c r="H57" s="13"/>
      <c r="I57" s="13"/>
      <c r="J57" s="13"/>
      <c r="K57" s="13"/>
      <c r="L57" s="13"/>
      <c r="M57" s="34"/>
      <c r="N57" s="34"/>
    </row>
    <row r="58" spans="1:14" x14ac:dyDescent="0.3">
      <c r="A58" s="120" t="s">
        <v>85</v>
      </c>
      <c r="B58" s="37"/>
      <c r="C58" s="37"/>
      <c r="D58" s="293"/>
      <c r="E58" s="13" t="s">
        <v>216</v>
      </c>
      <c r="F58" s="13"/>
      <c r="G58" s="295" t="s">
        <v>217</v>
      </c>
      <c r="H58" s="13"/>
      <c r="I58" s="13"/>
      <c r="J58" s="13"/>
      <c r="K58" s="13"/>
      <c r="L58" s="13"/>
      <c r="M58" s="34"/>
      <c r="N58" s="34"/>
    </row>
    <row r="59" spans="1:14" x14ac:dyDescent="0.3">
      <c r="A59" s="205" t="s">
        <v>218</v>
      </c>
      <c r="B59" s="13"/>
      <c r="C59" s="174">
        <f ca="1">'[55]Exhibit No.__(JAP-Tariff)'!E111</f>
        <v>5.4413000000000003E-2</v>
      </c>
      <c r="D59" s="296"/>
      <c r="E59" s="297">
        <f ca="1">ROUND('[55]Exhibit No.__(JAP-HV RD)'!G31,6)</f>
        <v>5.0738999999999999E-2</v>
      </c>
      <c r="F59" s="296"/>
      <c r="G59" s="296">
        <f ca="1">E59</f>
        <v>5.0738999999999999E-2</v>
      </c>
      <c r="H59" s="13"/>
      <c r="I59" s="13"/>
      <c r="J59" s="13"/>
      <c r="K59" s="13"/>
      <c r="L59" s="13"/>
      <c r="M59" s="34"/>
      <c r="N59" s="34"/>
    </row>
    <row r="60" spans="1:14" x14ac:dyDescent="0.3">
      <c r="A60" s="205" t="s">
        <v>219</v>
      </c>
      <c r="B60" s="13"/>
      <c r="C60" s="174">
        <f ca="1">'[55]Exhibit No.__(JAP-Tariff)'!E110</f>
        <v>5.5190999999999997E-2</v>
      </c>
      <c r="D60" s="296"/>
      <c r="E60" s="13"/>
      <c r="F60" s="296"/>
      <c r="G60" s="296">
        <f ca="1">ROUND(+E59*(1+D51),6)</f>
        <v>5.1728999999999997E-2</v>
      </c>
      <c r="H60" s="13"/>
      <c r="I60" s="13"/>
      <c r="J60" s="13"/>
      <c r="K60" s="13"/>
      <c r="L60" s="13"/>
      <c r="M60" s="34"/>
      <c r="N60" s="34"/>
    </row>
    <row r="61" spans="1:14" x14ac:dyDescent="0.3">
      <c r="A61" s="205" t="s">
        <v>220</v>
      </c>
      <c r="B61" s="13"/>
      <c r="C61" s="174">
        <f ca="1">'[55]Exhibit No.__(JAP-Tariff)'!E109</f>
        <v>5.6638000000000001E-2</v>
      </c>
      <c r="D61" s="296"/>
      <c r="E61" s="13"/>
      <c r="F61" s="296"/>
      <c r="G61" s="296">
        <f ca="1">ROUND(+E59*(1+D52),6)</f>
        <v>5.3848E-2</v>
      </c>
      <c r="H61" s="13"/>
      <c r="I61" s="13"/>
      <c r="J61" s="13"/>
      <c r="K61" s="13"/>
      <c r="L61" s="13"/>
      <c r="M61" s="34"/>
      <c r="N61" s="34"/>
    </row>
    <row r="62" spans="1:14" x14ac:dyDescent="0.3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34"/>
      <c r="N62" s="34"/>
    </row>
    <row r="63" spans="1:14" x14ac:dyDescent="0.3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34"/>
      <c r="N63" s="34"/>
    </row>
    <row r="64" spans="1:14" ht="16.2" thickBot="1" x14ac:dyDescent="0.3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34"/>
      <c r="N64" s="34"/>
    </row>
    <row r="65" spans="1:15" s="212" customFormat="1" ht="56.4" thickBot="1" x14ac:dyDescent="0.35">
      <c r="A65" s="206" t="s">
        <v>221</v>
      </c>
      <c r="B65" s="207"/>
      <c r="C65" s="208" t="s">
        <v>222</v>
      </c>
      <c r="D65" s="208" t="s">
        <v>223</v>
      </c>
      <c r="E65" s="208" t="s">
        <v>224</v>
      </c>
      <c r="F65" s="208"/>
      <c r="G65" s="209" t="s">
        <v>225</v>
      </c>
      <c r="H65" s="209" t="s">
        <v>226</v>
      </c>
      <c r="I65" s="208"/>
      <c r="J65" s="209" t="s">
        <v>227</v>
      </c>
      <c r="K65" s="298"/>
      <c r="L65" s="209" t="s">
        <v>228</v>
      </c>
      <c r="M65" s="210" t="s">
        <v>229</v>
      </c>
      <c r="N65" s="299"/>
      <c r="O65" s="211"/>
    </row>
    <row r="66" spans="1:15" x14ac:dyDescent="0.3">
      <c r="A66" s="300" t="str">
        <f ca="1">'[56]Tariff 40'!B47</f>
        <v>kW - Cust 1</v>
      </c>
      <c r="B66" s="301"/>
      <c r="C66" s="302">
        <f ca="1">ROUND($E$31*G66,2)</f>
        <v>3.66</v>
      </c>
      <c r="D66" s="302">
        <f ca="1">ROUND($E$30*G66,2)</f>
        <v>3.74</v>
      </c>
      <c r="E66" s="302">
        <f ca="1">ROUND(H66*G66,2)</f>
        <v>3.81</v>
      </c>
      <c r="F66" s="301"/>
      <c r="G66" s="303">
        <f ca="1">'[58]Tariff Summary'!I30</f>
        <v>0.88980000000000004</v>
      </c>
      <c r="H66" s="302">
        <f ca="1">SUM(J66,L66,M66)</f>
        <v>4.2799999999999994</v>
      </c>
      <c r="I66" s="302"/>
      <c r="J66" s="302">
        <f ca="1">+'[58]Tariff Summary'!$F$30</f>
        <v>0.4</v>
      </c>
      <c r="K66" s="302"/>
      <c r="L66" s="302">
        <f ca="1">+'[58]Tariff Summary'!$G$30</f>
        <v>1.06</v>
      </c>
      <c r="M66" s="304">
        <f ca="1">+'[58]Tariff Summary'!$H$30</f>
        <v>2.82</v>
      </c>
      <c r="N66" s="305"/>
      <c r="O66" s="213"/>
    </row>
    <row r="67" spans="1:15" x14ac:dyDescent="0.3">
      <c r="A67" s="306" t="str">
        <f ca="1">'[56]Tariff 40'!B53</f>
        <v>kW - Cust 2</v>
      </c>
      <c r="B67" s="224"/>
      <c r="C67" s="307">
        <f t="shared" ref="C67:C77" ca="1" si="8">ROUND($E$31*G67,2)</f>
        <v>3.69</v>
      </c>
      <c r="D67" s="307">
        <f t="shared" ref="D67:D77" ca="1" si="9">ROUND($E$30*G67,2)</f>
        <v>3.77</v>
      </c>
      <c r="E67" s="307">
        <f t="shared" ref="E67:E77" ca="1" si="10">ROUND(H67*G67,2)</f>
        <v>6.52</v>
      </c>
      <c r="F67" s="224"/>
      <c r="G67" s="308">
        <f ca="1">'[58]Tariff Summary'!I31</f>
        <v>0.89859999999999995</v>
      </c>
      <c r="H67" s="307">
        <f t="shared" ref="H67:H77" ca="1" si="11">SUM(J67,L67,M67)</f>
        <v>7.26</v>
      </c>
      <c r="I67" s="307"/>
      <c r="J67" s="307">
        <f ca="1">+'[58]Tariff Summary'!$F$31</f>
        <v>0.66</v>
      </c>
      <c r="K67" s="307"/>
      <c r="L67" s="307">
        <f ca="1">+'[58]Tariff Summary'!$G$31</f>
        <v>2.4</v>
      </c>
      <c r="M67" s="309">
        <f ca="1">+'[58]Tariff Summary'!$H$31</f>
        <v>4.2</v>
      </c>
      <c r="N67" s="305"/>
      <c r="O67" s="213"/>
    </row>
    <row r="68" spans="1:15" x14ac:dyDescent="0.3">
      <c r="A68" s="306" t="str">
        <f ca="1">'[56]Tariff 40'!B49</f>
        <v>kW - Cust 3</v>
      </c>
      <c r="B68" s="224"/>
      <c r="C68" s="307">
        <f t="shared" ca="1" si="8"/>
        <v>4.1100000000000003</v>
      </c>
      <c r="D68" s="307">
        <f t="shared" ca="1" si="9"/>
        <v>4.2</v>
      </c>
      <c r="E68" s="307">
        <f t="shared" ca="1" si="10"/>
        <v>1.56</v>
      </c>
      <c r="F68" s="224"/>
      <c r="G68" s="308">
        <f ca="1">'[58]Tariff Summary'!I32</f>
        <v>1</v>
      </c>
      <c r="H68" s="307">
        <f t="shared" ca="1" si="11"/>
        <v>1.56</v>
      </c>
      <c r="I68" s="307"/>
      <c r="J68" s="307">
        <f ca="1">+'[58]Tariff Summary'!$F$32</f>
        <v>0</v>
      </c>
      <c r="K68" s="307"/>
      <c r="L68" s="307">
        <f ca="1">+'[58]Tariff Summary'!$G$32</f>
        <v>0.56999999999999995</v>
      </c>
      <c r="M68" s="309">
        <f ca="1">+'[58]Tariff Summary'!$H$32</f>
        <v>0.99</v>
      </c>
      <c r="N68" s="305"/>
      <c r="O68" s="213"/>
    </row>
    <row r="69" spans="1:15" x14ac:dyDescent="0.3">
      <c r="A69" s="306" t="str">
        <f ca="1">'[56]Tariff 40'!B44</f>
        <v>kW - Cust 4</v>
      </c>
      <c r="B69" s="224"/>
      <c r="C69" s="307">
        <f t="shared" ca="1" si="8"/>
        <v>4.1100000000000003</v>
      </c>
      <c r="D69" s="307">
        <f t="shared" ca="1" si="9"/>
        <v>4.2</v>
      </c>
      <c r="E69" s="307">
        <f t="shared" ca="1" si="10"/>
        <v>0.6</v>
      </c>
      <c r="F69" s="224"/>
      <c r="G69" s="308">
        <f ca="1">'[58]Tariff Summary'!I33</f>
        <v>1</v>
      </c>
      <c r="H69" s="307">
        <f t="shared" ca="1" si="11"/>
        <v>0.6</v>
      </c>
      <c r="I69" s="307"/>
      <c r="J69" s="307">
        <f ca="1">+'[58]Tariff Summary'!$F$33</f>
        <v>0</v>
      </c>
      <c r="K69" s="307"/>
      <c r="L69" s="307">
        <f ca="1">+'[58]Tariff Summary'!$G$33</f>
        <v>0.21</v>
      </c>
      <c r="M69" s="309">
        <f ca="1">+'[58]Tariff Summary'!$H$33</f>
        <v>0.39</v>
      </c>
      <c r="N69" s="305"/>
      <c r="O69" s="213"/>
    </row>
    <row r="70" spans="1:15" x14ac:dyDescent="0.3">
      <c r="A70" s="306" t="str">
        <f ca="1">'[56]Tariff 40'!B52</f>
        <v>kW - Cust 5</v>
      </c>
      <c r="B70" s="224"/>
      <c r="C70" s="307">
        <f t="shared" ca="1" si="8"/>
        <v>4.0599999999999996</v>
      </c>
      <c r="D70" s="307">
        <f t="shared" ca="1" si="9"/>
        <v>4.1399999999999997</v>
      </c>
      <c r="E70" s="307">
        <f t="shared" ca="1" si="10"/>
        <v>2.73</v>
      </c>
      <c r="F70" s="224"/>
      <c r="G70" s="308">
        <f ca="1">'[58]Tariff Summary'!I34</f>
        <v>0.98680000000000001</v>
      </c>
      <c r="H70" s="307">
        <f t="shared" ca="1" si="11"/>
        <v>2.77</v>
      </c>
      <c r="I70" s="307"/>
      <c r="J70" s="307">
        <f ca="1">+'[58]Tariff Summary'!$F$34</f>
        <v>0.08</v>
      </c>
      <c r="K70" s="307"/>
      <c r="L70" s="307">
        <f ca="1">+'[58]Tariff Summary'!$G$34</f>
        <v>1.89</v>
      </c>
      <c r="M70" s="309">
        <f ca="1">+'[58]Tariff Summary'!$H$34</f>
        <v>0.8</v>
      </c>
      <c r="N70" s="305"/>
      <c r="O70" s="213"/>
    </row>
    <row r="71" spans="1:15" x14ac:dyDescent="0.3">
      <c r="A71" s="306" t="str">
        <f ca="1">'[56]Tariff 40'!B45</f>
        <v xml:space="preserve">kW - Cust 6 </v>
      </c>
      <c r="B71" s="224"/>
      <c r="C71" s="307">
        <f t="shared" ca="1" si="8"/>
        <v>4.1100000000000003</v>
      </c>
      <c r="D71" s="307">
        <f t="shared" ca="1" si="9"/>
        <v>4.2</v>
      </c>
      <c r="E71" s="307">
        <f t="shared" ca="1" si="10"/>
        <v>0.46</v>
      </c>
      <c r="F71" s="224"/>
      <c r="G71" s="308">
        <f ca="1">'[58]Tariff Summary'!I35</f>
        <v>1</v>
      </c>
      <c r="H71" s="307">
        <f t="shared" ca="1" si="11"/>
        <v>0.45999999999999996</v>
      </c>
      <c r="I71" s="307"/>
      <c r="J71" s="307">
        <f ca="1">+'[58]Tariff Summary'!$F$35</f>
        <v>0</v>
      </c>
      <c r="K71" s="307"/>
      <c r="L71" s="307">
        <f ca="1">+'[58]Tariff Summary'!$G$35</f>
        <v>0.24</v>
      </c>
      <c r="M71" s="309">
        <f ca="1">+'[58]Tariff Summary'!$H$35</f>
        <v>0.22</v>
      </c>
      <c r="N71" s="305"/>
      <c r="O71" s="213"/>
    </row>
    <row r="72" spans="1:15" x14ac:dyDescent="0.3">
      <c r="A72" s="306" t="str">
        <f ca="1">'[56]Tariff 40'!B50</f>
        <v>kW - Cust 7</v>
      </c>
      <c r="B72" s="224"/>
      <c r="C72" s="307">
        <f t="shared" ca="1" si="8"/>
        <v>4.1100000000000003</v>
      </c>
      <c r="D72" s="307">
        <f t="shared" ca="1" si="9"/>
        <v>4.2</v>
      </c>
      <c r="E72" s="307">
        <f t="shared" ca="1" si="10"/>
        <v>2.1800000000000002</v>
      </c>
      <c r="F72" s="224"/>
      <c r="G72" s="308">
        <f ca="1">'[58]Tariff Summary'!I36</f>
        <v>1</v>
      </c>
      <c r="H72" s="307">
        <f t="shared" ca="1" si="11"/>
        <v>2.1800000000000002</v>
      </c>
      <c r="I72" s="307"/>
      <c r="J72" s="307">
        <f ca="1">+'[58]Tariff Summary'!$F$36</f>
        <v>0</v>
      </c>
      <c r="K72" s="307"/>
      <c r="L72" s="307">
        <f ca="1">+'[58]Tariff Summary'!$G$36</f>
        <v>0.64</v>
      </c>
      <c r="M72" s="309">
        <f ca="1">+'[58]Tariff Summary'!$H$36</f>
        <v>1.54</v>
      </c>
      <c r="N72" s="305"/>
      <c r="O72" s="213"/>
    </row>
    <row r="73" spans="1:15" x14ac:dyDescent="0.3">
      <c r="A73" s="306" t="str">
        <f ca="1">'[56]Tariff 40'!B48</f>
        <v>kW - Cust 8</v>
      </c>
      <c r="B73" s="224"/>
      <c r="C73" s="307">
        <f t="shared" ca="1" si="8"/>
        <v>4.0999999999999996</v>
      </c>
      <c r="D73" s="307">
        <f t="shared" ca="1" si="9"/>
        <v>4.1900000000000004</v>
      </c>
      <c r="E73" s="307">
        <f t="shared" ca="1" si="10"/>
        <v>2.61</v>
      </c>
      <c r="F73" s="224"/>
      <c r="G73" s="308">
        <f ca="1">'[58]Tariff Summary'!I37</f>
        <v>0.99770000000000003</v>
      </c>
      <c r="H73" s="307">
        <f t="shared" ca="1" si="11"/>
        <v>2.62</v>
      </c>
      <c r="I73" s="307"/>
      <c r="J73" s="307">
        <f ca="1">+'[58]Tariff Summary'!$F$37</f>
        <v>0.03</v>
      </c>
      <c r="K73" s="307"/>
      <c r="L73" s="307">
        <f ca="1">+'[58]Tariff Summary'!$G$37</f>
        <v>1.33</v>
      </c>
      <c r="M73" s="309">
        <f ca="1">+'[58]Tariff Summary'!$H$37</f>
        <v>1.26</v>
      </c>
      <c r="N73" s="305"/>
      <c r="O73" s="213"/>
    </row>
    <row r="74" spans="1:15" x14ac:dyDescent="0.3">
      <c r="A74" s="306" t="str">
        <f ca="1">'[56]Tariff 40'!B54</f>
        <v>kW - Cust 9</v>
      </c>
      <c r="B74" s="224"/>
      <c r="C74" s="307">
        <f t="shared" ca="1" si="8"/>
        <v>3.77</v>
      </c>
      <c r="D74" s="307">
        <f t="shared" ca="1" si="9"/>
        <v>3.85</v>
      </c>
      <c r="E74" s="307">
        <f t="shared" ca="1" si="10"/>
        <v>5.49</v>
      </c>
      <c r="F74" s="224"/>
      <c r="G74" s="308">
        <f ca="1">'[58]Tariff Summary'!I38</f>
        <v>0.91700000000000004</v>
      </c>
      <c r="H74" s="307">
        <f t="shared" ca="1" si="11"/>
        <v>5.99</v>
      </c>
      <c r="I74" s="307"/>
      <c r="J74" s="307">
        <f ca="1">+'[58]Tariff Summary'!$F$38</f>
        <v>0.82</v>
      </c>
      <c r="K74" s="307"/>
      <c r="L74" s="307">
        <f ca="1">+'[58]Tariff Summary'!$G$38</f>
        <v>2.36</v>
      </c>
      <c r="M74" s="309">
        <f ca="1">+'[58]Tariff Summary'!$H$38</f>
        <v>2.81</v>
      </c>
      <c r="N74" s="305"/>
      <c r="O74" s="213"/>
    </row>
    <row r="75" spans="1:15" x14ac:dyDescent="0.3">
      <c r="A75" s="306" t="str">
        <f ca="1">'[56]Tariff 40'!B46</f>
        <v>kW - Cust 10</v>
      </c>
      <c r="B75" s="224"/>
      <c r="C75" s="307">
        <f t="shared" ca="1" si="8"/>
        <v>3.94</v>
      </c>
      <c r="D75" s="307">
        <f t="shared" ca="1" si="9"/>
        <v>4.03</v>
      </c>
      <c r="E75" s="307">
        <f t="shared" ca="1" si="10"/>
        <v>1.5</v>
      </c>
      <c r="F75" s="224"/>
      <c r="G75" s="308">
        <f ca="1">'[58]Tariff Summary'!I39</f>
        <v>0.95850000000000002</v>
      </c>
      <c r="H75" s="307">
        <f t="shared" ca="1" si="11"/>
        <v>1.57</v>
      </c>
      <c r="I75" s="307"/>
      <c r="J75" s="307">
        <f ca="1">+'[58]Tariff Summary'!$F$39</f>
        <v>0.59</v>
      </c>
      <c r="K75" s="307"/>
      <c r="L75" s="307">
        <f ca="1">+'[58]Tariff Summary'!$G$39</f>
        <v>0.42</v>
      </c>
      <c r="M75" s="309">
        <f ca="1">+'[58]Tariff Summary'!$H$39</f>
        <v>0.56000000000000005</v>
      </c>
      <c r="N75" s="305"/>
      <c r="O75" s="213"/>
    </row>
    <row r="76" spans="1:15" x14ac:dyDescent="0.3">
      <c r="A76" s="306" t="str">
        <f ca="1">'[56]Tariff 40'!B51</f>
        <v>kW - Cust 11</v>
      </c>
      <c r="B76" s="224"/>
      <c r="C76" s="307">
        <f t="shared" ca="1" si="8"/>
        <v>3.9</v>
      </c>
      <c r="D76" s="307">
        <f t="shared" ca="1" si="9"/>
        <v>3.99</v>
      </c>
      <c r="E76" s="307">
        <f t="shared" ca="1" si="10"/>
        <v>1.98</v>
      </c>
      <c r="F76" s="224"/>
      <c r="G76" s="308">
        <f ca="1">'[58]Tariff Summary'!I40</f>
        <v>0.94930000000000003</v>
      </c>
      <c r="H76" s="307">
        <f t="shared" ca="1" si="11"/>
        <v>2.09</v>
      </c>
      <c r="I76" s="307"/>
      <c r="J76" s="307">
        <f ca="1">+'[58]Tariff Summary'!$F$40</f>
        <v>0.71</v>
      </c>
      <c r="K76" s="307"/>
      <c r="L76" s="307">
        <f ca="1">+'[58]Tariff Summary'!$G$40</f>
        <v>0.52</v>
      </c>
      <c r="M76" s="309">
        <f ca="1">+'[58]Tariff Summary'!$H$40</f>
        <v>0.86</v>
      </c>
      <c r="N76" s="305"/>
      <c r="O76" s="213"/>
    </row>
    <row r="77" spans="1:15" x14ac:dyDescent="0.3">
      <c r="A77" s="306" t="str">
        <f ca="1">'[56]Tariff 40'!B43</f>
        <v>kW - Cust 12</v>
      </c>
      <c r="B77" s="224"/>
      <c r="C77" s="307">
        <f t="shared" ca="1" si="8"/>
        <v>4</v>
      </c>
      <c r="D77" s="307">
        <f t="shared" ca="1" si="9"/>
        <v>4.09</v>
      </c>
      <c r="E77" s="307">
        <f t="shared" ca="1" si="10"/>
        <v>0.82</v>
      </c>
      <c r="F77" s="224"/>
      <c r="G77" s="308">
        <f ca="1">'[58]Tariff Summary'!I41</f>
        <v>0.97319999999999995</v>
      </c>
      <c r="H77" s="307">
        <f t="shared" ca="1" si="11"/>
        <v>0.84</v>
      </c>
      <c r="I77" s="307"/>
      <c r="J77" s="307">
        <f ca="1">+'[58]Tariff Summary'!$F$41</f>
        <v>0.22</v>
      </c>
      <c r="K77" s="307"/>
      <c r="L77" s="307">
        <f ca="1">+'[58]Tariff Summary'!$G$41</f>
        <v>0.27</v>
      </c>
      <c r="M77" s="309">
        <f ca="1">+'[58]Tariff Summary'!$H$41</f>
        <v>0.35</v>
      </c>
      <c r="N77" s="305"/>
      <c r="O77" s="213"/>
    </row>
    <row r="78" spans="1:15" x14ac:dyDescent="0.3">
      <c r="A78" s="310"/>
      <c r="B78" s="224"/>
      <c r="C78" s="307"/>
      <c r="D78" s="307"/>
      <c r="E78" s="307"/>
      <c r="F78" s="224"/>
      <c r="G78" s="308"/>
      <c r="H78" s="307"/>
      <c r="I78" s="307"/>
      <c r="J78" s="307"/>
      <c r="K78" s="307"/>
      <c r="L78" s="307"/>
      <c r="M78" s="309"/>
      <c r="N78" s="305"/>
      <c r="O78" s="213"/>
    </row>
    <row r="79" spans="1:15" x14ac:dyDescent="0.3">
      <c r="A79" s="310"/>
      <c r="B79" s="224"/>
      <c r="C79" s="307"/>
      <c r="D79" s="307"/>
      <c r="E79" s="307"/>
      <c r="F79" s="224"/>
      <c r="G79" s="308"/>
      <c r="H79" s="307"/>
      <c r="I79" s="307"/>
      <c r="J79" s="307"/>
      <c r="K79" s="307"/>
      <c r="L79" s="307"/>
      <c r="M79" s="309"/>
      <c r="N79" s="305"/>
      <c r="O79" s="213"/>
    </row>
    <row r="80" spans="1:15" x14ac:dyDescent="0.3">
      <c r="A80" s="306"/>
      <c r="B80" s="224"/>
      <c r="C80" s="224"/>
      <c r="D80" s="224"/>
      <c r="E80" s="224"/>
      <c r="F80" s="224"/>
      <c r="G80" s="224"/>
      <c r="H80" s="224"/>
      <c r="I80" s="224"/>
      <c r="J80" s="224"/>
      <c r="K80" s="224"/>
      <c r="L80" s="224"/>
      <c r="M80" s="311"/>
      <c r="N80" s="34"/>
    </row>
    <row r="81" spans="1:14" ht="16.2" thickBot="1" x14ac:dyDescent="0.35">
      <c r="A81" s="312" t="s">
        <v>384</v>
      </c>
      <c r="B81" s="313"/>
      <c r="C81" s="313"/>
      <c r="D81" s="313"/>
      <c r="E81" s="313"/>
      <c r="F81" s="313"/>
      <c r="G81" s="313"/>
      <c r="H81" s="313"/>
      <c r="I81" s="313"/>
      <c r="J81" s="313"/>
      <c r="K81" s="313"/>
      <c r="L81" s="313"/>
      <c r="M81" s="314"/>
      <c r="N81" s="34"/>
    </row>
    <row r="82" spans="1:14" x14ac:dyDescent="0.3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34"/>
      <c r="N82" s="34"/>
    </row>
    <row r="83" spans="1:14" x14ac:dyDescent="0.3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34"/>
      <c r="N83" s="34"/>
    </row>
    <row r="84" spans="1:14" x14ac:dyDescent="0.3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34"/>
      <c r="N84" s="34"/>
    </row>
    <row r="85" spans="1:14" x14ac:dyDescent="0.3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34"/>
      <c r="N85" s="34"/>
    </row>
    <row r="86" spans="1:14" x14ac:dyDescent="0.3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34"/>
      <c r="N86" s="34"/>
    </row>
    <row r="87" spans="1:14" x14ac:dyDescent="0.3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34"/>
      <c r="N87" s="34"/>
    </row>
    <row r="88" spans="1:14" x14ac:dyDescent="0.3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34"/>
      <c r="N88" s="34"/>
    </row>
    <row r="89" spans="1:14" x14ac:dyDescent="0.3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34"/>
      <c r="N89" s="34"/>
    </row>
    <row r="90" spans="1:14" x14ac:dyDescent="0.3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34"/>
      <c r="N90" s="34"/>
    </row>
    <row r="91" spans="1:14" x14ac:dyDescent="0.3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34"/>
      <c r="N91" s="34"/>
    </row>
  </sheetData>
  <mergeCells count="21">
    <mergeCell ref="L39:N39"/>
    <mergeCell ref="L43:N43"/>
    <mergeCell ref="L44:N44"/>
    <mergeCell ref="L25:N25"/>
    <mergeCell ref="L26:N26"/>
    <mergeCell ref="L30:N30"/>
    <mergeCell ref="L31:N31"/>
    <mergeCell ref="L35:N35"/>
    <mergeCell ref="L36:N36"/>
    <mergeCell ref="L24:N24"/>
    <mergeCell ref="A1:J1"/>
    <mergeCell ref="A2:J2"/>
    <mergeCell ref="A3:J3"/>
    <mergeCell ref="A4:J4"/>
    <mergeCell ref="E9:G9"/>
    <mergeCell ref="H9:J9"/>
    <mergeCell ref="L15:N15"/>
    <mergeCell ref="L16:N16"/>
    <mergeCell ref="L17:N17"/>
    <mergeCell ref="L21:N21"/>
    <mergeCell ref="L22:N22"/>
  </mergeCells>
  <printOptions horizontalCentered="1"/>
  <pageMargins left="0.7" right="0.7" top="0.75" bottom="0.71" header="0.3" footer="0.3"/>
  <pageSetup scale="61" fitToHeight="5" orientation="landscape" r:id="rId1"/>
  <headerFooter alignWithMargins="0">
    <oddFooter>&amp;L&amp;F&amp;C
&amp;A&amp;RElectric Rate Design Workpapers
Docket No. UE-17xxxx
Page &amp;P of &amp;N</oddFooter>
  </headerFooter>
  <rowBreaks count="1" manualBreakCount="1">
    <brk id="45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AN47"/>
  <sheetViews>
    <sheetView zoomScale="90" zoomScaleNormal="90" zoomScaleSheetLayoutView="80" workbookViewId="0">
      <pane ySplit="10" topLeftCell="A11" activePane="bottomLeft" state="frozen"/>
      <selection activeCell="G31" sqref="G31"/>
      <selection pane="bottomLeft" activeCell="U30" sqref="U30"/>
    </sheetView>
  </sheetViews>
  <sheetFormatPr defaultColWidth="11.6640625" defaultRowHeight="15.6" x14ac:dyDescent="0.3"/>
  <cols>
    <col min="1" max="1" width="32.6640625" style="92" bestFit="1" customWidth="1"/>
    <col min="2" max="2" width="1.5546875" style="92" bestFit="1" customWidth="1"/>
    <col min="3" max="3" width="13.33203125" style="92" bestFit="1" customWidth="1"/>
    <col min="4" max="4" width="12.33203125" style="92" bestFit="1" customWidth="1"/>
    <col min="5" max="5" width="6.109375" style="92" bestFit="1" customWidth="1"/>
    <col min="6" max="6" width="13.33203125" style="92" bestFit="1" customWidth="1"/>
    <col min="7" max="7" width="14.6640625" style="92" customWidth="1"/>
    <col min="8" max="8" width="2.33203125" style="92" bestFit="1" customWidth="1"/>
    <col min="9" max="9" width="16.88671875" style="92" customWidth="1"/>
    <col min="10" max="10" width="1.88671875" style="92" customWidth="1"/>
    <col min="11" max="11" width="25" style="92" bestFit="1" customWidth="1"/>
    <col min="12" max="12" width="14.109375" style="99" bestFit="1" customWidth="1"/>
    <col min="13" max="13" width="11.6640625" style="99" bestFit="1" customWidth="1"/>
    <col min="14" max="14" width="8.109375" style="99" bestFit="1" customWidth="1"/>
    <col min="15" max="17" width="1.5546875" style="92" bestFit="1" customWidth="1"/>
    <col min="18" max="18" width="16.109375" style="92" bestFit="1" customWidth="1"/>
    <col min="19" max="19" width="1.5546875" style="92" bestFit="1" customWidth="1"/>
    <col min="20" max="20" width="15.109375" style="92" bestFit="1" customWidth="1"/>
    <col min="21" max="21" width="14.88671875" style="92" bestFit="1" customWidth="1"/>
    <col min="22" max="22" width="14" style="92" bestFit="1" customWidth="1"/>
    <col min="23" max="23" width="6.33203125" style="92" bestFit="1" customWidth="1"/>
    <col min="24" max="24" width="1.5546875" style="92" bestFit="1" customWidth="1"/>
    <col min="25" max="25" width="11.6640625" style="92" customWidth="1"/>
    <col min="26" max="26" width="13.88671875" style="92" customWidth="1"/>
    <col min="27" max="16384" width="11.6640625" style="92"/>
  </cols>
  <sheetData>
    <row r="1" spans="1:40" ht="18" x14ac:dyDescent="0.25">
      <c r="A1" s="402" t="s">
        <v>133</v>
      </c>
      <c r="B1" s="402"/>
      <c r="C1" s="402"/>
      <c r="D1" s="402"/>
      <c r="E1" s="402"/>
      <c r="F1" s="402"/>
      <c r="G1" s="402"/>
      <c r="H1" s="402"/>
      <c r="I1" s="402"/>
      <c r="J1" s="93"/>
      <c r="K1" s="224"/>
      <c r="L1" s="225"/>
      <c r="M1" s="225"/>
      <c r="N1" s="91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40" ht="18" x14ac:dyDescent="0.25">
      <c r="A2" s="402" t="s">
        <v>134</v>
      </c>
      <c r="B2" s="402"/>
      <c r="C2" s="402"/>
      <c r="D2" s="402"/>
      <c r="E2" s="402"/>
      <c r="F2" s="402"/>
      <c r="G2" s="402"/>
      <c r="H2" s="402"/>
      <c r="I2" s="402"/>
      <c r="J2" s="93"/>
      <c r="K2" s="224"/>
      <c r="L2" s="225"/>
      <c r="M2" s="225"/>
      <c r="N2" s="91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</row>
    <row r="3" spans="1:40" ht="15.75" x14ac:dyDescent="0.25">
      <c r="A3" s="403" t="str">
        <f ca="1">'[55]Exhibit No.__(JAP-Prof-Prop)'!$B$6</f>
        <v>12 MONTHS ENDED SEPTEMBER 2016</v>
      </c>
      <c r="B3" s="403"/>
      <c r="C3" s="403"/>
      <c r="D3" s="403"/>
      <c r="E3" s="403"/>
      <c r="F3" s="403"/>
      <c r="G3" s="403"/>
      <c r="H3" s="403"/>
      <c r="I3" s="403"/>
      <c r="J3" s="94"/>
      <c r="K3" s="224"/>
      <c r="L3" s="225"/>
      <c r="M3" s="225"/>
      <c r="N3" s="91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</row>
    <row r="4" spans="1:40" ht="15.75" x14ac:dyDescent="0.25">
      <c r="A4" s="404" t="s">
        <v>135</v>
      </c>
      <c r="B4" s="404"/>
      <c r="C4" s="404"/>
      <c r="D4" s="404"/>
      <c r="E4" s="404"/>
      <c r="F4" s="404"/>
      <c r="G4" s="404"/>
      <c r="H4" s="404"/>
      <c r="I4" s="404"/>
      <c r="J4" s="95"/>
      <c r="K4" s="224"/>
      <c r="L4" s="225"/>
      <c r="M4" s="225"/>
      <c r="N4" s="91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</row>
    <row r="5" spans="1:40" ht="15.75" x14ac:dyDescent="0.25">
      <c r="A5" s="96" t="s">
        <v>230</v>
      </c>
      <c r="B5" s="97"/>
      <c r="C5" s="97"/>
      <c r="D5" s="98"/>
      <c r="E5" s="98"/>
      <c r="F5" s="97"/>
      <c r="G5" s="98"/>
      <c r="H5" s="97"/>
      <c r="I5" s="97"/>
      <c r="J5" s="97"/>
      <c r="K5" s="224"/>
      <c r="L5" s="225"/>
      <c r="M5" s="225"/>
      <c r="N5" s="91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</row>
    <row r="6" spans="1:40" ht="15.75" x14ac:dyDescent="0.25">
      <c r="A6" s="96"/>
      <c r="B6" s="97"/>
      <c r="C6" s="97"/>
      <c r="D6" s="98"/>
      <c r="E6" s="98"/>
      <c r="F6" s="97"/>
      <c r="G6" s="98"/>
      <c r="H6" s="97"/>
      <c r="I6" s="97"/>
      <c r="J6" s="97"/>
      <c r="K6" s="224"/>
      <c r="L6" s="225"/>
      <c r="M6" s="225"/>
      <c r="N6" s="91"/>
      <c r="O6" s="91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</row>
    <row r="7" spans="1:40" ht="15.75" x14ac:dyDescent="0.25">
      <c r="A7" s="97"/>
      <c r="B7" s="97"/>
      <c r="C7" s="97"/>
      <c r="D7" s="98"/>
      <c r="E7" s="98"/>
      <c r="F7" s="97"/>
      <c r="G7" s="98"/>
      <c r="H7" s="97"/>
      <c r="I7" s="97"/>
      <c r="J7" s="97"/>
      <c r="K7" s="224"/>
      <c r="L7" s="225"/>
      <c r="M7" s="225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</row>
    <row r="8" spans="1:40" ht="15.75" x14ac:dyDescent="0.25">
      <c r="A8" s="100"/>
      <c r="B8" s="100"/>
      <c r="C8" s="101"/>
      <c r="D8" s="102"/>
      <c r="E8" s="102"/>
      <c r="F8" s="13"/>
      <c r="G8" s="102"/>
      <c r="H8" s="103"/>
      <c r="I8" s="103"/>
      <c r="J8" s="103"/>
      <c r="K8" s="224"/>
      <c r="L8" s="225"/>
      <c r="M8" s="225"/>
      <c r="N8" s="91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</row>
    <row r="9" spans="1:40" ht="15.75" x14ac:dyDescent="0.25">
      <c r="A9" s="100"/>
      <c r="B9" s="100"/>
      <c r="C9" s="101" t="s">
        <v>122</v>
      </c>
      <c r="D9" s="405" t="s">
        <v>124</v>
      </c>
      <c r="E9" s="406"/>
      <c r="F9" s="407"/>
      <c r="G9" s="408" t="str">
        <f ca="1">'[55]Exhibit No.__(JAP-Res RD)'!$G$9</f>
        <v>Proposed Effective December 2017</v>
      </c>
      <c r="H9" s="406"/>
      <c r="I9" s="407"/>
      <c r="J9" s="103"/>
      <c r="K9" s="224"/>
      <c r="L9" s="225"/>
      <c r="M9" s="225"/>
      <c r="N9" s="91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</row>
    <row r="10" spans="1:40" ht="15.75" x14ac:dyDescent="0.25">
      <c r="A10" s="100"/>
      <c r="B10" s="100"/>
      <c r="C10" s="104" t="s">
        <v>138</v>
      </c>
      <c r="D10" s="105" t="s">
        <v>139</v>
      </c>
      <c r="E10" s="106"/>
      <c r="F10" s="103" t="s">
        <v>140</v>
      </c>
      <c r="G10" s="105" t="s">
        <v>139</v>
      </c>
      <c r="H10" s="105"/>
      <c r="I10" s="105" t="s">
        <v>140</v>
      </c>
      <c r="J10" s="105"/>
      <c r="K10" s="224"/>
      <c r="L10" s="225"/>
      <c r="M10" s="225"/>
      <c r="N10" s="91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</row>
    <row r="11" spans="1:40" ht="15.75" x14ac:dyDescent="0.25">
      <c r="A11" s="13"/>
      <c r="B11" s="13"/>
      <c r="C11" s="263"/>
      <c r="D11" s="229" t="s">
        <v>111</v>
      </c>
      <c r="E11" s="263"/>
      <c r="F11" s="264"/>
      <c r="G11" s="108" t="s">
        <v>111</v>
      </c>
      <c r="H11" s="263"/>
      <c r="I11" s="113" t="s">
        <v>111</v>
      </c>
      <c r="J11" s="113"/>
      <c r="K11" s="224"/>
      <c r="L11" s="225"/>
      <c r="M11" s="225"/>
      <c r="N11" s="91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G11" s="136"/>
    </row>
    <row r="12" spans="1:40" ht="15.75" x14ac:dyDescent="0.25">
      <c r="A12" s="107" t="s">
        <v>231</v>
      </c>
      <c r="B12" s="108"/>
      <c r="C12" s="108" t="s">
        <v>111</v>
      </c>
      <c r="D12" s="113"/>
      <c r="E12" s="108"/>
      <c r="F12" s="108"/>
      <c r="G12" s="113"/>
      <c r="H12" s="108"/>
      <c r="I12" s="108"/>
      <c r="J12" s="108"/>
      <c r="K12" s="224"/>
      <c r="L12" s="225"/>
      <c r="M12" s="225"/>
      <c r="N12" s="91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G12" s="136"/>
    </row>
    <row r="13" spans="1:40" ht="15.75" x14ac:dyDescent="0.25">
      <c r="A13" s="110" t="s">
        <v>232</v>
      </c>
      <c r="B13" s="108"/>
      <c r="C13" s="108"/>
      <c r="D13" s="113"/>
      <c r="E13" s="108"/>
      <c r="F13" s="108"/>
      <c r="G13" s="113"/>
      <c r="H13" s="108"/>
      <c r="I13" s="108"/>
      <c r="J13" s="108"/>
      <c r="K13" s="224"/>
      <c r="L13" s="225"/>
      <c r="M13" s="225"/>
      <c r="N13" s="91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G13" s="136"/>
    </row>
    <row r="14" spans="1:40" ht="15.75" x14ac:dyDescent="0.25">
      <c r="A14" s="110" t="s">
        <v>233</v>
      </c>
      <c r="B14" s="108"/>
      <c r="C14" s="266">
        <v>60</v>
      </c>
      <c r="D14" s="121"/>
      <c r="E14" s="265"/>
      <c r="F14" s="113"/>
      <c r="G14" s="121"/>
      <c r="H14" s="265"/>
      <c r="I14" s="113"/>
      <c r="J14" s="108"/>
      <c r="K14" s="13"/>
      <c r="L14" s="34"/>
      <c r="M14" s="315"/>
      <c r="N14" s="214"/>
      <c r="P14" s="136"/>
      <c r="Q14" s="151"/>
      <c r="R14" s="136"/>
      <c r="S14" s="151"/>
      <c r="T14" s="136"/>
      <c r="U14" s="136"/>
      <c r="V14" s="151"/>
      <c r="W14" s="150"/>
      <c r="X14" s="136"/>
      <c r="Y14" s="136"/>
      <c r="AG14" s="90"/>
      <c r="AH14" s="90"/>
      <c r="AI14" s="90"/>
      <c r="AJ14" s="90"/>
      <c r="AK14" s="90"/>
      <c r="AL14" s="90"/>
      <c r="AN14" s="136"/>
    </row>
    <row r="15" spans="1:40" ht="15.75" x14ac:dyDescent="0.25">
      <c r="A15" s="108" t="s">
        <v>123</v>
      </c>
      <c r="B15" s="108"/>
      <c r="C15" s="266"/>
      <c r="D15" s="121"/>
      <c r="E15" s="265"/>
      <c r="F15" s="113"/>
      <c r="G15" s="121"/>
      <c r="H15" s="265"/>
      <c r="I15" s="113"/>
      <c r="J15" s="108"/>
      <c r="K15" s="13"/>
      <c r="L15" s="34"/>
      <c r="M15" s="315"/>
      <c r="N15" s="214"/>
      <c r="P15" s="136"/>
      <c r="Q15" s="151"/>
      <c r="R15" s="136"/>
      <c r="S15" s="151"/>
      <c r="T15" s="136"/>
      <c r="U15" s="136"/>
      <c r="V15" s="151"/>
      <c r="W15" s="150"/>
      <c r="X15" s="136"/>
      <c r="Y15" s="136"/>
      <c r="AG15" s="90"/>
      <c r="AH15" s="90"/>
      <c r="AI15" s="90"/>
      <c r="AJ15" s="90"/>
      <c r="AK15" s="90"/>
      <c r="AL15" s="90"/>
      <c r="AN15" s="136"/>
    </row>
    <row r="16" spans="1:40" ht="15.75" x14ac:dyDescent="0.25">
      <c r="A16" s="120" t="s">
        <v>53</v>
      </c>
      <c r="B16" s="108"/>
      <c r="C16" s="266">
        <f ca="1">SUM('[56]Tariff 46'!$D$7:$D$9)</f>
        <v>63736317.697999991</v>
      </c>
      <c r="D16" s="121">
        <f ca="1">'[55]Exhibit No.__(JAP-Tariff)'!E154</f>
        <v>5.4413000000000003E-2</v>
      </c>
      <c r="E16" s="265"/>
      <c r="F16" s="113">
        <f t="shared" ref="F16:F17" ca="1" si="0">ROUND(D16*$C16,0)</f>
        <v>3468084</v>
      </c>
      <c r="G16" s="121">
        <f ca="1">G31</f>
        <v>5.0738999999999999E-2</v>
      </c>
      <c r="H16" s="265"/>
      <c r="I16" s="113">
        <f t="shared" ref="I16:I17" ca="1" si="1">ROUND(G16*$C16,0)</f>
        <v>3233917</v>
      </c>
      <c r="J16" s="273"/>
      <c r="K16" s="418" t="s">
        <v>234</v>
      </c>
      <c r="L16" s="418"/>
      <c r="M16" s="418"/>
      <c r="N16" s="214"/>
      <c r="O16" s="99"/>
      <c r="X16" s="90"/>
      <c r="Y16" s="90"/>
      <c r="Z16" s="90"/>
      <c r="AA16" s="90"/>
      <c r="AB16" s="90"/>
      <c r="AC16" s="90"/>
      <c r="AD16" s="90"/>
      <c r="AE16" s="90"/>
      <c r="AG16" s="136"/>
    </row>
    <row r="17" spans="1:33" ht="15.75" x14ac:dyDescent="0.25">
      <c r="A17" s="126" t="s">
        <v>69</v>
      </c>
      <c r="B17" s="237"/>
      <c r="C17" s="316">
        <f ca="1">'[56]Tariff 46'!$D$10</f>
        <v>539040</v>
      </c>
      <c r="D17" s="121">
        <f ca="1">ROUND(SUM(F16:F16,F20)/SUM(C16:C16),6)</f>
        <v>6.5379999999999994E-2</v>
      </c>
      <c r="E17" s="229"/>
      <c r="F17" s="198">
        <f t="shared" ca="1" si="0"/>
        <v>35242</v>
      </c>
      <c r="G17" s="215">
        <f ca="1">ROUND(+D17*(1+$M$37),6)</f>
        <v>6.6180000000000003E-2</v>
      </c>
      <c r="H17" s="229"/>
      <c r="I17" s="198">
        <f t="shared" ca="1" si="1"/>
        <v>35674</v>
      </c>
      <c r="J17" s="119"/>
      <c r="K17" s="418" t="s">
        <v>65</v>
      </c>
      <c r="L17" s="418"/>
      <c r="M17" s="418"/>
      <c r="N17" s="150"/>
      <c r="X17" s="90"/>
      <c r="Y17" s="90"/>
      <c r="Z17" s="90"/>
      <c r="AA17" s="90"/>
      <c r="AB17" s="90"/>
      <c r="AC17" s="90"/>
      <c r="AD17" s="90"/>
      <c r="AE17" s="90"/>
      <c r="AG17" s="136"/>
    </row>
    <row r="18" spans="1:33" ht="15.75" x14ac:dyDescent="0.25">
      <c r="A18" s="114" t="s">
        <v>86</v>
      </c>
      <c r="B18" s="237"/>
      <c r="C18" s="233">
        <f ca="1">SUM(C16:C17)</f>
        <v>64275357.697999991</v>
      </c>
      <c r="D18" s="121"/>
      <c r="E18" s="229"/>
      <c r="F18" s="113">
        <f ca="1">SUM(F16:F17)</f>
        <v>3503326</v>
      </c>
      <c r="G18" s="121"/>
      <c r="H18" s="229"/>
      <c r="I18" s="113">
        <f ca="1">SUM(I16:I17)</f>
        <v>3269591</v>
      </c>
      <c r="J18" s="119"/>
      <c r="K18" s="13"/>
      <c r="L18" s="34"/>
      <c r="M18" s="317"/>
      <c r="N18" s="150"/>
      <c r="X18" s="90"/>
      <c r="Y18" s="90"/>
      <c r="Z18" s="90"/>
      <c r="AA18" s="90"/>
      <c r="AB18" s="90"/>
      <c r="AC18" s="90"/>
      <c r="AD18" s="90"/>
      <c r="AE18" s="90"/>
      <c r="AG18" s="136"/>
    </row>
    <row r="19" spans="1:33" ht="15.75" x14ac:dyDescent="0.25">
      <c r="A19" s="114"/>
      <c r="B19" s="237"/>
      <c r="C19" s="233"/>
      <c r="D19" s="121"/>
      <c r="E19" s="229"/>
      <c r="F19" s="113"/>
      <c r="G19" s="121"/>
      <c r="H19" s="229"/>
      <c r="I19" s="113"/>
      <c r="J19" s="119"/>
      <c r="K19" s="13"/>
      <c r="L19" s="34"/>
      <c r="M19" s="317"/>
      <c r="N19" s="150"/>
      <c r="X19" s="90"/>
      <c r="Y19" s="90"/>
      <c r="Z19" s="90"/>
      <c r="AA19" s="90"/>
      <c r="AB19" s="90"/>
      <c r="AC19" s="90"/>
      <c r="AD19" s="90"/>
      <c r="AE19" s="90"/>
      <c r="AG19" s="136"/>
    </row>
    <row r="20" spans="1:33" ht="15.75" x14ac:dyDescent="0.25">
      <c r="A20" s="110" t="s">
        <v>235</v>
      </c>
      <c r="B20" s="108"/>
      <c r="C20" s="266">
        <f ca="1">'[56]Tariff 46'!$D$14</f>
        <v>334461</v>
      </c>
      <c r="D20" s="112">
        <f ca="1">'[55]Exhibit No.__(JAP-Tariff)'!E156</f>
        <v>2.09</v>
      </c>
      <c r="E20" s="265"/>
      <c r="F20" s="113">
        <f t="shared" ref="F20" ca="1" si="2">ROUND(D20*$C20,0)</f>
        <v>699023</v>
      </c>
      <c r="G20" s="216">
        <v>2.95</v>
      </c>
      <c r="H20" s="265"/>
      <c r="I20" s="113">
        <f t="shared" ref="I20" ca="1" si="3">ROUND(G20*$C20,0)</f>
        <v>986660</v>
      </c>
      <c r="J20" s="273"/>
      <c r="K20" s="418" t="s">
        <v>385</v>
      </c>
      <c r="L20" s="418"/>
      <c r="M20" s="418"/>
      <c r="N20" s="214"/>
      <c r="O20" s="99"/>
      <c r="X20" s="90"/>
      <c r="Y20" s="90"/>
      <c r="Z20" s="90"/>
      <c r="AA20" s="90"/>
      <c r="AB20" s="90"/>
      <c r="AC20" s="90"/>
      <c r="AD20" s="90"/>
      <c r="AE20" s="90"/>
      <c r="AG20" s="136"/>
    </row>
    <row r="21" spans="1:33" ht="15.75" x14ac:dyDescent="0.25">
      <c r="A21" s="126"/>
      <c r="B21" s="237"/>
      <c r="C21" s="233"/>
      <c r="D21" s="121"/>
      <c r="E21" s="229"/>
      <c r="F21" s="113"/>
      <c r="G21" s="121"/>
      <c r="H21" s="229"/>
      <c r="I21" s="113"/>
      <c r="J21" s="119"/>
      <c r="K21" s="13"/>
      <c r="L21" s="34"/>
      <c r="M21" s="317"/>
      <c r="N21" s="150"/>
      <c r="X21" s="90"/>
      <c r="Y21" s="90"/>
      <c r="Z21" s="90"/>
      <c r="AA21" s="90"/>
      <c r="AB21" s="90"/>
      <c r="AC21" s="90"/>
      <c r="AD21" s="90"/>
      <c r="AE21" s="90"/>
      <c r="AG21" s="136"/>
    </row>
    <row r="22" spans="1:33" ht="16.5" thickBot="1" x14ac:dyDescent="0.3">
      <c r="A22" s="108" t="s">
        <v>154</v>
      </c>
      <c r="B22" s="108"/>
      <c r="C22" s="233"/>
      <c r="D22" s="318"/>
      <c r="E22" s="162"/>
      <c r="F22" s="129">
        <f ca="1">SUM(F20,F18)</f>
        <v>4202349</v>
      </c>
      <c r="G22" s="318"/>
      <c r="H22" s="162"/>
      <c r="I22" s="129">
        <f ca="1">SUM(I20,I18)</f>
        <v>4256251</v>
      </c>
      <c r="J22" s="272"/>
      <c r="K22" s="418" t="s">
        <v>65</v>
      </c>
      <c r="L22" s="418"/>
      <c r="M22" s="418"/>
      <c r="N22" s="166"/>
      <c r="O22" s="154" t="s">
        <v>111</v>
      </c>
      <c r="X22" s="90"/>
      <c r="Y22" s="90"/>
      <c r="Z22" s="90"/>
      <c r="AA22" s="90"/>
      <c r="AB22" s="90"/>
      <c r="AC22" s="90"/>
      <c r="AD22" s="90"/>
      <c r="AE22" s="90"/>
      <c r="AG22" s="136"/>
    </row>
    <row r="23" spans="1:33" ht="16.5" thickTop="1" x14ac:dyDescent="0.25">
      <c r="A23" s="108"/>
      <c r="B23" s="108"/>
      <c r="C23" s="233"/>
      <c r="D23" s="318"/>
      <c r="E23" s="162"/>
      <c r="F23" s="273"/>
      <c r="G23" s="239"/>
      <c r="H23" s="162"/>
      <c r="I23" s="273"/>
      <c r="J23" s="273"/>
      <c r="K23" s="13"/>
      <c r="L23" s="34"/>
      <c r="M23" s="317"/>
      <c r="N23" s="166"/>
      <c r="O23" s="154"/>
      <c r="X23" s="90"/>
      <c r="Y23" s="90"/>
      <c r="Z23" s="90"/>
      <c r="AA23" s="90"/>
      <c r="AB23" s="90"/>
      <c r="AC23" s="90"/>
      <c r="AD23" s="90"/>
      <c r="AE23" s="90"/>
      <c r="AG23" s="136"/>
    </row>
    <row r="24" spans="1:33" ht="15.75" x14ac:dyDescent="0.25">
      <c r="A24" s="110" t="s">
        <v>236</v>
      </c>
      <c r="B24" s="13"/>
      <c r="C24" s="217">
        <v>0.9</v>
      </c>
      <c r="D24" s="121">
        <f ca="1">+D16*C24</f>
        <v>4.8971700000000007E-2</v>
      </c>
      <c r="E24" s="319">
        <f>+E12*C24</f>
        <v>0</v>
      </c>
      <c r="F24" s="273"/>
      <c r="G24" s="121">
        <f ca="1">ROUND(+G16*C24,6)</f>
        <v>4.5664999999999997E-2</v>
      </c>
      <c r="H24" s="162"/>
      <c r="I24" s="273"/>
      <c r="J24" s="273"/>
      <c r="K24" s="320">
        <f ca="1">F22*M37</f>
        <v>51394.133889349789</v>
      </c>
      <c r="L24" s="429" t="s">
        <v>386</v>
      </c>
      <c r="M24" s="430"/>
      <c r="N24" s="166"/>
      <c r="O24" s="154"/>
      <c r="X24" s="90"/>
      <c r="Y24" s="90"/>
      <c r="Z24" s="90"/>
      <c r="AA24" s="90"/>
      <c r="AB24" s="90"/>
      <c r="AC24" s="90"/>
      <c r="AD24" s="90"/>
      <c r="AE24" s="90"/>
      <c r="AG24" s="136"/>
    </row>
    <row r="25" spans="1:33" ht="15.75" x14ac:dyDescent="0.25">
      <c r="A25" s="110" t="s">
        <v>237</v>
      </c>
      <c r="B25" s="13"/>
      <c r="C25" s="36">
        <v>12</v>
      </c>
      <c r="D25" s="112">
        <f ca="1">+C25*D20</f>
        <v>25.08</v>
      </c>
      <c r="E25" s="218">
        <f>+C25*E14</f>
        <v>0</v>
      </c>
      <c r="F25" s="113"/>
      <c r="G25" s="112">
        <f>ROUND(+C25*G20,2)</f>
        <v>35.4</v>
      </c>
      <c r="H25" s="108"/>
      <c r="I25" s="13"/>
      <c r="J25" s="13"/>
      <c r="K25" s="321">
        <f ca="1">K24+F22</f>
        <v>4253743.1338893501</v>
      </c>
      <c r="L25" s="427" t="s">
        <v>387</v>
      </c>
      <c r="M25" s="428"/>
      <c r="X25" s="90"/>
      <c r="Y25" s="90"/>
      <c r="Z25" s="90"/>
      <c r="AA25" s="90"/>
      <c r="AB25" s="90"/>
      <c r="AC25" s="90"/>
      <c r="AD25" s="90"/>
      <c r="AE25" s="90"/>
      <c r="AG25" s="136"/>
    </row>
    <row r="26" spans="1:33" ht="15.75" x14ac:dyDescent="0.25">
      <c r="A26" s="108"/>
      <c r="B26" s="108"/>
      <c r="C26" s="109"/>
      <c r="D26" s="219" t="s">
        <v>111</v>
      </c>
      <c r="E26" s="108"/>
      <c r="F26" s="113"/>
      <c r="G26" s="220" t="s">
        <v>111</v>
      </c>
      <c r="H26" s="108"/>
      <c r="I26" s="113" t="s">
        <v>111</v>
      </c>
      <c r="J26" s="113"/>
      <c r="K26" s="322">
        <f ca="1">K25-I22</f>
        <v>-2507.8661106498912</v>
      </c>
      <c r="L26" s="431" t="s">
        <v>388</v>
      </c>
      <c r="M26" s="432"/>
      <c r="N26" s="91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</row>
    <row r="27" spans="1:33" ht="15.75" x14ac:dyDescent="0.25">
      <c r="A27" s="107" t="s">
        <v>238</v>
      </c>
      <c r="B27" s="108"/>
      <c r="C27" s="108" t="s">
        <v>111</v>
      </c>
      <c r="D27" s="113"/>
      <c r="E27" s="108"/>
      <c r="F27" s="108"/>
      <c r="G27" s="113"/>
      <c r="H27" s="108"/>
      <c r="I27" s="108"/>
      <c r="J27" s="108"/>
      <c r="K27" s="224"/>
      <c r="L27" s="225"/>
      <c r="M27" s="225"/>
      <c r="N27" s="91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</row>
    <row r="28" spans="1:33" ht="15.75" x14ac:dyDescent="0.25">
      <c r="A28" s="110" t="s">
        <v>239</v>
      </c>
      <c r="B28" s="108"/>
      <c r="C28" s="108"/>
      <c r="D28" s="113"/>
      <c r="E28" s="108"/>
      <c r="F28" s="108"/>
      <c r="G28" s="113"/>
      <c r="H28" s="108"/>
      <c r="I28" s="108"/>
      <c r="J28" s="108"/>
      <c r="K28" s="224"/>
      <c r="L28" s="225"/>
      <c r="M28" s="225"/>
      <c r="N28" s="91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</row>
    <row r="29" spans="1:33" ht="15.75" x14ac:dyDescent="0.25">
      <c r="A29" s="110" t="s">
        <v>233</v>
      </c>
      <c r="B29" s="108"/>
      <c r="C29" s="266">
        <v>240</v>
      </c>
      <c r="D29" s="121"/>
      <c r="E29" s="265"/>
      <c r="F29" s="113"/>
      <c r="G29" s="121"/>
      <c r="H29" s="265"/>
      <c r="I29" s="113"/>
      <c r="J29" s="108"/>
      <c r="K29" s="13"/>
      <c r="L29" s="34"/>
      <c r="M29" s="225"/>
      <c r="N29" s="91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</row>
    <row r="30" spans="1:33" ht="15.75" x14ac:dyDescent="0.25">
      <c r="A30" s="108" t="s">
        <v>123</v>
      </c>
      <c r="B30" s="108"/>
      <c r="C30" s="266"/>
      <c r="D30" s="121"/>
      <c r="E30" s="265"/>
      <c r="F30" s="113"/>
      <c r="G30" s="121"/>
      <c r="H30" s="265"/>
      <c r="I30" s="113"/>
      <c r="J30" s="108"/>
      <c r="K30" s="13"/>
      <c r="L30" s="34"/>
      <c r="M30" s="225"/>
      <c r="N30" s="91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</row>
    <row r="31" spans="1:33" ht="15.75" x14ac:dyDescent="0.25">
      <c r="A31" s="120" t="s">
        <v>53</v>
      </c>
      <c r="B31" s="108"/>
      <c r="C31" s="266">
        <f ca="1">SUM('[56]Tariff 49'!$D$7)</f>
        <v>565213426</v>
      </c>
      <c r="D31" s="121">
        <f ca="1">'[55]Exhibit No.__(JAP-Tariff)'!E162</f>
        <v>5.4413000000000003E-2</v>
      </c>
      <c r="E31" s="265"/>
      <c r="F31" s="113">
        <f t="shared" ref="F31:F32" ca="1" si="4">ROUND(D31*$C31,0)</f>
        <v>30754958</v>
      </c>
      <c r="G31" s="122">
        <f ca="1">ROUND(D31*(1+$M$41),6)+L44</f>
        <v>5.0738999999999999E-2</v>
      </c>
      <c r="H31" s="265"/>
      <c r="I31" s="113">
        <f t="shared" ref="I31" ca="1" si="5">ROUND(G31*$C31,0)</f>
        <v>28678364</v>
      </c>
      <c r="J31" s="273"/>
      <c r="K31" s="419" t="s">
        <v>389</v>
      </c>
      <c r="L31" s="418"/>
      <c r="M31" s="418"/>
      <c r="N31" s="91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</row>
    <row r="32" spans="1:33" ht="15.75" x14ac:dyDescent="0.25">
      <c r="A32" s="126" t="s">
        <v>69</v>
      </c>
      <c r="B32" s="237"/>
      <c r="C32" s="316">
        <f ca="1">'[56]Tariff 49'!$D$8</f>
        <v>2770433</v>
      </c>
      <c r="D32" s="121">
        <f ca="1">ROUND(SUM(F31:F31,F35)/SUM(C31:C31),6)</f>
        <v>6.3659999999999994E-2</v>
      </c>
      <c r="E32" s="229"/>
      <c r="F32" s="198">
        <f t="shared" ca="1" si="4"/>
        <v>176366</v>
      </c>
      <c r="G32" s="215">
        <f ca="1">ROUND(+D32*(1+$M$37),6)</f>
        <v>6.4438999999999996E-2</v>
      </c>
      <c r="H32" s="229"/>
      <c r="I32" s="198">
        <f ca="1">ROUND(G32*$C32,0)</f>
        <v>178524</v>
      </c>
      <c r="J32" s="119"/>
      <c r="K32" s="418" t="s">
        <v>65</v>
      </c>
      <c r="L32" s="418"/>
      <c r="M32" s="418"/>
      <c r="N32" s="91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</row>
    <row r="33" spans="1:31" ht="15.75" x14ac:dyDescent="0.25">
      <c r="A33" s="114" t="s">
        <v>86</v>
      </c>
      <c r="B33" s="237"/>
      <c r="C33" s="233">
        <f ca="1">SUM(C31:C32)</f>
        <v>567983859</v>
      </c>
      <c r="D33" s="121"/>
      <c r="E33" s="229"/>
      <c r="F33" s="113">
        <f ca="1">SUM(F31:F32)</f>
        <v>30931324</v>
      </c>
      <c r="G33" s="121"/>
      <c r="H33" s="229"/>
      <c r="I33" s="113">
        <f ca="1">SUM(I31:I32)</f>
        <v>28856888</v>
      </c>
      <c r="J33" s="119"/>
      <c r="K33" s="418"/>
      <c r="L33" s="418"/>
      <c r="M33" s="418"/>
      <c r="N33" s="91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</row>
    <row r="34" spans="1:31" ht="15.75" x14ac:dyDescent="0.25">
      <c r="A34" s="114"/>
      <c r="B34" s="237"/>
      <c r="C34" s="233"/>
      <c r="D34" s="121"/>
      <c r="E34" s="229"/>
      <c r="F34" s="113"/>
      <c r="G34" s="121"/>
      <c r="H34" s="229"/>
      <c r="I34" s="113"/>
      <c r="J34" s="119"/>
      <c r="K34" s="13"/>
      <c r="L34" s="34"/>
      <c r="M34" s="225"/>
      <c r="N34" s="91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</row>
    <row r="35" spans="1:31" ht="15.75" x14ac:dyDescent="0.25">
      <c r="A35" s="110" t="s">
        <v>235</v>
      </c>
      <c r="B35" s="108"/>
      <c r="C35" s="266">
        <f ca="1">'[56]Tariff 49'!$D$12</f>
        <v>1412545</v>
      </c>
      <c r="D35" s="112">
        <f ca="1">'[55]Exhibit No.__(JAP-Tariff)'!E164</f>
        <v>3.7</v>
      </c>
      <c r="E35" s="265"/>
      <c r="F35" s="113">
        <f t="shared" ref="F35" ca="1" si="6">ROUND(D35*$C35,0)</f>
        <v>5226417</v>
      </c>
      <c r="G35" s="112">
        <f ca="1">ROUND(D35*(1+0.48),2)</f>
        <v>5.48</v>
      </c>
      <c r="H35" s="265"/>
      <c r="I35" s="113">
        <f ca="1">ROUND(G35*$C35,0)</f>
        <v>7740747</v>
      </c>
      <c r="J35" s="273"/>
      <c r="K35" s="419" t="s">
        <v>390</v>
      </c>
      <c r="L35" s="418"/>
      <c r="M35" s="418"/>
      <c r="N35" s="91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</row>
    <row r="36" spans="1:31" ht="15.75" x14ac:dyDescent="0.25">
      <c r="A36" s="126"/>
      <c r="B36" s="237"/>
      <c r="C36" s="233"/>
      <c r="D36" s="121"/>
      <c r="E36" s="229"/>
      <c r="F36" s="113"/>
      <c r="G36" s="121"/>
      <c r="H36" s="229"/>
      <c r="I36" s="113"/>
      <c r="J36" s="119"/>
      <c r="K36" s="13"/>
      <c r="L36" s="34"/>
      <c r="M36" s="225"/>
      <c r="N36" s="91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</row>
    <row r="37" spans="1:31" ht="16.5" thickBot="1" x14ac:dyDescent="0.3">
      <c r="A37" s="108" t="s">
        <v>154</v>
      </c>
      <c r="B37" s="108"/>
      <c r="C37" s="233"/>
      <c r="D37" s="318"/>
      <c r="E37" s="162"/>
      <c r="F37" s="129">
        <f ca="1">SUM(F35,F33)</f>
        <v>36157741</v>
      </c>
      <c r="G37" s="318"/>
      <c r="H37" s="162"/>
      <c r="I37" s="129">
        <f ca="1">SUM(I35,I33)</f>
        <v>36597635</v>
      </c>
      <c r="J37" s="272"/>
      <c r="K37" s="230" t="s">
        <v>148</v>
      </c>
      <c r="L37" s="276">
        <f ca="1">'[55]Exhibit No.__(JAP-Rate Spread)'!K24*1000</f>
        <v>40853688.192164958</v>
      </c>
      <c r="M37" s="232">
        <f ca="1">L37/SUM(F22,F37)-1</f>
        <v>1.2229858559902995E-2</v>
      </c>
      <c r="N37" s="91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</row>
    <row r="38" spans="1:31" ht="16.5" thickTop="1" x14ac:dyDescent="0.25">
      <c r="A38" s="229"/>
      <c r="B38" s="108"/>
      <c r="C38" s="266"/>
      <c r="D38" s="176"/>
      <c r="E38" s="265"/>
      <c r="F38" s="267"/>
      <c r="G38" s="176"/>
      <c r="H38" s="265"/>
      <c r="I38" s="267"/>
      <c r="J38" s="267"/>
      <c r="K38" s="323" t="s">
        <v>391</v>
      </c>
      <c r="L38" s="279">
        <f ca="1">-SUM(I35,I20)</f>
        <v>-8727407</v>
      </c>
      <c r="M38" s="280"/>
      <c r="N38" s="91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</row>
    <row r="39" spans="1:31" ht="15.75" x14ac:dyDescent="0.25">
      <c r="A39" s="120"/>
      <c r="B39" s="108"/>
      <c r="C39" s="266"/>
      <c r="D39" s="171"/>
      <c r="E39" s="265"/>
      <c r="F39" s="267"/>
      <c r="G39" s="171"/>
      <c r="H39" s="265"/>
      <c r="I39" s="267"/>
      <c r="J39" s="267"/>
      <c r="K39" s="323" t="s">
        <v>392</v>
      </c>
      <c r="L39" s="279">
        <f ca="1">-F31-F16</f>
        <v>-34223042</v>
      </c>
      <c r="M39" s="280"/>
      <c r="N39" s="91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</row>
    <row r="40" spans="1:31" ht="15.75" x14ac:dyDescent="0.25">
      <c r="A40" s="120"/>
      <c r="B40" s="108"/>
      <c r="C40" s="266"/>
      <c r="D40" s="171"/>
      <c r="E40" s="265"/>
      <c r="F40" s="267"/>
      <c r="G40" s="171"/>
      <c r="H40" s="265"/>
      <c r="I40" s="267"/>
      <c r="J40" s="267"/>
      <c r="K40" s="323" t="s">
        <v>393</v>
      </c>
      <c r="L40" s="279">
        <f ca="1">-I32-I17</f>
        <v>-214198</v>
      </c>
      <c r="M40" s="324"/>
      <c r="N40" s="91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</row>
    <row r="41" spans="1:31" ht="15.75" x14ac:dyDescent="0.25">
      <c r="A41" s="114"/>
      <c r="B41" s="108"/>
      <c r="C41" s="266"/>
      <c r="D41" s="171"/>
      <c r="E41" s="265"/>
      <c r="F41" s="267"/>
      <c r="G41" s="171"/>
      <c r="H41" s="265"/>
      <c r="I41" s="267"/>
      <c r="J41" s="267"/>
      <c r="K41" s="323" t="s">
        <v>394</v>
      </c>
      <c r="L41" s="279">
        <f ca="1">SUM(L37:L40)</f>
        <v>-2310958.8078350425</v>
      </c>
      <c r="M41" s="281">
        <f ca="1">L41/(F31+F16)</f>
        <v>-6.7526399547855581E-2</v>
      </c>
      <c r="N41" s="91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</row>
    <row r="42" spans="1:31" x14ac:dyDescent="0.3">
      <c r="A42" s="108"/>
      <c r="B42" s="108"/>
      <c r="C42" s="266"/>
      <c r="D42" s="171"/>
      <c r="E42" s="265"/>
      <c r="F42" s="267"/>
      <c r="G42" s="171"/>
      <c r="H42" s="265"/>
      <c r="I42" s="267"/>
      <c r="J42" s="119"/>
      <c r="K42" s="282" t="s">
        <v>40</v>
      </c>
      <c r="L42" s="277">
        <f ca="1">I37-L37--I22</f>
        <v>197.80783504247665</v>
      </c>
      <c r="M42" s="245" t="s">
        <v>111</v>
      </c>
      <c r="N42" s="91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</row>
    <row r="43" spans="1:31" x14ac:dyDescent="0.3">
      <c r="A43" s="108"/>
      <c r="B43" s="108"/>
      <c r="C43" s="266"/>
      <c r="D43" s="171"/>
      <c r="E43" s="265"/>
      <c r="F43" s="267"/>
      <c r="G43" s="171"/>
      <c r="H43" s="265"/>
      <c r="I43" s="267"/>
      <c r="J43" s="119"/>
      <c r="K43" s="271"/>
      <c r="L43" s="269"/>
      <c r="M43" s="225"/>
      <c r="N43" s="91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</row>
    <row r="44" spans="1:31" x14ac:dyDescent="0.3">
      <c r="A44" s="108"/>
      <c r="B44" s="108"/>
      <c r="C44" s="266"/>
      <c r="D44" s="171"/>
      <c r="E44" s="265"/>
      <c r="F44" s="267"/>
      <c r="G44" s="171"/>
      <c r="H44" s="265"/>
      <c r="I44" s="267"/>
      <c r="J44" s="119"/>
      <c r="K44" s="134" t="s">
        <v>376</v>
      </c>
      <c r="L44" s="242"/>
      <c r="M44" s="242">
        <f ca="1">L42/(C31+C16)</f>
        <v>3.1450499348236824E-7</v>
      </c>
      <c r="N44" s="91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</row>
    <row r="45" spans="1:31" x14ac:dyDescent="0.3">
      <c r="A45" s="108"/>
      <c r="B45" s="108"/>
      <c r="C45" s="266"/>
      <c r="D45" s="171"/>
      <c r="E45" s="265"/>
      <c r="F45" s="267"/>
      <c r="G45" s="171"/>
      <c r="H45" s="265"/>
      <c r="I45" s="267"/>
      <c r="J45" s="273"/>
      <c r="K45" s="13"/>
      <c r="L45" s="13"/>
      <c r="M45" s="13"/>
      <c r="N45" s="91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</row>
    <row r="46" spans="1:31" x14ac:dyDescent="0.3">
      <c r="A46" s="108"/>
      <c r="B46" s="274"/>
      <c r="C46" s="266"/>
      <c r="D46" s="171"/>
      <c r="E46" s="265"/>
      <c r="F46" s="267"/>
      <c r="G46" s="171"/>
      <c r="H46" s="265"/>
      <c r="I46" s="267"/>
      <c r="J46" s="113"/>
      <c r="K46" s="13"/>
      <c r="L46" s="13"/>
      <c r="M46" s="13"/>
      <c r="N46" s="91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</row>
    <row r="47" spans="1:31" x14ac:dyDescent="0.3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34"/>
      <c r="M47" s="34"/>
    </row>
  </sheetData>
  <mergeCells count="17">
    <mergeCell ref="L26:M26"/>
    <mergeCell ref="K31:M31"/>
    <mergeCell ref="K32:M32"/>
    <mergeCell ref="K33:M33"/>
    <mergeCell ref="K35:M35"/>
    <mergeCell ref="L25:M25"/>
    <mergeCell ref="A1:I1"/>
    <mergeCell ref="A2:I2"/>
    <mergeCell ref="A3:I3"/>
    <mergeCell ref="A4:I4"/>
    <mergeCell ref="D9:F9"/>
    <mergeCell ref="G9:I9"/>
    <mergeCell ref="K16:M16"/>
    <mergeCell ref="K17:M17"/>
    <mergeCell ref="K20:M20"/>
    <mergeCell ref="K22:M22"/>
    <mergeCell ref="L24:M24"/>
  </mergeCells>
  <printOptions horizontalCentered="1"/>
  <pageMargins left="0.7" right="0.7" top="0.75" bottom="0.71" header="0.3" footer="0.3"/>
  <pageSetup scale="66" orientation="landscape" r:id="rId1"/>
  <headerFooter alignWithMargins="0">
    <oddFooter>&amp;L&amp;F&amp;C
&amp;A&amp;RElectric Rate Design Workpapers
Docket No. UE-17xxxx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B1C0B5F8656C439C5C7064E9DFDAD6" ma:contentTypeVersion="76" ma:contentTypeDescription="" ma:contentTypeScope="" ma:versionID="0c92366b775e7c93c8132563858433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CCBF22F-678F-4941-89D6-038780EAA778}"/>
</file>

<file path=customXml/itemProps2.xml><?xml version="1.0" encoding="utf-8"?>
<ds:datastoreItem xmlns:ds="http://schemas.openxmlformats.org/officeDocument/2006/customXml" ds:itemID="{3BCE7D6B-ED70-4F9C-B689-CE0A7FD3DF1F}"/>
</file>

<file path=customXml/itemProps3.xml><?xml version="1.0" encoding="utf-8"?>
<ds:datastoreItem xmlns:ds="http://schemas.openxmlformats.org/officeDocument/2006/customXml" ds:itemID="{D6E1C5BA-33D0-4D99-9D97-931C66982E7D}"/>
</file>

<file path=customXml/itemProps4.xml><?xml version="1.0" encoding="utf-8"?>
<ds:datastoreItem xmlns:ds="http://schemas.openxmlformats.org/officeDocument/2006/customXml" ds:itemID="{497400A3-6D62-4A65-9E1A-20D98D148D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JAP-47 Page 1</vt:lpstr>
      <vt:lpstr>JAP-47 Page 2</vt:lpstr>
      <vt:lpstr>JAP-47 Page 3</vt:lpstr>
      <vt:lpstr>Work Papers For Exhibits--&gt;</vt:lpstr>
      <vt:lpstr>Exhibit No.__(JAP-Res RD)</vt:lpstr>
      <vt:lpstr>Exhibit No.__(JAP-SV RD)</vt:lpstr>
      <vt:lpstr>Exhibit No.__(JAP-PV RD)</vt:lpstr>
      <vt:lpstr>Exhibit No.__(JAP-CAMP RD)</vt:lpstr>
      <vt:lpstr>Exhibit No.__(JAP-HV RD)</vt:lpstr>
      <vt:lpstr>2017 GRC PCA Costs</vt:lpstr>
      <vt:lpstr>Exhibit A-1</vt:lpstr>
      <vt:lpstr>Delivered kWh</vt:lpstr>
      <vt:lpstr>'2017 GRC PCA Costs'!Print_Area</vt:lpstr>
      <vt:lpstr>'Delivered kWh'!Print_Area</vt:lpstr>
      <vt:lpstr>'Exhibit No.__(JAP-CAMP RD)'!Print_Area</vt:lpstr>
      <vt:lpstr>'Exhibit No.__(JAP-HV RD)'!Print_Area</vt:lpstr>
      <vt:lpstr>'Exhibit No.__(JAP-PV RD)'!Print_Area</vt:lpstr>
      <vt:lpstr>'Exhibit No.__(JAP-Res RD)'!Print_Area</vt:lpstr>
      <vt:lpstr>'Exhibit No.__(JAP-SV RD)'!Print_Area</vt:lpstr>
      <vt:lpstr>'Exhibit No.__(JAP-CAMP RD)'!Print_Titles</vt:lpstr>
      <vt:lpstr>'Exhibit No.__(JAP-HV RD)'!Print_Titles</vt:lpstr>
      <vt:lpstr>'Exhibit No.__(JAP-PV RD)'!Print_Titles</vt:lpstr>
      <vt:lpstr>'Exhibit No.__(JAP-Res RD)'!Print_Titles</vt:lpstr>
      <vt:lpstr>'Exhibit No.__(JAP-SV RD)'!Print_Titles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kbarnard</cp:lastModifiedBy>
  <cp:lastPrinted>2017-12-08T23:04:39Z</cp:lastPrinted>
  <dcterms:created xsi:type="dcterms:W3CDTF">2012-10-25T22:13:28Z</dcterms:created>
  <dcterms:modified xsi:type="dcterms:W3CDTF">2018-04-05T15:45:07Z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0x0101006E56B4D1795A2E4DB2F0B01679ED314A001FB1C0B5F8656C439C5C7064E9DFDAD6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