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0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externalLinks/externalLink11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2. Tuesday\TG-180051 Murrey 2\"/>
    </mc:Choice>
  </mc:AlternateContent>
  <bookViews>
    <workbookView xWindow="195" yWindow="180" windowWidth="13380" windowHeight="7350" tabRatio="815" activeTab="1"/>
  </bookViews>
  <sheets>
    <sheet name="References" sheetId="4" r:id="rId1"/>
    <sheet name="DF Calculation" sheetId="7" r:id="rId2"/>
    <sheet name="Proposed Rates" sheetId="12" r:id="rId3"/>
    <sheet name="Consolidated Cust Cnt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ACT1">[2]Hidden!#REF!</definedName>
    <definedName name="_ACT2">[2]Hidden!#REF!</definedName>
    <definedName name="_ACT3">[2]Hidden!#REF!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LYA12">[1]Hidden!$O$11</definedName>
    <definedName name="ACCT">[2]Hidden!#REF!</definedName>
    <definedName name="ACCT.ConsolSum">[1]Hidden!$Q$11</definedName>
    <definedName name="ACT_CUR">[2]Hidden!#REF!</definedName>
    <definedName name="ACT_YTD">[2]Hidden!#REF!</definedName>
    <definedName name="AmountCount">#REF!</definedName>
    <definedName name="AmountTotal">#REF!</definedName>
    <definedName name="BookRev">'[3]Pacific Regulated - Price Out'!$F$50</definedName>
    <definedName name="BookRev_com">'[3]Pacific Regulated - Price Out'!$F$214</definedName>
    <definedName name="BookRev_mfr">'[3]Pacific Regulated - Price Out'!$F$222</definedName>
    <definedName name="BookRev_ro">'[3]Pacific Regulated - Price Out'!$F$282</definedName>
    <definedName name="BookRev_rr">'[3]Pacific Regulated - Price Out'!$F$59</definedName>
    <definedName name="BookRev_yw">'[3]Pacific Regulated - Price Out'!$F$70</definedName>
    <definedName name="BREMAIR_COST_of_SERVICE_STUDY">#REF!</definedName>
    <definedName name="BUD_CUR">[2]Hidden!#REF!</definedName>
    <definedName name="BUD_YTD">[2]Hidden!#REF!</definedName>
    <definedName name="CalRecyTons">'[4]Recycl Tons, Commodity Value'!$L$23</definedName>
    <definedName name="CheckTotals">#REF!</definedName>
    <definedName name="colgroup">[1]Orientation!$G$6</definedName>
    <definedName name="colsegment">[1]Orientation!$F$6</definedName>
    <definedName name="CRCTable">#REF!</definedName>
    <definedName name="CRCTableOLD">#REF!</definedName>
    <definedName name="CriteriaType">[5]ControlPanel!$Z$2:$Z$5</definedName>
    <definedName name="Cutomers">#REF!</definedName>
    <definedName name="_xlnm.Database">#REF!</definedName>
    <definedName name="Database1">#REF!</definedName>
    <definedName name="DEPT">[2]Hidden!#REF!</definedName>
    <definedName name="District">'[6]Vashon BS'!#REF!</definedName>
    <definedName name="DistrictNum">#REF!</definedName>
    <definedName name="drlFilter">[1]Settings!$D$27</definedName>
    <definedName name="End">#REF!</definedName>
    <definedName name="ExcludeIC">'[6]Vashon BS'!#REF!</definedName>
    <definedName name="FBTable">#REF!</definedName>
    <definedName name="FBTableOld">#REF!</definedName>
    <definedName name="filter">[1]Settings!$B$14:$H$25</definedName>
    <definedName name="GLMappingStart">#REF!</definedName>
    <definedName name="IncomeStmnt">#REF!</definedName>
    <definedName name="INPUT">#REF!</definedName>
    <definedName name="Insurance">#REF!</definedName>
    <definedName name="JEDetail">#REF!</definedName>
    <definedName name="JEType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>#REF!</definedName>
    <definedName name="MemoAttachment">#REF!</definedName>
    <definedName name="MetaSet">[1]Orientation!$C$22</definedName>
    <definedName name="NewOnlyOrg">#N/A</definedName>
    <definedName name="NOTES">#REF!</definedName>
    <definedName name="NR">#REF!</definedName>
    <definedName name="OfficerSalary">#N/A</definedName>
    <definedName name="OffsetAcctBil">[7]JEexport!$L$10</definedName>
    <definedName name="OffsetAcctPmt">[7]JEexport!$L$9</definedName>
    <definedName name="Org11_13">#N/A</definedName>
    <definedName name="Org7_10">#N/A</definedName>
    <definedName name="p">#REF!</definedName>
    <definedName name="PAGE_1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rimtbl">[1]Orientation!$C$23</definedName>
    <definedName name="_xlnm.Print_Area" localSheetId="3">'Consolidated Cust Cnt'!$A$1:$E$274</definedName>
    <definedName name="_xlnm.Print_Area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_xlnm.Print_Titles" localSheetId="3">'Consolidated Cust Cnt'!$1:$6</definedName>
    <definedName name="_xlnm.Print_Titles" localSheetId="1">'DF Calculation'!$A:$C,'DF Calculation'!$1:$6</definedName>
    <definedName name="_xlnm.Print_Titles" localSheetId="2">'Proposed Rates'!$4:$6</definedName>
    <definedName name="Print1">#REF!</definedName>
    <definedName name="Print2">#REF!</definedName>
    <definedName name="Print5">#REF!</definedName>
    <definedName name="ProRev">'[3]Pacific Regulated - Price Out'!$M$49</definedName>
    <definedName name="ProRev_com">'[3]Pacific Regulated - Price Out'!$M$213</definedName>
    <definedName name="ProRev_mfr">'[3]Pacific Regulated - Price Out'!$M$221</definedName>
    <definedName name="ProRev_ro">'[3]Pacific Regulated - Price Out'!$M$281</definedName>
    <definedName name="ProRev_rr">'[3]Pacific Regulated - Price Out'!$M$58</definedName>
    <definedName name="ProRev_yw">'[3]Pacific Regulated - Price Out'!$M$69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latedSalary">#N/A</definedName>
    <definedName name="report_type">[1]Orientation!$C$24</definedName>
    <definedName name="ReportNames">[8]ControlPanel!$S$2:$S$16</definedName>
    <definedName name="ReportVersion">[1]Settings!$D$5</definedName>
    <definedName name="RetainedEarnings">#REF!</definedName>
    <definedName name="RevCust">[9]RevenuesCust!#REF!</definedName>
    <definedName name="RevCustomer">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>#REF!</definedName>
    <definedName name="sSRCDate">'[10]Feb''12 FAR Data'!#REF!</definedName>
    <definedName name="Supplemental_filter">[1]Settings!$C$31</definedName>
    <definedName name="SWDisposal">#N/A</definedName>
    <definedName name="System">[11]BS_Close!$V$8</definedName>
    <definedName name="TemplateEnd">#REF!</definedName>
    <definedName name="TemplateStart">#REF!</definedName>
    <definedName name="TheTable">#REF!</definedName>
    <definedName name="TheTableOLD">#REF!</definedName>
    <definedName name="timeseries">[1]Orientation!$B$6:$C$13</definedName>
    <definedName name="Total_Comm">'[4]Tariff Rate Sheet'!$L$214</definedName>
    <definedName name="Total_DB">'[4]Tariff Rate Sheet'!$L$278</definedName>
    <definedName name="Total_Resi">'[4]Tariff Rate Sheet'!$L$107</definedName>
    <definedName name="Transactions">#REF!</definedName>
    <definedName name="WTable">#REF!</definedName>
    <definedName name="WTableOld">#REF!</definedName>
    <definedName name="ww">#REF!</definedName>
    <definedName name="xperiod">[1]Orientation!$G$15</definedName>
    <definedName name="xtabin">[2]Hidden!#REF!</definedName>
    <definedName name="xx">#REF!</definedName>
    <definedName name="xxx">#REF!</definedName>
    <definedName name="xxxx">#REF!</definedName>
    <definedName name="YearMonth">'[6]Vashon BS'!#REF!</definedName>
    <definedName name="YWMedWasteDisp">#N/A</definedName>
    <definedName name="yy">#REF!</definedName>
  </definedNames>
  <calcPr calcId="152511"/>
</workbook>
</file>

<file path=xl/calcChain.xml><?xml version="1.0" encoding="utf-8"?>
<calcChain xmlns="http://schemas.openxmlformats.org/spreadsheetml/2006/main">
  <c r="M36" i="7" l="1"/>
  <c r="G115" i="7" l="1"/>
  <c r="H115" i="7" s="1"/>
  <c r="F115" i="7"/>
  <c r="H60" i="4" l="1"/>
  <c r="D131" i="12" l="1"/>
  <c r="G163" i="7"/>
  <c r="G162" i="7"/>
  <c r="G161" i="7"/>
  <c r="G160" i="7"/>
  <c r="G167" i="7"/>
  <c r="G164" i="7"/>
  <c r="G166" i="7" l="1"/>
  <c r="G165" i="7"/>
  <c r="M124" i="7"/>
  <c r="G124" i="7"/>
  <c r="M22" i="7" l="1"/>
  <c r="M130" i="7"/>
  <c r="M167" i="7" l="1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G140" i="7"/>
  <c r="H167" i="7"/>
  <c r="H166" i="7"/>
  <c r="H165" i="7"/>
  <c r="H164" i="7"/>
  <c r="H163" i="7"/>
  <c r="H162" i="7"/>
  <c r="H161" i="7"/>
  <c r="H160" i="7"/>
  <c r="G159" i="7"/>
  <c r="G158" i="7"/>
  <c r="G157" i="7"/>
  <c r="G156" i="7"/>
  <c r="H157" i="7" l="1"/>
  <c r="H158" i="7"/>
  <c r="H159" i="7"/>
  <c r="H156" i="7"/>
  <c r="G155" i="7"/>
  <c r="G154" i="7"/>
  <c r="G153" i="7"/>
  <c r="G152" i="7"/>
  <c r="G151" i="7"/>
  <c r="G150" i="7"/>
  <c r="G149" i="7"/>
  <c r="G148" i="7"/>
  <c r="G143" i="7"/>
  <c r="G142" i="7"/>
  <c r="G147" i="7"/>
  <c r="G146" i="7"/>
  <c r="G145" i="7"/>
  <c r="G144" i="7"/>
  <c r="G141" i="7"/>
  <c r="H140" i="7"/>
  <c r="G139" i="7"/>
  <c r="G138" i="7"/>
  <c r="H141" i="7" l="1"/>
  <c r="H147" i="7"/>
  <c r="H153" i="7"/>
  <c r="H142" i="7"/>
  <c r="H149" i="7"/>
  <c r="H138" i="7"/>
  <c r="H144" i="7"/>
  <c r="H150" i="7"/>
  <c r="H154" i="7"/>
  <c r="H139" i="7"/>
  <c r="H145" i="7"/>
  <c r="H143" i="7"/>
  <c r="H151" i="7"/>
  <c r="H155" i="7"/>
  <c r="H146" i="7"/>
  <c r="H148" i="7"/>
  <c r="H152" i="7"/>
  <c r="C40" i="4" l="1"/>
  <c r="G60" i="7" l="1"/>
  <c r="M60" i="7"/>
  <c r="T60" i="7"/>
  <c r="W60" i="7"/>
  <c r="AC60" i="7" l="1"/>
  <c r="AA60" i="7"/>
  <c r="G22" i="7"/>
  <c r="AE60" i="7" l="1"/>
  <c r="C61" i="4"/>
  <c r="C66" i="4" l="1"/>
  <c r="C157" i="12"/>
  <c r="C156" i="12"/>
  <c r="M21" i="7"/>
  <c r="M125" i="7" l="1"/>
  <c r="G125" i="7"/>
  <c r="C173" i="7" l="1"/>
  <c r="M25" i="7" l="1"/>
  <c r="M100" i="7" l="1"/>
  <c r="W106" i="7"/>
  <c r="W105" i="7"/>
  <c r="M85" i="7" l="1"/>
  <c r="M82" i="7"/>
  <c r="E32" i="11"/>
  <c r="E31" i="11"/>
  <c r="D274" i="11" l="1"/>
  <c r="E274" i="11" s="1"/>
  <c r="T82" i="7" l="1"/>
  <c r="D272" i="11"/>
  <c r="E272" i="11" s="1"/>
  <c r="T85" i="7" l="1"/>
  <c r="D273" i="11"/>
  <c r="E273" i="11" s="1"/>
  <c r="T87" i="7"/>
  <c r="W35" i="7" l="1"/>
  <c r="W104" i="7"/>
  <c r="W101" i="7"/>
  <c r="W98" i="7"/>
  <c r="W91" i="7"/>
  <c r="W90" i="7"/>
  <c r="W83" i="7"/>
  <c r="W88" i="7"/>
  <c r="W84" i="7"/>
  <c r="W77" i="7"/>
  <c r="W76" i="7"/>
  <c r="W69" i="7"/>
  <c r="W68" i="7"/>
  <c r="W65" i="7"/>
  <c r="W62" i="7"/>
  <c r="W58" i="7"/>
  <c r="W54" i="7"/>
  <c r="W53" i="7"/>
  <c r="W50" i="7"/>
  <c r="W49" i="7"/>
  <c r="W46" i="7"/>
  <c r="W45" i="7"/>
  <c r="W43" i="7"/>
  <c r="W42" i="7"/>
  <c r="W39" i="7"/>
  <c r="W34" i="7"/>
  <c r="W33" i="7"/>
  <c r="W32" i="7"/>
  <c r="W30" i="7"/>
  <c r="W29" i="7"/>
  <c r="W28" i="7"/>
  <c r="W27" i="7"/>
  <c r="W25" i="7"/>
  <c r="AC25" i="7" s="1"/>
  <c r="W24" i="7"/>
  <c r="W22" i="7"/>
  <c r="AC22" i="7" s="1"/>
  <c r="W21" i="7"/>
  <c r="AC21" i="7" s="1"/>
  <c r="W20" i="7"/>
  <c r="W19" i="7"/>
  <c r="W18" i="7"/>
  <c r="W16" i="7"/>
  <c r="W13" i="7"/>
  <c r="W11" i="7"/>
  <c r="W102" i="7" l="1"/>
  <c r="W97" i="7"/>
  <c r="W15" i="7"/>
  <c r="W38" i="7"/>
  <c r="W44" i="7"/>
  <c r="W52" i="7"/>
  <c r="W63" i="7"/>
  <c r="W66" i="7"/>
  <c r="W78" i="7"/>
  <c r="W92" i="7"/>
  <c r="W103" i="7"/>
  <c r="W10" i="7"/>
  <c r="W55" i="7"/>
  <c r="W61" i="7"/>
  <c r="W71" i="7"/>
  <c r="W74" i="7"/>
  <c r="W99" i="7"/>
  <c r="W17" i="7"/>
  <c r="W80" i="7"/>
  <c r="W95" i="7"/>
  <c r="W87" i="7"/>
  <c r="W37" i="7"/>
  <c r="W47" i="7"/>
  <c r="W72" i="7"/>
  <c r="W85" i="7"/>
  <c r="W14" i="7"/>
  <c r="W26" i="7"/>
  <c r="W67" i="7"/>
  <c r="W81" i="7"/>
  <c r="W96" i="7"/>
  <c r="W36" i="7"/>
  <c r="W59" i="7"/>
  <c r="W41" i="7"/>
  <c r="W100" i="7"/>
  <c r="W48" i="7"/>
  <c r="W56" i="7"/>
  <c r="W73" i="7"/>
  <c r="W75" i="7"/>
  <c r="W79" i="7"/>
  <c r="W82" i="7"/>
  <c r="W89" i="7"/>
  <c r="W94" i="7"/>
  <c r="W40" i="7"/>
  <c r="W8" i="7"/>
  <c r="W51" i="7"/>
  <c r="W93" i="7"/>
  <c r="W9" i="7"/>
  <c r="W12" i="7"/>
  <c r="W31" i="7"/>
  <c r="W64" i="7"/>
  <c r="W70" i="7"/>
  <c r="W86" i="7"/>
  <c r="W7" i="7"/>
  <c r="T106" i="7"/>
  <c r="T105" i="7"/>
  <c r="T104" i="7"/>
  <c r="T103" i="7"/>
  <c r="T102" i="7"/>
  <c r="T101" i="7"/>
  <c r="T100" i="7"/>
  <c r="T99" i="7"/>
  <c r="T98" i="7"/>
  <c r="T97" i="7"/>
  <c r="T96" i="7"/>
  <c r="T95" i="7"/>
  <c r="T94" i="7"/>
  <c r="T93" i="7"/>
  <c r="T92" i="7"/>
  <c r="T91" i="7"/>
  <c r="T90" i="7"/>
  <c r="T89" i="7"/>
  <c r="T88" i="7"/>
  <c r="T86" i="7"/>
  <c r="T84" i="7"/>
  <c r="M83" i="7"/>
  <c r="T83" i="7"/>
  <c r="T81" i="7"/>
  <c r="T80" i="7"/>
  <c r="T79" i="7"/>
  <c r="T78" i="7"/>
  <c r="T77" i="7"/>
  <c r="T76" i="7"/>
  <c r="T75" i="7"/>
  <c r="T74" i="7"/>
  <c r="T73" i="7"/>
  <c r="T72" i="7"/>
  <c r="T71" i="7"/>
  <c r="T70" i="7"/>
  <c r="T69" i="7"/>
  <c r="T68" i="7"/>
  <c r="T67" i="7"/>
  <c r="T66" i="7"/>
  <c r="T65" i="7"/>
  <c r="T64" i="7"/>
  <c r="T63" i="7"/>
  <c r="T62" i="7"/>
  <c r="T61" i="7"/>
  <c r="T59" i="7"/>
  <c r="T58" i="7"/>
  <c r="G55" i="7"/>
  <c r="T55" i="7"/>
  <c r="M55" i="7"/>
  <c r="E55" i="7"/>
  <c r="T56" i="7"/>
  <c r="T54" i="7"/>
  <c r="T53" i="7"/>
  <c r="T52" i="7"/>
  <c r="T51" i="7"/>
  <c r="G50" i="7"/>
  <c r="T50" i="7"/>
  <c r="M50" i="7"/>
  <c r="E50" i="7"/>
  <c r="T49" i="7"/>
  <c r="T48" i="7"/>
  <c r="T47" i="7"/>
  <c r="T46" i="7"/>
  <c r="T45" i="7"/>
  <c r="T44" i="7"/>
  <c r="T40" i="7"/>
  <c r="T39" i="7"/>
  <c r="T43" i="7"/>
  <c r="T42" i="7"/>
  <c r="T41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AA25" i="7" s="1"/>
  <c r="AE25" i="7" s="1"/>
  <c r="T24" i="7"/>
  <c r="T22" i="7"/>
  <c r="AA22" i="7" s="1"/>
  <c r="AE22" i="7" s="1"/>
  <c r="T21" i="7"/>
  <c r="AA21" i="7" s="1"/>
  <c r="AE21" i="7" s="1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7" i="7"/>
  <c r="AC50" i="7" l="1"/>
  <c r="AA50" i="7"/>
  <c r="AA55" i="7"/>
  <c r="AC55" i="7"/>
  <c r="M80" i="7"/>
  <c r="M79" i="7"/>
  <c r="M72" i="7"/>
  <c r="G62" i="7"/>
  <c r="G61" i="7"/>
  <c r="AE50" i="7" l="1"/>
  <c r="AE55" i="7"/>
  <c r="G21" i="7"/>
  <c r="M20" i="7"/>
  <c r="G72" i="7"/>
  <c r="E106" i="7"/>
  <c r="E105" i="7"/>
  <c r="E104" i="7"/>
  <c r="E103" i="7"/>
  <c r="E102" i="7"/>
  <c r="E101" i="7"/>
  <c r="E100" i="7"/>
  <c r="E99" i="7"/>
  <c r="D191" i="11"/>
  <c r="D190" i="11"/>
  <c r="G100" i="7"/>
  <c r="E88" i="7"/>
  <c r="E83" i="7"/>
  <c r="E59" i="7"/>
  <c r="E58" i="7"/>
  <c r="E56" i="7"/>
  <c r="E54" i="7"/>
  <c r="E53" i="7"/>
  <c r="E52" i="7"/>
  <c r="E51" i="7"/>
  <c r="E49" i="7"/>
  <c r="D189" i="11"/>
  <c r="E189" i="11" s="1"/>
  <c r="D188" i="11"/>
  <c r="D187" i="11"/>
  <c r="D186" i="11"/>
  <c r="D185" i="11"/>
  <c r="E185" i="11" s="1"/>
  <c r="D183" i="11"/>
  <c r="D182" i="11"/>
  <c r="D181" i="11"/>
  <c r="D179" i="11"/>
  <c r="D178" i="11"/>
  <c r="D177" i="11"/>
  <c r="D176" i="11"/>
  <c r="D175" i="11"/>
  <c r="D174" i="11"/>
  <c r="D173" i="11"/>
  <c r="D172" i="11"/>
  <c r="D171" i="11"/>
  <c r="D170" i="11"/>
  <c r="D168" i="11"/>
  <c r="D167" i="11"/>
  <c r="D166" i="11"/>
  <c r="D165" i="11"/>
  <c r="D164" i="11"/>
  <c r="D163" i="11"/>
  <c r="E163" i="11" s="1"/>
  <c r="D162" i="11"/>
  <c r="E162" i="11" s="1"/>
  <c r="D161" i="11"/>
  <c r="E161" i="11" s="1"/>
  <c r="D160" i="11"/>
  <c r="D159" i="11"/>
  <c r="E159" i="11" s="1"/>
  <c r="D158" i="11"/>
  <c r="D157" i="11"/>
  <c r="E157" i="11" s="1"/>
  <c r="D156" i="11"/>
  <c r="E156" i="11" s="1"/>
  <c r="D155" i="11"/>
  <c r="D154" i="11"/>
  <c r="D153" i="11"/>
  <c r="D152" i="11"/>
  <c r="E152" i="11" s="1"/>
  <c r="D151" i="11"/>
  <c r="D150" i="11"/>
  <c r="D77" i="7" s="1"/>
  <c r="D149" i="11"/>
  <c r="D76" i="7" s="1"/>
  <c r="D148" i="11"/>
  <c r="D75" i="7" s="1"/>
  <c r="D147" i="11"/>
  <c r="D74" i="7" s="1"/>
  <c r="D146" i="11"/>
  <c r="D73" i="7" s="1"/>
  <c r="D145" i="11"/>
  <c r="D72" i="7" s="1"/>
  <c r="D144" i="11"/>
  <c r="D71" i="7" s="1"/>
  <c r="D143" i="11"/>
  <c r="D70" i="7" s="1"/>
  <c r="D142" i="11"/>
  <c r="D69" i="7" s="1"/>
  <c r="D141" i="11"/>
  <c r="D68" i="7" s="1"/>
  <c r="D140" i="11"/>
  <c r="D67" i="7" s="1"/>
  <c r="D139" i="11"/>
  <c r="D66" i="7" s="1"/>
  <c r="D138" i="11"/>
  <c r="E138" i="11" s="1"/>
  <c r="D137" i="11"/>
  <c r="D65" i="7" s="1"/>
  <c r="D136" i="11"/>
  <c r="D64" i="7" s="1"/>
  <c r="D134" i="11"/>
  <c r="E134" i="11" s="1"/>
  <c r="D133" i="11"/>
  <c r="E133" i="11" s="1"/>
  <c r="D132" i="11"/>
  <c r="D63" i="7" s="1"/>
  <c r="D131" i="11"/>
  <c r="D62" i="7" s="1"/>
  <c r="D130" i="11"/>
  <c r="D61" i="7" s="1"/>
  <c r="D129" i="11"/>
  <c r="D60" i="7" s="1"/>
  <c r="D125" i="11"/>
  <c r="E125" i="11" s="1"/>
  <c r="D124" i="11"/>
  <c r="E124" i="11" s="1"/>
  <c r="D123" i="11"/>
  <c r="E123" i="11" s="1"/>
  <c r="D122" i="11"/>
  <c r="E122" i="11" s="1"/>
  <c r="D121" i="11"/>
  <c r="E121" i="11" s="1"/>
  <c r="D120" i="11"/>
  <c r="E120" i="11" s="1"/>
  <c r="D118" i="11"/>
  <c r="E118" i="11" s="1"/>
  <c r="D117" i="11"/>
  <c r="E117" i="11" s="1"/>
  <c r="D116" i="11"/>
  <c r="D59" i="7" s="1"/>
  <c r="D268" i="11"/>
  <c r="E268" i="11" s="1"/>
  <c r="D266" i="11"/>
  <c r="E266" i="11" s="1"/>
  <c r="D265" i="11"/>
  <c r="E265" i="11" s="1"/>
  <c r="D264" i="11"/>
  <c r="E264" i="11" s="1"/>
  <c r="D263" i="11"/>
  <c r="E263" i="11" s="1"/>
  <c r="D262" i="11"/>
  <c r="E262" i="11" s="1"/>
  <c r="D261" i="11"/>
  <c r="E261" i="11" s="1"/>
  <c r="D260" i="11"/>
  <c r="E260" i="11" s="1"/>
  <c r="D259" i="11"/>
  <c r="E259" i="11" s="1"/>
  <c r="D256" i="11"/>
  <c r="E256" i="11" s="1"/>
  <c r="D255" i="11"/>
  <c r="E255" i="11" s="1"/>
  <c r="D253" i="11"/>
  <c r="E253" i="11" s="1"/>
  <c r="D252" i="11"/>
  <c r="D251" i="11"/>
  <c r="D246" i="11"/>
  <c r="E246" i="11" s="1"/>
  <c r="D248" i="11"/>
  <c r="E248" i="11" s="1"/>
  <c r="D247" i="11"/>
  <c r="E247" i="11" s="1"/>
  <c r="D245" i="11"/>
  <c r="E245" i="11" s="1"/>
  <c r="D244" i="11"/>
  <c r="E244" i="11" s="1"/>
  <c r="D243" i="11"/>
  <c r="E243" i="11" s="1"/>
  <c r="D242" i="11"/>
  <c r="E242" i="11" s="1"/>
  <c r="D241" i="11"/>
  <c r="E241" i="11" s="1"/>
  <c r="D240" i="11"/>
  <c r="E240" i="11" s="1"/>
  <c r="D239" i="11"/>
  <c r="E239" i="11" s="1"/>
  <c r="D238" i="11"/>
  <c r="E238" i="11" s="1"/>
  <c r="D237" i="11"/>
  <c r="E237" i="11" s="1"/>
  <c r="D234" i="11"/>
  <c r="E234" i="11" s="1"/>
  <c r="D233" i="11"/>
  <c r="E233" i="11" s="1"/>
  <c r="D232" i="11"/>
  <c r="E232" i="11" s="1"/>
  <c r="D231" i="11"/>
  <c r="E231" i="11" s="1"/>
  <c r="D230" i="11"/>
  <c r="E230" i="11" s="1"/>
  <c r="D229" i="11"/>
  <c r="E229" i="11" s="1"/>
  <c r="D228" i="11"/>
  <c r="E228" i="11" s="1"/>
  <c r="D225" i="11"/>
  <c r="E225" i="11" s="1"/>
  <c r="D224" i="11"/>
  <c r="E224" i="11" s="1"/>
  <c r="D223" i="11"/>
  <c r="E223" i="11" s="1"/>
  <c r="D222" i="11"/>
  <c r="E222" i="11" s="1"/>
  <c r="D221" i="11"/>
  <c r="E221" i="11" s="1"/>
  <c r="D218" i="11"/>
  <c r="E218" i="11" s="1"/>
  <c r="D217" i="11"/>
  <c r="E217" i="11" s="1"/>
  <c r="D216" i="11"/>
  <c r="E216" i="11" s="1"/>
  <c r="D215" i="11"/>
  <c r="E215" i="11" s="1"/>
  <c r="D212" i="11"/>
  <c r="E212" i="11" s="1"/>
  <c r="D211" i="11"/>
  <c r="E211" i="11" s="1"/>
  <c r="D210" i="11"/>
  <c r="E210" i="11" s="1"/>
  <c r="D209" i="11"/>
  <c r="E209" i="11" s="1"/>
  <c r="D206" i="11"/>
  <c r="E206" i="11" s="1"/>
  <c r="D205" i="11"/>
  <c r="E205" i="11" s="1"/>
  <c r="D204" i="11"/>
  <c r="E204" i="11" s="1"/>
  <c r="D203" i="11"/>
  <c r="E203" i="11" s="1"/>
  <c r="D202" i="11"/>
  <c r="E202" i="11" s="1"/>
  <c r="D199" i="11"/>
  <c r="E199" i="11" s="1"/>
  <c r="D198" i="11"/>
  <c r="E198" i="11" s="1"/>
  <c r="D197" i="11"/>
  <c r="E197" i="11" s="1"/>
  <c r="D196" i="11"/>
  <c r="E196" i="11" s="1"/>
  <c r="D195" i="11"/>
  <c r="E195" i="11" s="1"/>
  <c r="E36" i="7"/>
  <c r="E35" i="7"/>
  <c r="D114" i="11"/>
  <c r="D58" i="7" s="1"/>
  <c r="D111" i="11"/>
  <c r="D56" i="7" s="1"/>
  <c r="D110" i="11"/>
  <c r="D55" i="7" s="1"/>
  <c r="F55" i="7" s="1"/>
  <c r="D109" i="11"/>
  <c r="D108" i="11"/>
  <c r="D107" i="11"/>
  <c r="D105" i="11"/>
  <c r="D104" i="11"/>
  <c r="D103" i="11"/>
  <c r="D102" i="11"/>
  <c r="E102" i="11" s="1"/>
  <c r="D101" i="11"/>
  <c r="D100" i="11"/>
  <c r="D99" i="11"/>
  <c r="D98" i="11"/>
  <c r="E98" i="11" s="1"/>
  <c r="D97" i="11"/>
  <c r="D96" i="11"/>
  <c r="D95" i="11"/>
  <c r="D94" i="11"/>
  <c r="D93" i="11"/>
  <c r="D92" i="11"/>
  <c r="D91" i="11"/>
  <c r="D90" i="11"/>
  <c r="D89" i="11"/>
  <c r="E89" i="11" s="1"/>
  <c r="D88" i="11"/>
  <c r="D37" i="7" s="1"/>
  <c r="D85" i="11"/>
  <c r="D84" i="11"/>
  <c r="E84" i="11" s="1"/>
  <c r="D83" i="11"/>
  <c r="D82" i="11"/>
  <c r="D81" i="11"/>
  <c r="D80" i="11"/>
  <c r="D79" i="11"/>
  <c r="D78" i="11"/>
  <c r="D77" i="11"/>
  <c r="D76" i="11"/>
  <c r="D74" i="11"/>
  <c r="E74" i="11" s="1"/>
  <c r="D73" i="11"/>
  <c r="E73" i="11" s="1"/>
  <c r="D72" i="11"/>
  <c r="E72" i="11" s="1"/>
  <c r="D70" i="11"/>
  <c r="E70" i="11" s="1"/>
  <c r="D69" i="11"/>
  <c r="E69" i="11" s="1"/>
  <c r="D68" i="11"/>
  <c r="E68" i="11" s="1"/>
  <c r="D67" i="11"/>
  <c r="E67" i="11" s="1"/>
  <c r="D66" i="11"/>
  <c r="E66" i="11" s="1"/>
  <c r="D64" i="11"/>
  <c r="E64" i="11" s="1"/>
  <c r="D63" i="11"/>
  <c r="E63" i="11" s="1"/>
  <c r="D61" i="11"/>
  <c r="E61" i="11" s="1"/>
  <c r="D60" i="11"/>
  <c r="D58" i="11"/>
  <c r="D56" i="11"/>
  <c r="E56" i="11" s="1"/>
  <c r="D55" i="11"/>
  <c r="E55" i="11" s="1"/>
  <c r="D54" i="11"/>
  <c r="E54" i="11" s="1"/>
  <c r="D50" i="11"/>
  <c r="D22" i="7" s="1"/>
  <c r="P22" i="7" s="1"/>
  <c r="D49" i="11"/>
  <c r="D21" i="7" s="1"/>
  <c r="P21" i="7" s="1"/>
  <c r="D48" i="11"/>
  <c r="E48" i="11" s="1"/>
  <c r="E25" i="7"/>
  <c r="E7" i="7"/>
  <c r="E24" i="7"/>
  <c r="P60" i="7" l="1"/>
  <c r="AC20" i="7"/>
  <c r="AA20" i="7"/>
  <c r="AC83" i="7"/>
  <c r="AA83" i="7"/>
  <c r="AC100" i="7"/>
  <c r="AA100" i="7"/>
  <c r="F59" i="7"/>
  <c r="F56" i="7"/>
  <c r="D35" i="7"/>
  <c r="F35" i="7" s="1"/>
  <c r="E251" i="11"/>
  <c r="D81" i="7"/>
  <c r="E155" i="11"/>
  <c r="E83" i="11"/>
  <c r="D33" i="7"/>
  <c r="E93" i="11"/>
  <c r="D41" i="7"/>
  <c r="E101" i="11"/>
  <c r="D48" i="7"/>
  <c r="P55" i="7"/>
  <c r="D36" i="7"/>
  <c r="F36" i="7" s="1"/>
  <c r="E252" i="11"/>
  <c r="D87" i="7"/>
  <c r="E164" i="11"/>
  <c r="D92" i="7"/>
  <c r="E173" i="11"/>
  <c r="D100" i="7"/>
  <c r="F100" i="7" s="1"/>
  <c r="E182" i="11"/>
  <c r="E76" i="11"/>
  <c r="D26" i="7"/>
  <c r="E94" i="11"/>
  <c r="D42" i="7"/>
  <c r="D88" i="7"/>
  <c r="F88" i="7" s="1"/>
  <c r="E165" i="11"/>
  <c r="D93" i="7"/>
  <c r="E174" i="11"/>
  <c r="D101" i="7"/>
  <c r="F101" i="7" s="1"/>
  <c r="E183" i="11"/>
  <c r="E82" i="11"/>
  <c r="D32" i="7"/>
  <c r="D99" i="7"/>
  <c r="F99" i="7" s="1"/>
  <c r="E181" i="11"/>
  <c r="E77" i="11"/>
  <c r="D27" i="7"/>
  <c r="E95" i="11"/>
  <c r="D43" i="7"/>
  <c r="F58" i="7"/>
  <c r="E78" i="11"/>
  <c r="D28" i="7"/>
  <c r="E104" i="11"/>
  <c r="D50" i="7"/>
  <c r="F50" i="7" s="1"/>
  <c r="D78" i="7"/>
  <c r="E151" i="11"/>
  <c r="D82" i="7"/>
  <c r="E167" i="11"/>
  <c r="D95" i="7"/>
  <c r="E176" i="11"/>
  <c r="D102" i="7"/>
  <c r="F102" i="7" s="1"/>
  <c r="E186" i="11"/>
  <c r="D106" i="7"/>
  <c r="F106" i="7" s="1"/>
  <c r="E191" i="11"/>
  <c r="E58" i="11"/>
  <c r="D24" i="7"/>
  <c r="E79" i="11"/>
  <c r="D29" i="7"/>
  <c r="E97" i="11"/>
  <c r="D45" i="7"/>
  <c r="E105" i="11"/>
  <c r="D51" i="7"/>
  <c r="F51" i="7" s="1"/>
  <c r="D86" i="7"/>
  <c r="E160" i="11"/>
  <c r="D85" i="7"/>
  <c r="E168" i="11"/>
  <c r="D96" i="7"/>
  <c r="E177" i="11"/>
  <c r="D103" i="7"/>
  <c r="F103" i="7" s="1"/>
  <c r="E187" i="11"/>
  <c r="E92" i="11"/>
  <c r="D40" i="7"/>
  <c r="E109" i="11"/>
  <c r="D54" i="7"/>
  <c r="F54" i="7" s="1"/>
  <c r="E85" i="11"/>
  <c r="D34" i="7"/>
  <c r="D83" i="7"/>
  <c r="F83" i="7" s="1"/>
  <c r="E166" i="11"/>
  <c r="D105" i="7"/>
  <c r="F105" i="7" s="1"/>
  <c r="E190" i="11"/>
  <c r="E60" i="11"/>
  <c r="D25" i="7"/>
  <c r="E80" i="11"/>
  <c r="D30" i="7"/>
  <c r="E90" i="11"/>
  <c r="D38" i="7"/>
  <c r="E107" i="11"/>
  <c r="D52" i="7"/>
  <c r="F52" i="7" s="1"/>
  <c r="D79" i="7"/>
  <c r="E153" i="11"/>
  <c r="D89" i="7"/>
  <c r="E170" i="11"/>
  <c r="D97" i="7"/>
  <c r="E178" i="11"/>
  <c r="D104" i="7"/>
  <c r="F104" i="7" s="1"/>
  <c r="E188" i="11"/>
  <c r="E100" i="11"/>
  <c r="D47" i="7"/>
  <c r="D91" i="7"/>
  <c r="E172" i="11"/>
  <c r="E103" i="11"/>
  <c r="D49" i="7"/>
  <c r="F49" i="7" s="1"/>
  <c r="D84" i="7"/>
  <c r="E158" i="11"/>
  <c r="D94" i="7"/>
  <c r="E175" i="11"/>
  <c r="E96" i="11"/>
  <c r="D44" i="7"/>
  <c r="E81" i="11"/>
  <c r="D31" i="7"/>
  <c r="E91" i="11"/>
  <c r="D39" i="7"/>
  <c r="E99" i="11"/>
  <c r="D46" i="7"/>
  <c r="E108" i="11"/>
  <c r="D53" i="7"/>
  <c r="F53" i="7" s="1"/>
  <c r="D80" i="7"/>
  <c r="E154" i="11"/>
  <c r="D90" i="7"/>
  <c r="E171" i="11"/>
  <c r="D98" i="7"/>
  <c r="E179" i="11"/>
  <c r="E129" i="11"/>
  <c r="E146" i="11"/>
  <c r="E50" i="11"/>
  <c r="E110" i="11"/>
  <c r="E130" i="11"/>
  <c r="E139" i="11"/>
  <c r="E147" i="11"/>
  <c r="E111" i="11"/>
  <c r="E131" i="11"/>
  <c r="E140" i="11"/>
  <c r="E148" i="11"/>
  <c r="E132" i="11"/>
  <c r="E149" i="11"/>
  <c r="E150" i="11"/>
  <c r="E143" i="11"/>
  <c r="E49" i="11"/>
  <c r="E114" i="11"/>
  <c r="E141" i="11"/>
  <c r="E142" i="11"/>
  <c r="E136" i="11"/>
  <c r="E144" i="11"/>
  <c r="E88" i="11"/>
  <c r="E116" i="11"/>
  <c r="E137" i="11"/>
  <c r="E145" i="11"/>
  <c r="AE100" i="7" l="1"/>
  <c r="AE83" i="7"/>
  <c r="AE20" i="7"/>
  <c r="F24" i="7"/>
  <c r="F25" i="7"/>
  <c r="P25" i="7"/>
  <c r="D108" i="7"/>
  <c r="P50" i="7"/>
  <c r="H50" i="7"/>
  <c r="P83" i="7"/>
  <c r="P100" i="7"/>
  <c r="H100" i="7"/>
  <c r="H55" i="7"/>
  <c r="G25" i="7"/>
  <c r="G59" i="7"/>
  <c r="C54" i="4"/>
  <c r="C53" i="4"/>
  <c r="C51" i="4"/>
  <c r="C50" i="4"/>
  <c r="G80" i="7" s="1"/>
  <c r="C49" i="4"/>
  <c r="C47" i="4"/>
  <c r="G84" i="7" s="1"/>
  <c r="C46" i="4"/>
  <c r="C45" i="4"/>
  <c r="G88" i="7" s="1"/>
  <c r="C44" i="4"/>
  <c r="C42" i="4"/>
  <c r="C41" i="4"/>
  <c r="G79" i="7" s="1"/>
  <c r="G78" i="7"/>
  <c r="G87" i="7" l="1"/>
  <c r="G85" i="7"/>
  <c r="G86" i="7"/>
  <c r="G82" i="7"/>
  <c r="G81" i="7"/>
  <c r="G83" i="7"/>
  <c r="H83" i="7" s="1"/>
  <c r="M133" i="7"/>
  <c r="M132" i="7"/>
  <c r="M131" i="7"/>
  <c r="M129" i="7"/>
  <c r="M128" i="7"/>
  <c r="M127" i="7"/>
  <c r="M126" i="7"/>
  <c r="M123" i="7"/>
  <c r="M122" i="7"/>
  <c r="M121" i="7"/>
  <c r="M120" i="7"/>
  <c r="M106" i="7"/>
  <c r="M105" i="7"/>
  <c r="M104" i="7"/>
  <c r="M103" i="7"/>
  <c r="M102" i="7"/>
  <c r="M101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4" i="7"/>
  <c r="M81" i="7"/>
  <c r="M78" i="7"/>
  <c r="M77" i="7"/>
  <c r="M76" i="7"/>
  <c r="M75" i="7"/>
  <c r="M74" i="7"/>
  <c r="M73" i="7"/>
  <c r="M71" i="7"/>
  <c r="M70" i="7"/>
  <c r="M69" i="7"/>
  <c r="M66" i="7"/>
  <c r="M67" i="7" s="1"/>
  <c r="M65" i="7"/>
  <c r="M64" i="7"/>
  <c r="M63" i="7"/>
  <c r="M62" i="7"/>
  <c r="M61" i="7"/>
  <c r="M59" i="7"/>
  <c r="M58" i="7"/>
  <c r="M56" i="7"/>
  <c r="M54" i="7"/>
  <c r="M53" i="7"/>
  <c r="M52" i="7"/>
  <c r="M51" i="7"/>
  <c r="M49" i="7"/>
  <c r="M46" i="7"/>
  <c r="M47" i="7" s="1"/>
  <c r="M44" i="7"/>
  <c r="M45" i="7" s="1"/>
  <c r="M41" i="7"/>
  <c r="M43" i="7" s="1"/>
  <c r="M38" i="7"/>
  <c r="M40" i="7" s="1"/>
  <c r="M37" i="7"/>
  <c r="M119" i="7"/>
  <c r="M118" i="7"/>
  <c r="M117" i="7"/>
  <c r="M116" i="7"/>
  <c r="G119" i="7"/>
  <c r="G118" i="7"/>
  <c r="G116" i="7"/>
  <c r="M35" i="7"/>
  <c r="M34" i="7"/>
  <c r="M33" i="7"/>
  <c r="M32" i="7"/>
  <c r="M31" i="7"/>
  <c r="M30" i="7"/>
  <c r="M29" i="7"/>
  <c r="M28" i="7"/>
  <c r="M27" i="7"/>
  <c r="M26" i="7"/>
  <c r="M24" i="7"/>
  <c r="M114" i="7"/>
  <c r="M113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G117" i="7" l="1"/>
  <c r="AC18" i="7"/>
  <c r="AA18" i="7"/>
  <c r="AC29" i="7"/>
  <c r="AA29" i="7"/>
  <c r="P54" i="7"/>
  <c r="AC54" i="7"/>
  <c r="AA54" i="7"/>
  <c r="AC102" i="7"/>
  <c r="AA102" i="7"/>
  <c r="AC11" i="7"/>
  <c r="AA11" i="7"/>
  <c r="P26" i="7"/>
  <c r="AC26" i="7"/>
  <c r="AA26" i="7"/>
  <c r="P30" i="7"/>
  <c r="AA30" i="7"/>
  <c r="AC30" i="7"/>
  <c r="P56" i="7"/>
  <c r="AC56" i="7"/>
  <c r="AA56" i="7"/>
  <c r="AA9" i="7"/>
  <c r="AC9" i="7"/>
  <c r="AC13" i="7"/>
  <c r="AA13" i="7"/>
  <c r="AC17" i="7"/>
  <c r="AA17" i="7"/>
  <c r="P28" i="7"/>
  <c r="AC28" i="7"/>
  <c r="AA28" i="7"/>
  <c r="P32" i="7"/>
  <c r="AA32" i="7"/>
  <c r="AC32" i="7"/>
  <c r="P36" i="7"/>
  <c r="AC36" i="7"/>
  <c r="AA36" i="7"/>
  <c r="P53" i="7"/>
  <c r="AC53" i="7"/>
  <c r="AA53" i="7"/>
  <c r="AA59" i="7"/>
  <c r="AC59" i="7"/>
  <c r="AA88" i="7"/>
  <c r="AC88" i="7"/>
  <c r="AA101" i="7"/>
  <c r="AC101" i="7"/>
  <c r="AC105" i="7"/>
  <c r="AA105" i="7"/>
  <c r="AA14" i="7"/>
  <c r="AC14" i="7"/>
  <c r="P33" i="7"/>
  <c r="AC33" i="7"/>
  <c r="AA33" i="7"/>
  <c r="P49" i="7"/>
  <c r="AC49" i="7"/>
  <c r="AA49" i="7"/>
  <c r="AC15" i="7"/>
  <c r="AA15" i="7"/>
  <c r="AC103" i="7"/>
  <c r="AA103" i="7"/>
  <c r="AC10" i="7"/>
  <c r="AA10" i="7"/>
  <c r="P24" i="7"/>
  <c r="AC24" i="7"/>
  <c r="AA24" i="7"/>
  <c r="AC40" i="7"/>
  <c r="AA40" i="7"/>
  <c r="AC106" i="7"/>
  <c r="AA106" i="7"/>
  <c r="AC7" i="7"/>
  <c r="AA7" i="7"/>
  <c r="AC19" i="7"/>
  <c r="AA19" i="7"/>
  <c r="P51" i="7"/>
  <c r="AA51" i="7"/>
  <c r="AC51" i="7"/>
  <c r="AC8" i="7"/>
  <c r="AA8" i="7"/>
  <c r="AC12" i="7"/>
  <c r="AA12" i="7"/>
  <c r="AA16" i="7"/>
  <c r="AC16" i="7"/>
  <c r="P27" i="7"/>
  <c r="AC27" i="7"/>
  <c r="AA27" i="7"/>
  <c r="P31" i="7"/>
  <c r="AC31" i="7"/>
  <c r="AA31" i="7"/>
  <c r="P35" i="7"/>
  <c r="AC35" i="7"/>
  <c r="AA35" i="7"/>
  <c r="P52" i="7"/>
  <c r="AC52" i="7"/>
  <c r="AA52" i="7"/>
  <c r="AC58" i="7"/>
  <c r="AA58" i="7"/>
  <c r="AC99" i="7"/>
  <c r="AA99" i="7"/>
  <c r="AC104" i="7"/>
  <c r="AA104" i="7"/>
  <c r="M48" i="7"/>
  <c r="M68" i="7"/>
  <c r="M39" i="7"/>
  <c r="M42" i="7"/>
  <c r="AE104" i="7" l="1"/>
  <c r="AE58" i="7"/>
  <c r="AE103" i="7"/>
  <c r="AE49" i="7"/>
  <c r="AE105" i="7"/>
  <c r="AE53" i="7"/>
  <c r="AE17" i="7"/>
  <c r="AE26" i="7"/>
  <c r="AE19" i="7"/>
  <c r="AE106" i="7"/>
  <c r="AE36" i="7"/>
  <c r="AE30" i="7"/>
  <c r="AE35" i="7"/>
  <c r="AE8" i="7"/>
  <c r="AE24" i="7"/>
  <c r="AE33" i="7"/>
  <c r="AE14" i="7"/>
  <c r="AE32" i="7"/>
  <c r="AE11" i="7"/>
  <c r="AE54" i="7"/>
  <c r="AE18" i="7"/>
  <c r="AE101" i="7"/>
  <c r="AE59" i="7"/>
  <c r="AE99" i="7"/>
  <c r="AE52" i="7"/>
  <c r="AE16" i="7"/>
  <c r="AC23" i="7"/>
  <c r="AE10" i="7"/>
  <c r="AE15" i="7"/>
  <c r="AE13" i="7"/>
  <c r="AE56" i="7"/>
  <c r="AE29" i="7"/>
  <c r="AE27" i="7"/>
  <c r="AE31" i="7"/>
  <c r="AE12" i="7"/>
  <c r="AE51" i="7"/>
  <c r="AA23" i="7"/>
  <c r="AE7" i="7"/>
  <c r="AE40" i="7"/>
  <c r="AE88" i="7"/>
  <c r="AE28" i="7"/>
  <c r="AE9" i="7"/>
  <c r="AE102" i="7"/>
  <c r="D47" i="11"/>
  <c r="D46" i="11"/>
  <c r="E46" i="11" s="1"/>
  <c r="D45" i="11"/>
  <c r="D19" i="7" s="1"/>
  <c r="D44" i="11"/>
  <c r="D18" i="7" s="1"/>
  <c r="D43" i="11"/>
  <c r="D17" i="7" s="1"/>
  <c r="D42" i="11"/>
  <c r="D16" i="7" s="1"/>
  <c r="D41" i="11"/>
  <c r="D15" i="7" s="1"/>
  <c r="D40" i="11"/>
  <c r="D14" i="7" s="1"/>
  <c r="D39" i="11"/>
  <c r="D13" i="7" s="1"/>
  <c r="D38" i="11"/>
  <c r="D12" i="7" s="1"/>
  <c r="D37" i="11"/>
  <c r="D11" i="7" s="1"/>
  <c r="D36" i="11"/>
  <c r="D10" i="7" s="1"/>
  <c r="D35" i="11"/>
  <c r="D9" i="7" s="1"/>
  <c r="D34" i="11"/>
  <c r="D30" i="11"/>
  <c r="E30" i="11" s="1"/>
  <c r="D29" i="11"/>
  <c r="E29" i="11" s="1"/>
  <c r="D28" i="11"/>
  <c r="E28" i="11" s="1"/>
  <c r="D26" i="11"/>
  <c r="E26" i="11" s="1"/>
  <c r="D25" i="11"/>
  <c r="E25" i="11" s="1"/>
  <c r="D24" i="11"/>
  <c r="E24" i="11" s="1"/>
  <c r="D23" i="11"/>
  <c r="E23" i="11" s="1"/>
  <c r="D20" i="11"/>
  <c r="E20" i="11" s="1"/>
  <c r="D19" i="11"/>
  <c r="E19" i="11" s="1"/>
  <c r="D18" i="11"/>
  <c r="E18" i="11" s="1"/>
  <c r="D17" i="11"/>
  <c r="E17" i="11" s="1"/>
  <c r="D16" i="11"/>
  <c r="E16" i="11" s="1"/>
  <c r="D15" i="11"/>
  <c r="E15" i="11" s="1"/>
  <c r="D14" i="11"/>
  <c r="D7" i="7" s="1"/>
  <c r="F7" i="7" s="1"/>
  <c r="D12" i="11"/>
  <c r="E12" i="11" s="1"/>
  <c r="D10" i="11"/>
  <c r="E10" i="11" s="1"/>
  <c r="D9" i="11"/>
  <c r="E9" i="11" s="1"/>
  <c r="D8" i="11"/>
  <c r="E8" i="11" s="1"/>
  <c r="AE23" i="7" l="1"/>
  <c r="P15" i="7"/>
  <c r="E34" i="11"/>
  <c r="D8" i="7"/>
  <c r="P16" i="7"/>
  <c r="P9" i="7"/>
  <c r="P17" i="7"/>
  <c r="P10" i="7"/>
  <c r="P18" i="7"/>
  <c r="P11" i="7"/>
  <c r="P19" i="7"/>
  <c r="P12" i="7"/>
  <c r="P13" i="7"/>
  <c r="E47" i="11"/>
  <c r="D20" i="7"/>
  <c r="P7" i="7"/>
  <c r="P14" i="7"/>
  <c r="E35" i="11"/>
  <c r="E43" i="11"/>
  <c r="E14" i="11"/>
  <c r="E36" i="11"/>
  <c r="E44" i="11"/>
  <c r="E41" i="11"/>
  <c r="E42" i="11"/>
  <c r="E45" i="11"/>
  <c r="E38" i="11"/>
  <c r="E39" i="11"/>
  <c r="E37" i="11"/>
  <c r="E40" i="11"/>
  <c r="D51" i="11"/>
  <c r="P8" i="7" l="1"/>
  <c r="P20" i="7"/>
  <c r="E51" i="11"/>
  <c r="T23" i="7" l="1"/>
  <c r="W23" i="7"/>
  <c r="G129" i="7" l="1"/>
  <c r="G128" i="7"/>
  <c r="G127" i="7"/>
  <c r="G126" i="7"/>
  <c r="H126" i="7" l="1"/>
  <c r="H127" i="7"/>
  <c r="H128" i="7"/>
  <c r="H129" i="7"/>
  <c r="G133" i="7"/>
  <c r="G132" i="7"/>
  <c r="G131" i="7"/>
  <c r="G130" i="7"/>
  <c r="G8" i="7"/>
  <c r="G136" i="7" s="1"/>
  <c r="G7" i="7"/>
  <c r="H7" i="7" s="1"/>
  <c r="D23" i="7"/>
  <c r="G106" i="7"/>
  <c r="H106" i="7" s="1"/>
  <c r="G105" i="7"/>
  <c r="G104" i="7"/>
  <c r="G103" i="7"/>
  <c r="G102" i="7"/>
  <c r="G101" i="7"/>
  <c r="G99" i="7"/>
  <c r="G95" i="7"/>
  <c r="G96" i="7"/>
  <c r="G97" i="7"/>
  <c r="G98" i="7"/>
  <c r="G94" i="7"/>
  <c r="G93" i="7"/>
  <c r="G92" i="7"/>
  <c r="G90" i="7"/>
  <c r="G91" i="7"/>
  <c r="G89" i="7"/>
  <c r="G74" i="7"/>
  <c r="G75" i="7"/>
  <c r="G76" i="7"/>
  <c r="G77" i="7"/>
  <c r="G73" i="7"/>
  <c r="G70" i="7"/>
  <c r="G71" i="7"/>
  <c r="G69" i="7"/>
  <c r="G68" i="7"/>
  <c r="G67" i="7"/>
  <c r="G66" i="7"/>
  <c r="G65" i="7"/>
  <c r="G64" i="7"/>
  <c r="G58" i="7"/>
  <c r="G56" i="7"/>
  <c r="H56" i="7" s="1"/>
  <c r="G123" i="7"/>
  <c r="G54" i="7"/>
  <c r="H54" i="7" s="1"/>
  <c r="G53" i="7"/>
  <c r="H53" i="7" s="1"/>
  <c r="G51" i="7"/>
  <c r="H51" i="7" s="1"/>
  <c r="G122" i="7"/>
  <c r="G47" i="7"/>
  <c r="G48" i="7"/>
  <c r="G121" i="7"/>
  <c r="G46" i="7"/>
  <c r="G45" i="7"/>
  <c r="G120" i="7"/>
  <c r="G44" i="7"/>
  <c r="G42" i="7"/>
  <c r="G43" i="7"/>
  <c r="G41" i="7"/>
  <c r="G39" i="7"/>
  <c r="G40" i="7"/>
  <c r="G38" i="7"/>
  <c r="G49" i="7"/>
  <c r="H49" i="7" s="1"/>
  <c r="G52" i="7"/>
  <c r="H52" i="7" s="1"/>
  <c r="G37" i="7"/>
  <c r="G36" i="7"/>
  <c r="G35" i="7"/>
  <c r="G33" i="7"/>
  <c r="G32" i="7"/>
  <c r="G31" i="7"/>
  <c r="G30" i="7"/>
  <c r="G29" i="7"/>
  <c r="G28" i="7"/>
  <c r="G27" i="7"/>
  <c r="G26" i="7"/>
  <c r="G24" i="7"/>
  <c r="G114" i="7"/>
  <c r="G20" i="7"/>
  <c r="G113" i="7"/>
  <c r="G19" i="7"/>
  <c r="G18" i="7"/>
  <c r="G17" i="7"/>
  <c r="G16" i="7"/>
  <c r="G15" i="7"/>
  <c r="G14" i="7"/>
  <c r="G13" i="7"/>
  <c r="G11" i="7"/>
  <c r="G137" i="7" s="1"/>
  <c r="G12" i="7"/>
  <c r="G10" i="7"/>
  <c r="G9" i="7"/>
  <c r="P103" i="7" l="1"/>
  <c r="P102" i="7"/>
  <c r="P104" i="7"/>
  <c r="P106" i="7" l="1"/>
  <c r="P105" i="7"/>
  <c r="P59" i="7"/>
  <c r="P88" i="7"/>
  <c r="P99" i="7"/>
  <c r="P101" i="7"/>
  <c r="P58" i="7"/>
  <c r="H101" i="7"/>
  <c r="H99" i="7"/>
  <c r="H88" i="7"/>
  <c r="H103" i="7"/>
  <c r="H104" i="7"/>
  <c r="H105" i="7" l="1"/>
  <c r="H102" i="7"/>
  <c r="C7" i="4" l="1"/>
  <c r="C8" i="4"/>
  <c r="C9" i="4"/>
  <c r="C10" i="4"/>
  <c r="E98" i="7" l="1"/>
  <c r="E77" i="7"/>
  <c r="E87" i="7"/>
  <c r="E86" i="7"/>
  <c r="E61" i="7"/>
  <c r="E93" i="7"/>
  <c r="E84" i="7"/>
  <c r="E42" i="7"/>
  <c r="E90" i="7"/>
  <c r="E70" i="7"/>
  <c r="E95" i="7"/>
  <c r="E45" i="7"/>
  <c r="E74" i="7"/>
  <c r="E67" i="7"/>
  <c r="E47" i="7"/>
  <c r="E39" i="7"/>
  <c r="E62" i="7"/>
  <c r="E43" i="7"/>
  <c r="E91" i="7"/>
  <c r="E71" i="7"/>
  <c r="E48" i="7"/>
  <c r="E40" i="7"/>
  <c r="F40" i="7" s="1"/>
  <c r="P40" i="7" s="1"/>
  <c r="E96" i="7"/>
  <c r="E75" i="7"/>
  <c r="E68" i="7"/>
  <c r="E63" i="7"/>
  <c r="E72" i="7"/>
  <c r="E97" i="7"/>
  <c r="E76" i="7"/>
  <c r="H59" i="7"/>
  <c r="E9" i="4"/>
  <c r="D8" i="4"/>
  <c r="F8" i="4"/>
  <c r="H8" i="4"/>
  <c r="G9" i="4"/>
  <c r="D9" i="4"/>
  <c r="E8" i="4"/>
  <c r="G8" i="4"/>
  <c r="I8" i="4"/>
  <c r="D10" i="4"/>
  <c r="I10" i="4"/>
  <c r="F9" i="4"/>
  <c r="H9" i="4"/>
  <c r="I9" i="4"/>
  <c r="D7" i="4"/>
  <c r="E7" i="4"/>
  <c r="F7" i="4"/>
  <c r="G7" i="4"/>
  <c r="H7" i="4"/>
  <c r="I7" i="4"/>
  <c r="F72" i="7" l="1"/>
  <c r="AA72" i="7"/>
  <c r="AC72" i="7"/>
  <c r="F96" i="7"/>
  <c r="P96" i="7" s="1"/>
  <c r="AC96" i="7"/>
  <c r="AA96" i="7"/>
  <c r="F91" i="7"/>
  <c r="H91" i="7" s="1"/>
  <c r="AC91" i="7"/>
  <c r="AA91" i="7"/>
  <c r="F47" i="7"/>
  <c r="P47" i="7" s="1"/>
  <c r="AA47" i="7"/>
  <c r="AC47" i="7"/>
  <c r="F95" i="7"/>
  <c r="H95" i="7" s="1"/>
  <c r="AC95" i="7"/>
  <c r="AA95" i="7"/>
  <c r="F84" i="7"/>
  <c r="H84" i="7" s="1"/>
  <c r="AA84" i="7"/>
  <c r="AC84" i="7"/>
  <c r="F86" i="7"/>
  <c r="H86" i="7" s="1"/>
  <c r="AC86" i="7"/>
  <c r="AA86" i="7"/>
  <c r="AC63" i="7"/>
  <c r="AA63" i="7"/>
  <c r="F43" i="7"/>
  <c r="P43" i="7" s="1"/>
  <c r="AC43" i="7"/>
  <c r="AA43" i="7"/>
  <c r="F93" i="7"/>
  <c r="P93" i="7" s="1"/>
  <c r="AC93" i="7"/>
  <c r="AA93" i="7"/>
  <c r="F76" i="7"/>
  <c r="P76" i="7" s="1"/>
  <c r="AA76" i="7"/>
  <c r="AC76" i="7"/>
  <c r="F48" i="7"/>
  <c r="P48" i="7" s="1"/>
  <c r="AC48" i="7"/>
  <c r="AA48" i="7"/>
  <c r="AC62" i="7"/>
  <c r="AA62" i="7"/>
  <c r="F74" i="7"/>
  <c r="P74" i="7" s="1"/>
  <c r="AC74" i="7"/>
  <c r="AA74" i="7"/>
  <c r="F90" i="7"/>
  <c r="P90" i="7" s="1"/>
  <c r="AC90" i="7"/>
  <c r="AA90" i="7"/>
  <c r="F77" i="7"/>
  <c r="P77" i="7" s="1"/>
  <c r="AC77" i="7"/>
  <c r="AA77" i="7"/>
  <c r="AC67" i="7"/>
  <c r="AA67" i="7"/>
  <c r="F70" i="7"/>
  <c r="P70" i="7" s="1"/>
  <c r="AC70" i="7"/>
  <c r="AA70" i="7"/>
  <c r="F87" i="7"/>
  <c r="AC87" i="7"/>
  <c r="AA87" i="7"/>
  <c r="AA68" i="7"/>
  <c r="AC68" i="7"/>
  <c r="F97" i="7"/>
  <c r="H97" i="7" s="1"/>
  <c r="AC97" i="7"/>
  <c r="AA97" i="7"/>
  <c r="F75" i="7"/>
  <c r="P75" i="7" s="1"/>
  <c r="AC75" i="7"/>
  <c r="AA75" i="7"/>
  <c r="F71" i="7"/>
  <c r="H71" i="7" s="1"/>
  <c r="AC71" i="7"/>
  <c r="AA71" i="7"/>
  <c r="F39" i="7"/>
  <c r="P39" i="7" s="1"/>
  <c r="AC39" i="7"/>
  <c r="AA39" i="7"/>
  <c r="F45" i="7"/>
  <c r="P45" i="7" s="1"/>
  <c r="AC45" i="7"/>
  <c r="AA45" i="7"/>
  <c r="F42" i="7"/>
  <c r="P42" i="7" s="1"/>
  <c r="AC42" i="7"/>
  <c r="AA42" i="7"/>
  <c r="AA61" i="7"/>
  <c r="AC61" i="7"/>
  <c r="F98" i="7"/>
  <c r="P98" i="7" s="1"/>
  <c r="AC98" i="7"/>
  <c r="AA98" i="7"/>
  <c r="F61" i="7"/>
  <c r="P61" i="7" s="1"/>
  <c r="F68" i="7"/>
  <c r="P68" i="7" s="1"/>
  <c r="F62" i="7"/>
  <c r="P62" i="7" s="1"/>
  <c r="F63" i="7"/>
  <c r="P63" i="7" s="1"/>
  <c r="F67" i="7"/>
  <c r="P67" i="7" s="1"/>
  <c r="P72" i="7"/>
  <c r="H72" i="7"/>
  <c r="H10" i="4"/>
  <c r="G10" i="4"/>
  <c r="F10" i="4"/>
  <c r="E10" i="4"/>
  <c r="H90" i="7" l="1"/>
  <c r="H76" i="7"/>
  <c r="P95" i="7"/>
  <c r="P97" i="7"/>
  <c r="H98" i="7"/>
  <c r="AE42" i="7"/>
  <c r="AE75" i="7"/>
  <c r="AE87" i="7"/>
  <c r="AE77" i="7"/>
  <c r="AE43" i="7"/>
  <c r="AE96" i="7"/>
  <c r="H96" i="7"/>
  <c r="P84" i="7"/>
  <c r="P91" i="7"/>
  <c r="H74" i="7"/>
  <c r="H75" i="7"/>
  <c r="AE76" i="7"/>
  <c r="AE47" i="7"/>
  <c r="H77" i="7"/>
  <c r="AE98" i="7"/>
  <c r="AE45" i="7"/>
  <c r="AE97" i="7"/>
  <c r="AE70" i="7"/>
  <c r="AE90" i="7"/>
  <c r="AE48" i="7"/>
  <c r="AE63" i="7"/>
  <c r="AE95" i="7"/>
  <c r="P86" i="7"/>
  <c r="P71" i="7"/>
  <c r="H93" i="7"/>
  <c r="AE39" i="7"/>
  <c r="AE68" i="7"/>
  <c r="AE67" i="7"/>
  <c r="AE74" i="7"/>
  <c r="AE72" i="7"/>
  <c r="AE61" i="7"/>
  <c r="AE71" i="7"/>
  <c r="AE62" i="7"/>
  <c r="AE93" i="7"/>
  <c r="AE86" i="7"/>
  <c r="AE84" i="7"/>
  <c r="AE91" i="7"/>
  <c r="H59" i="4"/>
  <c r="D60" i="4"/>
  <c r="D59" i="4"/>
  <c r="C13" i="4"/>
  <c r="C12" i="4"/>
  <c r="E82" i="7" s="1"/>
  <c r="C11" i="4"/>
  <c r="E60" i="7" l="1"/>
  <c r="F60" i="7" s="1"/>
  <c r="H60" i="7" s="1"/>
  <c r="E137" i="7"/>
  <c r="H137" i="7" s="1"/>
  <c r="E136" i="7"/>
  <c r="H136" i="7" s="1"/>
  <c r="D61" i="4"/>
  <c r="AA37" i="7"/>
  <c r="AC34" i="7"/>
  <c r="AC37" i="7"/>
  <c r="AA34" i="7"/>
  <c r="F82" i="7"/>
  <c r="H82" i="7" s="1"/>
  <c r="AC82" i="7"/>
  <c r="AA82" i="7"/>
  <c r="X122" i="7"/>
  <c r="U122" i="7"/>
  <c r="E61" i="4"/>
  <c r="E81" i="7"/>
  <c r="E80" i="7"/>
  <c r="E85" i="7"/>
  <c r="E73" i="7"/>
  <c r="E65" i="7"/>
  <c r="E20" i="7"/>
  <c r="F20" i="7" s="1"/>
  <c r="E92" i="7"/>
  <c r="E64" i="7"/>
  <c r="E41" i="7"/>
  <c r="E79" i="7"/>
  <c r="F34" i="7"/>
  <c r="P34" i="7" s="1"/>
  <c r="E38" i="7"/>
  <c r="E69" i="7"/>
  <c r="E66" i="7"/>
  <c r="E44" i="7"/>
  <c r="E89" i="7"/>
  <c r="E78" i="7"/>
  <c r="E21" i="7"/>
  <c r="F21" i="7" s="1"/>
  <c r="E46" i="7"/>
  <c r="E37" i="7"/>
  <c r="E94" i="7"/>
  <c r="E116" i="7"/>
  <c r="F116" i="7" s="1"/>
  <c r="H116" i="7" s="1"/>
  <c r="E119" i="7"/>
  <c r="F119" i="7" s="1"/>
  <c r="H119" i="7" s="1"/>
  <c r="E118" i="7"/>
  <c r="F118" i="7" s="1"/>
  <c r="H118" i="7" s="1"/>
  <c r="E117" i="7"/>
  <c r="F117" i="7" s="1"/>
  <c r="H117" i="7" s="1"/>
  <c r="C64" i="4"/>
  <c r="D130" i="12"/>
  <c r="E130" i="12" s="1"/>
  <c r="E8" i="7"/>
  <c r="F8" i="7" s="1"/>
  <c r="E120" i="7"/>
  <c r="F120" i="7" s="1"/>
  <c r="H120" i="7" s="1"/>
  <c r="E121" i="7"/>
  <c r="F121" i="7" s="1"/>
  <c r="H121" i="7" s="1"/>
  <c r="E122" i="7"/>
  <c r="F122" i="7" s="1"/>
  <c r="H122" i="7" s="1"/>
  <c r="E131" i="7"/>
  <c r="F131" i="7" s="1"/>
  <c r="H131" i="7" s="1"/>
  <c r="E130" i="7"/>
  <c r="F130" i="7" s="1"/>
  <c r="H130" i="7" s="1"/>
  <c r="E125" i="7"/>
  <c r="F125" i="7" s="1"/>
  <c r="H125" i="7" s="1"/>
  <c r="E123" i="7"/>
  <c r="F123" i="7" s="1"/>
  <c r="H123" i="7" s="1"/>
  <c r="E132" i="7"/>
  <c r="F132" i="7" s="1"/>
  <c r="H132" i="7" s="1"/>
  <c r="E133" i="7"/>
  <c r="F133" i="7" s="1"/>
  <c r="H133" i="7" s="1"/>
  <c r="E28" i="7"/>
  <c r="F28" i="7" s="1"/>
  <c r="E30" i="7"/>
  <c r="F30" i="7" s="1"/>
  <c r="E32" i="7"/>
  <c r="F32" i="7" s="1"/>
  <c r="E26" i="7"/>
  <c r="F26" i="7" s="1"/>
  <c r="E14" i="7"/>
  <c r="F14" i="7" s="1"/>
  <c r="E16" i="7"/>
  <c r="F16" i="7" s="1"/>
  <c r="E18" i="7"/>
  <c r="F18" i="7" s="1"/>
  <c r="E113" i="7"/>
  <c r="F113" i="7" s="1"/>
  <c r="E114" i="7"/>
  <c r="F114" i="7" s="1"/>
  <c r="E27" i="7"/>
  <c r="F27" i="7" s="1"/>
  <c r="E29" i="7"/>
  <c r="F29" i="7" s="1"/>
  <c r="E31" i="7"/>
  <c r="F31" i="7" s="1"/>
  <c r="E33" i="7"/>
  <c r="F33" i="7" s="1"/>
  <c r="E15" i="7"/>
  <c r="F15" i="7" s="1"/>
  <c r="E17" i="7"/>
  <c r="F17" i="7" s="1"/>
  <c r="E19" i="7"/>
  <c r="F19" i="7" s="1"/>
  <c r="E13" i="7"/>
  <c r="F13" i="7" s="1"/>
  <c r="E10" i="7"/>
  <c r="F10" i="7" s="1"/>
  <c r="E12" i="7"/>
  <c r="F12" i="7" s="1"/>
  <c r="E11" i="7"/>
  <c r="F11" i="7" s="1"/>
  <c r="E9" i="7"/>
  <c r="F9" i="7" s="1"/>
  <c r="I12" i="4"/>
  <c r="H12" i="4"/>
  <c r="G12" i="4"/>
  <c r="F12" i="4"/>
  <c r="E12" i="4"/>
  <c r="D12" i="4"/>
  <c r="I11" i="4"/>
  <c r="D11" i="4"/>
  <c r="E22" i="7" s="1"/>
  <c r="F22" i="7" s="1"/>
  <c r="H11" i="4"/>
  <c r="G11" i="4"/>
  <c r="E124" i="7" s="1"/>
  <c r="F124" i="7" s="1"/>
  <c r="H124" i="7" s="1"/>
  <c r="F11" i="4"/>
  <c r="E11" i="4"/>
  <c r="I13" i="4"/>
  <c r="H13" i="4"/>
  <c r="G13" i="4"/>
  <c r="F13" i="4"/>
  <c r="H63" i="7" s="1"/>
  <c r="E13" i="4"/>
  <c r="H62" i="7" s="1"/>
  <c r="D13" i="4"/>
  <c r="H61" i="7" s="1"/>
  <c r="H62" i="4"/>
  <c r="H64" i="4" s="1"/>
  <c r="C65" i="4" l="1"/>
  <c r="P82" i="7"/>
  <c r="AE82" i="7"/>
  <c r="AE37" i="7"/>
  <c r="AE34" i="7"/>
  <c r="F46" i="7"/>
  <c r="P46" i="7" s="1"/>
  <c r="AC46" i="7"/>
  <c r="AA46" i="7"/>
  <c r="F89" i="7"/>
  <c r="P89" i="7" s="1"/>
  <c r="AC89" i="7"/>
  <c r="AA89" i="7"/>
  <c r="F38" i="7"/>
  <c r="P38" i="7" s="1"/>
  <c r="AA38" i="7"/>
  <c r="AC38" i="7"/>
  <c r="AA65" i="7"/>
  <c r="AC65" i="7"/>
  <c r="F81" i="7"/>
  <c r="H81" i="7" s="1"/>
  <c r="AC81" i="7"/>
  <c r="AA81" i="7"/>
  <c r="F44" i="7"/>
  <c r="P44" i="7" s="1"/>
  <c r="AC44" i="7"/>
  <c r="AA44" i="7"/>
  <c r="F64" i="7"/>
  <c r="P64" i="7" s="1"/>
  <c r="AC64" i="7"/>
  <c r="AA64" i="7"/>
  <c r="F73" i="7"/>
  <c r="P73" i="7" s="1"/>
  <c r="AC73" i="7"/>
  <c r="AA73" i="7"/>
  <c r="AA66" i="7"/>
  <c r="AC66" i="7"/>
  <c r="F79" i="7"/>
  <c r="H79" i="7" s="1"/>
  <c r="AC79" i="7"/>
  <c r="AA79" i="7"/>
  <c r="F92" i="7"/>
  <c r="H92" i="7" s="1"/>
  <c r="AC92" i="7"/>
  <c r="AA92" i="7"/>
  <c r="F85" i="7"/>
  <c r="H85" i="7" s="1"/>
  <c r="AC85" i="7"/>
  <c r="AA85" i="7"/>
  <c r="F94" i="7"/>
  <c r="P94" i="7" s="1"/>
  <c r="AC94" i="7"/>
  <c r="AA94" i="7"/>
  <c r="F78" i="7"/>
  <c r="H78" i="7" s="1"/>
  <c r="AC78" i="7"/>
  <c r="AA78" i="7"/>
  <c r="AC69" i="7"/>
  <c r="AA69" i="7"/>
  <c r="F41" i="7"/>
  <c r="P41" i="7" s="1"/>
  <c r="AC41" i="7"/>
  <c r="AA41" i="7"/>
  <c r="F80" i="7"/>
  <c r="P80" i="7" s="1"/>
  <c r="AA80" i="7"/>
  <c r="AC80" i="7"/>
  <c r="F37" i="7"/>
  <c r="P37" i="7" s="1"/>
  <c r="F65" i="7"/>
  <c r="P65" i="7" s="1"/>
  <c r="F66" i="7"/>
  <c r="H66" i="7" s="1"/>
  <c r="P85" i="7"/>
  <c r="F69" i="7"/>
  <c r="P69" i="7" s="1"/>
  <c r="P23" i="7"/>
  <c r="H21" i="7"/>
  <c r="P87" i="7"/>
  <c r="H87" i="7"/>
  <c r="P29" i="7"/>
  <c r="H26" i="7"/>
  <c r="H19" i="7"/>
  <c r="H17" i="7"/>
  <c r="H15" i="7"/>
  <c r="H14" i="7"/>
  <c r="H16" i="7"/>
  <c r="H10" i="7"/>
  <c r="H18" i="7"/>
  <c r="H8" i="7"/>
  <c r="H13" i="7"/>
  <c r="H20" i="7"/>
  <c r="H38" i="7"/>
  <c r="H113" i="7"/>
  <c r="H114" i="7"/>
  <c r="H11" i="7"/>
  <c r="H12" i="7"/>
  <c r="H36" i="7"/>
  <c r="H24" i="7"/>
  <c r="H34" i="7"/>
  <c r="H9" i="7"/>
  <c r="H25" i="7"/>
  <c r="H35" i="7"/>
  <c r="H22" i="7"/>
  <c r="H64" i="7"/>
  <c r="H58" i="7"/>
  <c r="H68" i="7"/>
  <c r="C67" i="4"/>
  <c r="P79" i="7" l="1"/>
  <c r="P78" i="7"/>
  <c r="H80" i="7"/>
  <c r="AE92" i="7"/>
  <c r="AE73" i="7"/>
  <c r="AE46" i="7"/>
  <c r="H89" i="7"/>
  <c r="H37" i="7"/>
  <c r="P92" i="7"/>
  <c r="P81" i="7"/>
  <c r="H73" i="7"/>
  <c r="H46" i="7"/>
  <c r="AE69" i="7"/>
  <c r="AE85" i="7"/>
  <c r="AE81" i="7"/>
  <c r="AE89" i="7"/>
  <c r="AE80" i="7"/>
  <c r="AE66" i="7"/>
  <c r="H41" i="7"/>
  <c r="H94" i="7"/>
  <c r="AE78" i="7"/>
  <c r="AE79" i="7"/>
  <c r="AA108" i="7"/>
  <c r="AA57" i="7"/>
  <c r="AE64" i="7"/>
  <c r="AC108" i="7"/>
  <c r="AE65" i="7"/>
  <c r="H44" i="7"/>
  <c r="AE41" i="7"/>
  <c r="AE94" i="7"/>
  <c r="AE44" i="7"/>
  <c r="AE38" i="7"/>
  <c r="AC57" i="7"/>
  <c r="P66" i="7"/>
  <c r="F108" i="7"/>
  <c r="H30" i="7"/>
  <c r="H32" i="7"/>
  <c r="H27" i="7"/>
  <c r="H28" i="7"/>
  <c r="D57" i="7"/>
  <c r="D109" i="7" s="1"/>
  <c r="H33" i="7"/>
  <c r="H29" i="7"/>
  <c r="H31" i="7"/>
  <c r="H45" i="7"/>
  <c r="H47" i="7"/>
  <c r="H42" i="7"/>
  <c r="H39" i="7"/>
  <c r="H40" i="7"/>
  <c r="H48" i="7"/>
  <c r="H43" i="7"/>
  <c r="F23" i="7"/>
  <c r="H23" i="7"/>
  <c r="H65" i="7"/>
  <c r="H67" i="7"/>
  <c r="H70" i="7"/>
  <c r="H69" i="7"/>
  <c r="P108" i="7" l="1"/>
  <c r="AA109" i="7"/>
  <c r="AC109" i="7"/>
  <c r="AE108" i="7"/>
  <c r="AE57" i="7"/>
  <c r="H108" i="7"/>
  <c r="F57" i="7"/>
  <c r="F109" i="7" s="1"/>
  <c r="H57" i="7"/>
  <c r="P57" i="7"/>
  <c r="P109" i="7" l="1"/>
  <c r="AE109" i="7"/>
  <c r="C174" i="7"/>
  <c r="H109" i="7"/>
  <c r="C175" i="7" s="1"/>
  <c r="I115" i="7" l="1"/>
  <c r="J115" i="7" s="1"/>
  <c r="K115" i="7" s="1"/>
  <c r="L115" i="7" s="1"/>
  <c r="D8" i="12" s="1"/>
  <c r="AG115" i="7"/>
  <c r="AG63" i="7"/>
  <c r="AG162" i="7"/>
  <c r="AG167" i="7"/>
  <c r="AG163" i="7"/>
  <c r="AG161" i="7"/>
  <c r="AG164" i="7"/>
  <c r="AG160" i="7"/>
  <c r="AG166" i="7"/>
  <c r="AG124" i="7"/>
  <c r="AG165" i="7"/>
  <c r="AG140" i="7"/>
  <c r="AG157" i="7"/>
  <c r="AG158" i="7"/>
  <c r="AG156" i="7"/>
  <c r="AG159" i="7"/>
  <c r="AG153" i="7"/>
  <c r="AG144" i="7"/>
  <c r="AG154" i="7"/>
  <c r="AG145" i="7"/>
  <c r="AG146" i="7"/>
  <c r="AG152" i="7"/>
  <c r="AG147" i="7"/>
  <c r="AG142" i="7"/>
  <c r="AG138" i="7"/>
  <c r="AG150" i="7"/>
  <c r="AG143" i="7"/>
  <c r="AG155" i="7"/>
  <c r="AG141" i="7"/>
  <c r="AG149" i="7"/>
  <c r="AG151" i="7"/>
  <c r="AG139" i="7"/>
  <c r="AG148" i="7"/>
  <c r="AG125" i="7"/>
  <c r="AG62" i="7"/>
  <c r="AG61" i="7"/>
  <c r="AG72" i="7"/>
  <c r="AG78" i="7"/>
  <c r="AG80" i="7"/>
  <c r="AG79" i="7"/>
  <c r="AG84" i="7"/>
  <c r="AG119" i="7"/>
  <c r="AG116" i="7"/>
  <c r="AG87" i="7"/>
  <c r="AG82" i="7"/>
  <c r="AG85" i="7"/>
  <c r="AG86" i="7"/>
  <c r="AG118" i="7"/>
  <c r="AG81" i="7"/>
  <c r="AG117" i="7"/>
  <c r="AG126" i="7"/>
  <c r="AG128" i="7"/>
  <c r="AG127" i="7"/>
  <c r="AG129" i="7"/>
  <c r="AG39" i="7"/>
  <c r="AG71" i="7"/>
  <c r="AG95" i="7"/>
  <c r="AG120" i="7"/>
  <c r="AG75" i="7"/>
  <c r="AG68" i="7"/>
  <c r="AG45" i="7"/>
  <c r="AG37" i="7"/>
  <c r="AG122" i="7"/>
  <c r="AG77" i="7"/>
  <c r="AG133" i="7"/>
  <c r="AG137" i="7"/>
  <c r="AG136" i="7"/>
  <c r="AG64" i="7"/>
  <c r="AG123" i="7"/>
  <c r="AG70" i="7"/>
  <c r="AG47" i="7"/>
  <c r="AG114" i="7"/>
  <c r="AG96" i="7"/>
  <c r="AG44" i="7"/>
  <c r="AG76" i="7"/>
  <c r="AG130" i="7"/>
  <c r="AG48" i="7"/>
  <c r="AG90" i="7"/>
  <c r="AG74" i="7"/>
  <c r="AG40" i="7"/>
  <c r="AG89" i="7"/>
  <c r="AG66" i="7"/>
  <c r="AG41" i="7"/>
  <c r="AG131" i="7"/>
  <c r="AG43" i="7"/>
  <c r="AG46" i="7"/>
  <c r="AG121" i="7"/>
  <c r="AG91" i="7"/>
  <c r="AG113" i="7"/>
  <c r="AG67" i="7"/>
  <c r="AG98" i="7"/>
  <c r="AG38" i="7"/>
  <c r="AG92" i="7"/>
  <c r="AG132" i="7"/>
  <c r="AG73" i="7"/>
  <c r="AG42" i="7"/>
  <c r="AG65" i="7"/>
  <c r="AG93" i="7"/>
  <c r="AG94" i="7"/>
  <c r="AG97" i="7"/>
  <c r="AG69" i="7"/>
  <c r="AG106" i="7"/>
  <c r="AG102" i="7"/>
  <c r="AG58" i="7"/>
  <c r="AG53" i="7"/>
  <c r="AG49" i="7"/>
  <c r="AG33" i="7"/>
  <c r="AG29" i="7"/>
  <c r="AG25" i="7"/>
  <c r="AG10" i="7"/>
  <c r="AG14" i="7"/>
  <c r="AG18" i="7"/>
  <c r="AG22" i="7"/>
  <c r="AG101" i="7"/>
  <c r="AG52" i="7"/>
  <c r="AG36" i="7"/>
  <c r="AG32" i="7"/>
  <c r="AG24" i="7"/>
  <c r="AG15" i="7"/>
  <c r="AG19" i="7"/>
  <c r="AG104" i="7"/>
  <c r="AG60" i="7"/>
  <c r="AG27" i="7"/>
  <c r="AG12" i="7"/>
  <c r="AG16" i="7"/>
  <c r="AG54" i="7"/>
  <c r="AG30" i="7"/>
  <c r="AG21" i="7"/>
  <c r="AG105" i="7"/>
  <c r="AG56" i="7"/>
  <c r="AG28" i="7"/>
  <c r="AG11" i="7"/>
  <c r="AG7" i="7"/>
  <c r="AG100" i="7"/>
  <c r="AG55" i="7"/>
  <c r="AG51" i="7"/>
  <c r="AG35" i="7"/>
  <c r="AG8" i="7"/>
  <c r="AG20" i="7"/>
  <c r="AG59" i="7"/>
  <c r="AG26" i="7"/>
  <c r="AG17" i="7"/>
  <c r="AG88" i="7"/>
  <c r="AG31" i="7"/>
  <c r="AG50" i="7"/>
  <c r="AG34" i="7"/>
  <c r="AG13" i="7"/>
  <c r="AG103" i="7"/>
  <c r="AG99" i="7"/>
  <c r="AG83" i="7"/>
  <c r="AG9" i="7"/>
  <c r="I165" i="7"/>
  <c r="J165" i="7" s="1"/>
  <c r="K165" i="7" s="1"/>
  <c r="L165" i="7" s="1"/>
  <c r="I166" i="7"/>
  <c r="J166" i="7" s="1"/>
  <c r="K166" i="7" s="1"/>
  <c r="L166" i="7" s="1"/>
  <c r="I164" i="7"/>
  <c r="J164" i="7" s="1"/>
  <c r="K164" i="7" s="1"/>
  <c r="L164" i="7" s="1"/>
  <c r="I167" i="7"/>
  <c r="J167" i="7" s="1"/>
  <c r="K167" i="7" s="1"/>
  <c r="L167" i="7" s="1"/>
  <c r="I162" i="7"/>
  <c r="J162" i="7" s="1"/>
  <c r="K162" i="7" s="1"/>
  <c r="L162" i="7" s="1"/>
  <c r="I163" i="7"/>
  <c r="J163" i="7" s="1"/>
  <c r="K163" i="7" s="1"/>
  <c r="L163" i="7" s="1"/>
  <c r="I161" i="7"/>
  <c r="J161" i="7" s="1"/>
  <c r="K161" i="7" s="1"/>
  <c r="L161" i="7" s="1"/>
  <c r="I160" i="7"/>
  <c r="J160" i="7" s="1"/>
  <c r="K160" i="7" s="1"/>
  <c r="L160" i="7" s="1"/>
  <c r="I156" i="7"/>
  <c r="J156" i="7" s="1"/>
  <c r="K156" i="7" s="1"/>
  <c r="L156" i="7" s="1"/>
  <c r="I158" i="7"/>
  <c r="J158" i="7" s="1"/>
  <c r="K158" i="7" s="1"/>
  <c r="I157" i="7"/>
  <c r="J157" i="7" s="1"/>
  <c r="K157" i="7" s="1"/>
  <c r="L157" i="7" s="1"/>
  <c r="I159" i="7"/>
  <c r="J159" i="7" s="1"/>
  <c r="K159" i="7" s="1"/>
  <c r="L159" i="7" s="1"/>
  <c r="I149" i="7"/>
  <c r="J149" i="7" s="1"/>
  <c r="K149" i="7" s="1"/>
  <c r="L149" i="7" s="1"/>
  <c r="I153" i="7"/>
  <c r="J153" i="7" s="1"/>
  <c r="K153" i="7" s="1"/>
  <c r="L153" i="7" s="1"/>
  <c r="I155" i="7"/>
  <c r="J155" i="7" s="1"/>
  <c r="K155" i="7" s="1"/>
  <c r="L155" i="7" s="1"/>
  <c r="I154" i="7"/>
  <c r="J154" i="7" s="1"/>
  <c r="K154" i="7" s="1"/>
  <c r="L154" i="7" s="1"/>
  <c r="I150" i="7"/>
  <c r="J150" i="7" s="1"/>
  <c r="K150" i="7" s="1"/>
  <c r="L150" i="7" s="1"/>
  <c r="I151" i="7"/>
  <c r="J151" i="7" s="1"/>
  <c r="K151" i="7" s="1"/>
  <c r="L151" i="7" s="1"/>
  <c r="I152" i="7"/>
  <c r="J152" i="7" s="1"/>
  <c r="K152" i="7" s="1"/>
  <c r="L152" i="7" s="1"/>
  <c r="I148" i="7"/>
  <c r="J148" i="7" s="1"/>
  <c r="K148" i="7" s="1"/>
  <c r="L148" i="7" s="1"/>
  <c r="I144" i="7"/>
  <c r="J144" i="7" s="1"/>
  <c r="K144" i="7" s="1"/>
  <c r="L144" i="7" s="1"/>
  <c r="I139" i="7"/>
  <c r="J139" i="7" s="1"/>
  <c r="K139" i="7" s="1"/>
  <c r="L139" i="7" s="1"/>
  <c r="I145" i="7"/>
  <c r="J145" i="7" s="1"/>
  <c r="K145" i="7" s="1"/>
  <c r="L145" i="7" s="1"/>
  <c r="I146" i="7"/>
  <c r="J146" i="7" s="1"/>
  <c r="K146" i="7" s="1"/>
  <c r="L146" i="7" s="1"/>
  <c r="I138" i="7"/>
  <c r="J138" i="7" s="1"/>
  <c r="K138" i="7" s="1"/>
  <c r="L138" i="7" s="1"/>
  <c r="I147" i="7"/>
  <c r="J147" i="7" s="1"/>
  <c r="K147" i="7" s="1"/>
  <c r="L147" i="7" s="1"/>
  <c r="I143" i="7"/>
  <c r="J143" i="7" s="1"/>
  <c r="K143" i="7" s="1"/>
  <c r="L143" i="7" s="1"/>
  <c r="I140" i="7"/>
  <c r="J140" i="7" s="1"/>
  <c r="K140" i="7" s="1"/>
  <c r="L140" i="7" s="1"/>
  <c r="I142" i="7"/>
  <c r="J142" i="7" s="1"/>
  <c r="K142" i="7" s="1"/>
  <c r="L142" i="7" s="1"/>
  <c r="I141" i="7"/>
  <c r="J141" i="7" s="1"/>
  <c r="K141" i="7" s="1"/>
  <c r="L141" i="7" s="1"/>
  <c r="I137" i="7"/>
  <c r="J137" i="7" s="1"/>
  <c r="K137" i="7" s="1"/>
  <c r="L137" i="7" s="1"/>
  <c r="I136" i="7"/>
  <c r="J136" i="7" s="1"/>
  <c r="K136" i="7" s="1"/>
  <c r="L136" i="7" s="1"/>
  <c r="D31" i="12" s="1"/>
  <c r="I8" i="7"/>
  <c r="I100" i="7"/>
  <c r="J100" i="7" s="1"/>
  <c r="K100" i="7" s="1"/>
  <c r="L100" i="7" s="1"/>
  <c r="N100" i="7" s="1"/>
  <c r="Q100" i="7" s="1"/>
  <c r="I60" i="7"/>
  <c r="J60" i="7" s="1"/>
  <c r="K60" i="7" s="1"/>
  <c r="L60" i="7" s="1"/>
  <c r="D158" i="12" s="1"/>
  <c r="I83" i="7"/>
  <c r="J83" i="7" s="1"/>
  <c r="K83" i="7" s="1"/>
  <c r="L83" i="7" s="1"/>
  <c r="I82" i="7"/>
  <c r="J82" i="7" s="1"/>
  <c r="K82" i="7" s="1"/>
  <c r="I50" i="7"/>
  <c r="J50" i="7" s="1"/>
  <c r="K50" i="7" s="1"/>
  <c r="I55" i="7"/>
  <c r="J55" i="7" s="1"/>
  <c r="K55" i="7" s="1"/>
  <c r="L55" i="7" s="1"/>
  <c r="I72" i="7"/>
  <c r="J72" i="7" s="1"/>
  <c r="K72" i="7" s="1"/>
  <c r="I80" i="7"/>
  <c r="J80" i="7" s="1"/>
  <c r="K80" i="7" s="1"/>
  <c r="L80" i="7" s="1"/>
  <c r="D192" i="12" s="1"/>
  <c r="I116" i="7"/>
  <c r="J116" i="7" s="1"/>
  <c r="K116" i="7" s="1"/>
  <c r="L116" i="7" s="1"/>
  <c r="N116" i="7" s="1"/>
  <c r="I117" i="7"/>
  <c r="J117" i="7" s="1"/>
  <c r="K117" i="7" s="1"/>
  <c r="L117" i="7" s="1"/>
  <c r="I118" i="7"/>
  <c r="J118" i="7" s="1"/>
  <c r="K118" i="7" s="1"/>
  <c r="L118" i="7" s="1"/>
  <c r="N118" i="7" s="1"/>
  <c r="I119" i="7"/>
  <c r="J119" i="7" s="1"/>
  <c r="K119" i="7" s="1"/>
  <c r="L119" i="7" s="1"/>
  <c r="I129" i="7"/>
  <c r="J129" i="7" s="1"/>
  <c r="K129" i="7" s="1"/>
  <c r="L129" i="7" s="1"/>
  <c r="I127" i="7"/>
  <c r="J127" i="7" s="1"/>
  <c r="K127" i="7" s="1"/>
  <c r="L127" i="7" s="1"/>
  <c r="I128" i="7"/>
  <c r="J128" i="7" s="1"/>
  <c r="K128" i="7" s="1"/>
  <c r="L128" i="7" s="1"/>
  <c r="D182" i="12" s="1"/>
  <c r="I7" i="7"/>
  <c r="I126" i="7"/>
  <c r="J126" i="7" s="1"/>
  <c r="K126" i="7" s="1"/>
  <c r="L126" i="7" s="1"/>
  <c r="D173" i="12" s="1"/>
  <c r="J8" i="7"/>
  <c r="K8" i="7" s="1"/>
  <c r="I62" i="7"/>
  <c r="J62" i="7" s="1"/>
  <c r="K62" i="7" s="1"/>
  <c r="I63" i="7"/>
  <c r="J63" i="7" s="1"/>
  <c r="K63" i="7" s="1"/>
  <c r="L63" i="7" s="1"/>
  <c r="I37" i="7"/>
  <c r="J37" i="7" s="1"/>
  <c r="K37" i="7" s="1"/>
  <c r="L37" i="7" s="1"/>
  <c r="D97" i="12" s="1"/>
  <c r="I40" i="7"/>
  <c r="J40" i="7" s="1"/>
  <c r="K40" i="7" s="1"/>
  <c r="I44" i="7"/>
  <c r="J44" i="7" s="1"/>
  <c r="K44" i="7" s="1"/>
  <c r="L44" i="7" s="1"/>
  <c r="D100" i="12" s="1"/>
  <c r="I47" i="7"/>
  <c r="J47" i="7" s="1"/>
  <c r="K47" i="7" s="1"/>
  <c r="L47" i="7" s="1"/>
  <c r="I41" i="7"/>
  <c r="J41" i="7" s="1"/>
  <c r="K41" i="7" s="1"/>
  <c r="L41" i="7" s="1"/>
  <c r="D99" i="12" s="1"/>
  <c r="I45" i="7"/>
  <c r="J45" i="7" s="1"/>
  <c r="K45" i="7" s="1"/>
  <c r="L45" i="7" s="1"/>
  <c r="I48" i="7"/>
  <c r="J48" i="7" s="1"/>
  <c r="K48" i="7" s="1"/>
  <c r="L48" i="7" s="1"/>
  <c r="I51" i="7"/>
  <c r="J51" i="7" s="1"/>
  <c r="K51" i="7" s="1"/>
  <c r="L51" i="7" s="1"/>
  <c r="I123" i="7"/>
  <c r="J123" i="7" s="1"/>
  <c r="K123" i="7" s="1"/>
  <c r="L123" i="7" s="1"/>
  <c r="I52" i="7"/>
  <c r="J52" i="7" s="1"/>
  <c r="K52" i="7" s="1"/>
  <c r="L52" i="7" s="1"/>
  <c r="I56" i="7"/>
  <c r="J56" i="7" s="1"/>
  <c r="K56" i="7" s="1"/>
  <c r="L56" i="7" s="1"/>
  <c r="I27" i="7"/>
  <c r="J27" i="7" s="1"/>
  <c r="K27" i="7" s="1"/>
  <c r="I31" i="7"/>
  <c r="J31" i="7" s="1"/>
  <c r="K31" i="7" s="1"/>
  <c r="I34" i="7"/>
  <c r="J34" i="7" s="1"/>
  <c r="K34" i="7" s="1"/>
  <c r="L34" i="7" s="1"/>
  <c r="I24" i="7"/>
  <c r="J24" i="7" s="1"/>
  <c r="K24" i="7" s="1"/>
  <c r="L24" i="7" s="1"/>
  <c r="D79" i="12" s="1"/>
  <c r="I28" i="7"/>
  <c r="J28" i="7" s="1"/>
  <c r="K28" i="7" s="1"/>
  <c r="L28" i="7" s="1"/>
  <c r="I32" i="7"/>
  <c r="J32" i="7" s="1"/>
  <c r="K32" i="7" s="1"/>
  <c r="I35" i="7"/>
  <c r="J35" i="7" s="1"/>
  <c r="K35" i="7" s="1"/>
  <c r="I91" i="7"/>
  <c r="J91" i="7" s="1"/>
  <c r="K91" i="7" s="1"/>
  <c r="I93" i="7"/>
  <c r="J93" i="7" s="1"/>
  <c r="K93" i="7" s="1"/>
  <c r="I95" i="7"/>
  <c r="J95" i="7" s="1"/>
  <c r="K95" i="7" s="1"/>
  <c r="I97" i="7"/>
  <c r="J97" i="7" s="1"/>
  <c r="K97" i="7" s="1"/>
  <c r="I99" i="7"/>
  <c r="J99" i="7" s="1"/>
  <c r="K99" i="7" s="1"/>
  <c r="I101" i="7"/>
  <c r="J101" i="7" s="1"/>
  <c r="K101" i="7" s="1"/>
  <c r="I102" i="7"/>
  <c r="J102" i="7" s="1"/>
  <c r="K102" i="7" s="1"/>
  <c r="I133" i="7"/>
  <c r="J133" i="7" s="1"/>
  <c r="K133" i="7" s="1"/>
  <c r="L133" i="7" s="1"/>
  <c r="I105" i="7"/>
  <c r="J105" i="7" s="1"/>
  <c r="K105" i="7" s="1"/>
  <c r="I88" i="7"/>
  <c r="J88" i="7" s="1"/>
  <c r="K88" i="7" s="1"/>
  <c r="I130" i="7"/>
  <c r="J130" i="7" s="1"/>
  <c r="K130" i="7" s="1"/>
  <c r="L130" i="7" s="1"/>
  <c r="D201" i="12" s="1"/>
  <c r="I79" i="7"/>
  <c r="J79" i="7" s="1"/>
  <c r="K79" i="7" s="1"/>
  <c r="L79" i="7" s="1"/>
  <c r="D172" i="12" s="1"/>
  <c r="I76" i="7"/>
  <c r="J76" i="7" s="1"/>
  <c r="K76" i="7" s="1"/>
  <c r="L76" i="7" s="1"/>
  <c r="I87" i="7"/>
  <c r="J87" i="7" s="1"/>
  <c r="K87" i="7" s="1"/>
  <c r="L87" i="7" s="1"/>
  <c r="I84" i="7"/>
  <c r="J84" i="7" s="1"/>
  <c r="K84" i="7" s="1"/>
  <c r="L84" i="7" s="1"/>
  <c r="D183" i="12" s="1"/>
  <c r="I10" i="7"/>
  <c r="J10" i="7" s="1"/>
  <c r="K10" i="7" s="1"/>
  <c r="I14" i="7"/>
  <c r="J14" i="7" s="1"/>
  <c r="K14" i="7" s="1"/>
  <c r="I18" i="7"/>
  <c r="J18" i="7" s="1"/>
  <c r="K18" i="7" s="1"/>
  <c r="I114" i="7"/>
  <c r="J114" i="7" s="1"/>
  <c r="K114" i="7" s="1"/>
  <c r="L114" i="7" s="1"/>
  <c r="I9" i="7"/>
  <c r="J9" i="7" s="1"/>
  <c r="K9" i="7" s="1"/>
  <c r="I13" i="7"/>
  <c r="J13" i="7" s="1"/>
  <c r="K13" i="7" s="1"/>
  <c r="I17" i="7"/>
  <c r="J17" i="7" s="1"/>
  <c r="K17" i="7" s="1"/>
  <c r="I20" i="7"/>
  <c r="J20" i="7" s="1"/>
  <c r="K20" i="7" s="1"/>
  <c r="I58" i="7"/>
  <c r="I75" i="7"/>
  <c r="J75" i="7" s="1"/>
  <c r="K75" i="7" s="1"/>
  <c r="L75" i="7" s="1"/>
  <c r="I67" i="7"/>
  <c r="J67" i="7" s="1"/>
  <c r="K67" i="7" s="1"/>
  <c r="L67" i="7" s="1"/>
  <c r="I125" i="7"/>
  <c r="J125" i="7" s="1"/>
  <c r="K125" i="7" s="1"/>
  <c r="L125" i="7" s="1"/>
  <c r="I71" i="7"/>
  <c r="J71" i="7" s="1"/>
  <c r="K71" i="7" s="1"/>
  <c r="L71" i="7" s="1"/>
  <c r="I74" i="7"/>
  <c r="J74" i="7" s="1"/>
  <c r="K74" i="7" s="1"/>
  <c r="L74" i="7" s="1"/>
  <c r="I66" i="7"/>
  <c r="J66" i="7" s="1"/>
  <c r="K66" i="7" s="1"/>
  <c r="L66" i="7" s="1"/>
  <c r="D136" i="12" s="1"/>
  <c r="I69" i="7"/>
  <c r="J69" i="7" s="1"/>
  <c r="K69" i="7" s="1"/>
  <c r="L69" i="7" s="1"/>
  <c r="D137" i="12" s="1"/>
  <c r="I124" i="7"/>
  <c r="J124" i="7" s="1"/>
  <c r="K124" i="7" s="1"/>
  <c r="L124" i="7" s="1"/>
  <c r="I61" i="7"/>
  <c r="J61" i="7" s="1"/>
  <c r="K61" i="7" s="1"/>
  <c r="L61" i="7" s="1"/>
  <c r="I106" i="7"/>
  <c r="J106" i="7" s="1"/>
  <c r="K106" i="7" s="1"/>
  <c r="I38" i="7"/>
  <c r="J38" i="7" s="1"/>
  <c r="K38" i="7" s="1"/>
  <c r="I42" i="7"/>
  <c r="J42" i="7" s="1"/>
  <c r="K42" i="7" s="1"/>
  <c r="L42" i="7" s="1"/>
  <c r="I120" i="7"/>
  <c r="J120" i="7" s="1"/>
  <c r="K120" i="7" s="1"/>
  <c r="L120" i="7" s="1"/>
  <c r="I121" i="7"/>
  <c r="J121" i="7" s="1"/>
  <c r="K121" i="7" s="1"/>
  <c r="L121" i="7" s="1"/>
  <c r="N121" i="7" s="1"/>
  <c r="I39" i="7"/>
  <c r="J39" i="7" s="1"/>
  <c r="K39" i="7" s="1"/>
  <c r="L39" i="7" s="1"/>
  <c r="L40" i="7" s="1"/>
  <c r="I43" i="7"/>
  <c r="J43" i="7" s="1"/>
  <c r="K43" i="7" s="1"/>
  <c r="L43" i="7" s="1"/>
  <c r="I46" i="7"/>
  <c r="J46" i="7" s="1"/>
  <c r="K46" i="7" s="1"/>
  <c r="L46" i="7" s="1"/>
  <c r="D101" i="12" s="1"/>
  <c r="I49" i="7"/>
  <c r="J49" i="7" s="1"/>
  <c r="K49" i="7" s="1"/>
  <c r="L49" i="7" s="1"/>
  <c r="I53" i="7"/>
  <c r="J53" i="7" s="1"/>
  <c r="K53" i="7" s="1"/>
  <c r="L53" i="7" s="1"/>
  <c r="I122" i="7"/>
  <c r="J122" i="7" s="1"/>
  <c r="K122" i="7" s="1"/>
  <c r="L122" i="7" s="1"/>
  <c r="N122" i="7" s="1"/>
  <c r="I54" i="7"/>
  <c r="J54" i="7" s="1"/>
  <c r="K54" i="7" s="1"/>
  <c r="L54" i="7" s="1"/>
  <c r="I25" i="7"/>
  <c r="J25" i="7" s="1"/>
  <c r="K25" i="7" s="1"/>
  <c r="I29" i="7"/>
  <c r="J29" i="7" s="1"/>
  <c r="K29" i="7" s="1"/>
  <c r="I33" i="7"/>
  <c r="J33" i="7" s="1"/>
  <c r="K33" i="7" s="1"/>
  <c r="I36" i="7"/>
  <c r="J36" i="7" s="1"/>
  <c r="K36" i="7" s="1"/>
  <c r="L36" i="7" s="1"/>
  <c r="I26" i="7"/>
  <c r="J26" i="7" s="1"/>
  <c r="K26" i="7" s="1"/>
  <c r="I30" i="7"/>
  <c r="J30" i="7" s="1"/>
  <c r="K30" i="7" s="1"/>
  <c r="I92" i="7"/>
  <c r="J92" i="7" s="1"/>
  <c r="K92" i="7" s="1"/>
  <c r="L92" i="7" s="1"/>
  <c r="I94" i="7"/>
  <c r="J94" i="7" s="1"/>
  <c r="K94" i="7" s="1"/>
  <c r="I96" i="7"/>
  <c r="J96" i="7" s="1"/>
  <c r="K96" i="7" s="1"/>
  <c r="I98" i="7"/>
  <c r="J98" i="7" s="1"/>
  <c r="K98" i="7" s="1"/>
  <c r="I131" i="7"/>
  <c r="J131" i="7" s="1"/>
  <c r="K131" i="7" s="1"/>
  <c r="L131" i="7" s="1"/>
  <c r="I132" i="7"/>
  <c r="J132" i="7" s="1"/>
  <c r="K132" i="7" s="1"/>
  <c r="L132" i="7" s="1"/>
  <c r="N132" i="7" s="1"/>
  <c r="I103" i="7"/>
  <c r="J103" i="7" s="1"/>
  <c r="K103" i="7" s="1"/>
  <c r="L103" i="7" s="1"/>
  <c r="I104" i="7"/>
  <c r="J104" i="7" s="1"/>
  <c r="K104" i="7" s="1"/>
  <c r="I90" i="7"/>
  <c r="J90" i="7" s="1"/>
  <c r="K90" i="7" s="1"/>
  <c r="I86" i="7"/>
  <c r="J86" i="7" s="1"/>
  <c r="K86" i="7" s="1"/>
  <c r="I78" i="7"/>
  <c r="J78" i="7" s="1"/>
  <c r="K78" i="7" s="1"/>
  <c r="L78" i="7" s="1"/>
  <c r="D171" i="12" s="1"/>
  <c r="I89" i="7"/>
  <c r="J89" i="7" s="1"/>
  <c r="K89" i="7" s="1"/>
  <c r="I85" i="7"/>
  <c r="J85" i="7" s="1"/>
  <c r="K85" i="7" s="1"/>
  <c r="L85" i="7" s="1"/>
  <c r="I81" i="7"/>
  <c r="J81" i="7" s="1"/>
  <c r="K81" i="7" s="1"/>
  <c r="I77" i="7"/>
  <c r="J77" i="7" s="1"/>
  <c r="K77" i="7" s="1"/>
  <c r="L77" i="7" s="1"/>
  <c r="I12" i="7"/>
  <c r="J12" i="7" s="1"/>
  <c r="K12" i="7" s="1"/>
  <c r="I16" i="7"/>
  <c r="J16" i="7" s="1"/>
  <c r="K16" i="7" s="1"/>
  <c r="I113" i="7"/>
  <c r="J113" i="7" s="1"/>
  <c r="K113" i="7" s="1"/>
  <c r="L113" i="7" s="1"/>
  <c r="D62" i="12" s="1"/>
  <c r="I22" i="7"/>
  <c r="J22" i="7" s="1"/>
  <c r="K22" i="7" s="1"/>
  <c r="L22" i="7" s="1"/>
  <c r="D28" i="12" s="1"/>
  <c r="I11" i="7"/>
  <c r="J11" i="7" s="1"/>
  <c r="K11" i="7" s="1"/>
  <c r="I15" i="7"/>
  <c r="J15" i="7" s="1"/>
  <c r="K15" i="7" s="1"/>
  <c r="I19" i="7"/>
  <c r="J19" i="7" s="1"/>
  <c r="K19" i="7" s="1"/>
  <c r="I21" i="7"/>
  <c r="J21" i="7" s="1"/>
  <c r="K21" i="7" s="1"/>
  <c r="L21" i="7" s="1"/>
  <c r="D26" i="12" s="1"/>
  <c r="I59" i="7"/>
  <c r="J59" i="7" s="1"/>
  <c r="K59" i="7" s="1"/>
  <c r="L59" i="7" s="1"/>
  <c r="D122" i="12" s="1"/>
  <c r="I68" i="7"/>
  <c r="J68" i="7" s="1"/>
  <c r="K68" i="7" s="1"/>
  <c r="L68" i="7" s="1"/>
  <c r="I73" i="7"/>
  <c r="J73" i="7" s="1"/>
  <c r="K73" i="7" s="1"/>
  <c r="L73" i="7" s="1"/>
  <c r="D138" i="12" s="1"/>
  <c r="I65" i="7"/>
  <c r="J65" i="7" s="1"/>
  <c r="K65" i="7" s="1"/>
  <c r="L65" i="7" s="1"/>
  <c r="D135" i="12" s="1"/>
  <c r="I64" i="7"/>
  <c r="J64" i="7" s="1"/>
  <c r="K64" i="7" s="1"/>
  <c r="L64" i="7" s="1"/>
  <c r="D134" i="12" s="1"/>
  <c r="I70" i="7"/>
  <c r="J70" i="7" s="1"/>
  <c r="K70" i="7" s="1"/>
  <c r="L70" i="7" s="1"/>
  <c r="AH149" i="7" l="1"/>
  <c r="AH150" i="7"/>
  <c r="AH144" i="7"/>
  <c r="AH115" i="7"/>
  <c r="N131" i="7"/>
  <c r="AH131" i="7"/>
  <c r="N133" i="7"/>
  <c r="AH133" i="7"/>
  <c r="D180" i="12"/>
  <c r="AH127" i="7"/>
  <c r="N117" i="7"/>
  <c r="AH117" i="7"/>
  <c r="AH125" i="7"/>
  <c r="D64" i="12"/>
  <c r="AH114" i="7"/>
  <c r="N123" i="7"/>
  <c r="AH123" i="7"/>
  <c r="D191" i="12"/>
  <c r="AH129" i="7"/>
  <c r="AH113" i="7"/>
  <c r="AH148" i="7"/>
  <c r="AH141" i="7"/>
  <c r="AH138" i="7"/>
  <c r="AH146" i="7"/>
  <c r="AH153" i="7"/>
  <c r="AH157" i="7"/>
  <c r="AH166" i="7"/>
  <c r="AH163" i="7"/>
  <c r="N119" i="7"/>
  <c r="AH119" i="7"/>
  <c r="AH130" i="7"/>
  <c r="AH128" i="7"/>
  <c r="AH118" i="7"/>
  <c r="AH139" i="7"/>
  <c r="AH155" i="7"/>
  <c r="AH142" i="7"/>
  <c r="AH145" i="7"/>
  <c r="AH159" i="7"/>
  <c r="AH140" i="7"/>
  <c r="AH160" i="7"/>
  <c r="AH167" i="7"/>
  <c r="N124" i="7"/>
  <c r="AH124" i="7"/>
  <c r="N120" i="7"/>
  <c r="AH120" i="7"/>
  <c r="AH121" i="7"/>
  <c r="AH136" i="7"/>
  <c r="AH122" i="7"/>
  <c r="AH126" i="7"/>
  <c r="AH116" i="7"/>
  <c r="AH151" i="7"/>
  <c r="AH143" i="7"/>
  <c r="AH147" i="7"/>
  <c r="AH154" i="7"/>
  <c r="AH156" i="7"/>
  <c r="AH165" i="7"/>
  <c r="AH164" i="7"/>
  <c r="AH162" i="7"/>
  <c r="AH132" i="7"/>
  <c r="AH137" i="7"/>
  <c r="AH152" i="7"/>
  <c r="AH161" i="7"/>
  <c r="AH63" i="7"/>
  <c r="AH71" i="7"/>
  <c r="AH64" i="7"/>
  <c r="AH44" i="7"/>
  <c r="AH54" i="7"/>
  <c r="AH60" i="7"/>
  <c r="AH92" i="7"/>
  <c r="AH48" i="7"/>
  <c r="AH73" i="7"/>
  <c r="AH45" i="7"/>
  <c r="AH78" i="7"/>
  <c r="AH83" i="7"/>
  <c r="AH103" i="7"/>
  <c r="AH75" i="7"/>
  <c r="AH87" i="7"/>
  <c r="AH43" i="7"/>
  <c r="AH56" i="7"/>
  <c r="AH21" i="7"/>
  <c r="AH67" i="7"/>
  <c r="AH68" i="7"/>
  <c r="AH24" i="7"/>
  <c r="AH52" i="7"/>
  <c r="AH49" i="7"/>
  <c r="AH66" i="7"/>
  <c r="AH51" i="7"/>
  <c r="AH84" i="7"/>
  <c r="AH28" i="7"/>
  <c r="AH65" i="7"/>
  <c r="AH79" i="7"/>
  <c r="AH39" i="7"/>
  <c r="AH76" i="7"/>
  <c r="AH61" i="7"/>
  <c r="AH85" i="7"/>
  <c r="AH37" i="7"/>
  <c r="AH53" i="7"/>
  <c r="AH70" i="7"/>
  <c r="AH42" i="7"/>
  <c r="AH34" i="7"/>
  <c r="AH59" i="7"/>
  <c r="AH55" i="7"/>
  <c r="AH100" i="7"/>
  <c r="AH40" i="7"/>
  <c r="AH77" i="7"/>
  <c r="AH46" i="7"/>
  <c r="AH47" i="7"/>
  <c r="AH80" i="7"/>
  <c r="AH36" i="7"/>
  <c r="AH69" i="7"/>
  <c r="AH22" i="7"/>
  <c r="AH41" i="7"/>
  <c r="AH74" i="7"/>
  <c r="D32" i="12"/>
  <c r="E32" i="12" s="1"/>
  <c r="E31" i="12"/>
  <c r="O136" i="7" s="1"/>
  <c r="N146" i="7"/>
  <c r="D50" i="12"/>
  <c r="E50" i="12" s="1"/>
  <c r="O146" i="7" s="1"/>
  <c r="N148" i="7"/>
  <c r="D69" i="12"/>
  <c r="N154" i="7"/>
  <c r="D84" i="12"/>
  <c r="N159" i="7"/>
  <c r="N160" i="7"/>
  <c r="D161" i="12"/>
  <c r="E161" i="12" s="1"/>
  <c r="O160" i="7" s="1"/>
  <c r="N167" i="7"/>
  <c r="D168" i="12"/>
  <c r="E168" i="12" s="1"/>
  <c r="O167" i="7" s="1"/>
  <c r="N137" i="7"/>
  <c r="D33" i="12"/>
  <c r="N143" i="7"/>
  <c r="D42" i="12"/>
  <c r="E42" i="12" s="1"/>
  <c r="O143" i="7" s="1"/>
  <c r="N145" i="7"/>
  <c r="D49" i="12"/>
  <c r="E49" i="12" s="1"/>
  <c r="O145" i="7" s="1"/>
  <c r="N152" i="7"/>
  <c r="D82" i="12"/>
  <c r="N155" i="7"/>
  <c r="D85" i="12"/>
  <c r="N157" i="7"/>
  <c r="N161" i="7"/>
  <c r="D163" i="12"/>
  <c r="E163" i="12" s="1"/>
  <c r="O161" i="7" s="1"/>
  <c r="N164" i="7"/>
  <c r="D162" i="12"/>
  <c r="E162" i="12" s="1"/>
  <c r="O164" i="7" s="1"/>
  <c r="N141" i="7"/>
  <c r="D40" i="12"/>
  <c r="E40" i="12" s="1"/>
  <c r="O141" i="7" s="1"/>
  <c r="N147" i="7"/>
  <c r="D51" i="12"/>
  <c r="E51" i="12" s="1"/>
  <c r="O147" i="7" s="1"/>
  <c r="N139" i="7"/>
  <c r="D37" i="12"/>
  <c r="N151" i="7"/>
  <c r="D75" i="12"/>
  <c r="N153" i="7"/>
  <c r="D83" i="12"/>
  <c r="L158" i="7"/>
  <c r="N158" i="7" s="1"/>
  <c r="N163" i="7"/>
  <c r="D167" i="12"/>
  <c r="E167" i="12" s="1"/>
  <c r="O163" i="7" s="1"/>
  <c r="N166" i="7"/>
  <c r="D166" i="12"/>
  <c r="E166" i="12" s="1"/>
  <c r="O166" i="7" s="1"/>
  <c r="N142" i="7"/>
  <c r="D41" i="12"/>
  <c r="E41" i="12" s="1"/>
  <c r="O142" i="7" s="1"/>
  <c r="N138" i="7"/>
  <c r="D35" i="12"/>
  <c r="N144" i="7"/>
  <c r="D48" i="12"/>
  <c r="E48" i="12" s="1"/>
  <c r="O144" i="7" s="1"/>
  <c r="N150" i="7"/>
  <c r="D73" i="12"/>
  <c r="N149" i="7"/>
  <c r="D71" i="12"/>
  <c r="N156" i="7"/>
  <c r="N162" i="7"/>
  <c r="D165" i="12"/>
  <c r="E165" i="12" s="1"/>
  <c r="O162" i="7" s="1"/>
  <c r="N165" i="7"/>
  <c r="D164" i="12"/>
  <c r="E164" i="12" s="1"/>
  <c r="O165" i="7" s="1"/>
  <c r="N140" i="7"/>
  <c r="D39" i="12"/>
  <c r="E39" i="12" s="1"/>
  <c r="O140" i="7" s="1"/>
  <c r="N136" i="7"/>
  <c r="D29" i="12"/>
  <c r="D27" i="12"/>
  <c r="X60" i="7"/>
  <c r="N60" i="7"/>
  <c r="Q60" i="7" s="1"/>
  <c r="R60" i="7" s="1"/>
  <c r="U60" i="7"/>
  <c r="X21" i="7"/>
  <c r="U21" i="7"/>
  <c r="U22" i="7"/>
  <c r="X22" i="7"/>
  <c r="X100" i="7"/>
  <c r="U100" i="7"/>
  <c r="L89" i="7"/>
  <c r="X89" i="7" s="1"/>
  <c r="L20" i="7"/>
  <c r="D23" i="12" s="1"/>
  <c r="L102" i="7"/>
  <c r="X102" i="7" s="1"/>
  <c r="L32" i="7"/>
  <c r="D60" i="12" s="1"/>
  <c r="L50" i="7"/>
  <c r="X50" i="7" s="1"/>
  <c r="L86" i="7"/>
  <c r="D193" i="12" s="1"/>
  <c r="L94" i="7"/>
  <c r="X94" i="7" s="1"/>
  <c r="L17" i="7"/>
  <c r="D19" i="12" s="1"/>
  <c r="D181" i="12"/>
  <c r="L88" i="7"/>
  <c r="U88" i="7" s="1"/>
  <c r="L101" i="7"/>
  <c r="X101" i="7" s="1"/>
  <c r="L29" i="7"/>
  <c r="D57" i="12" s="1"/>
  <c r="D56" i="12"/>
  <c r="L82" i="7"/>
  <c r="N82" i="7" s="1"/>
  <c r="Q82" i="7" s="1"/>
  <c r="L98" i="7"/>
  <c r="X98" i="7" s="1"/>
  <c r="L62" i="7"/>
  <c r="X62" i="7" s="1"/>
  <c r="L104" i="7"/>
  <c r="X104" i="7" s="1"/>
  <c r="L38" i="7"/>
  <c r="D98" i="12" s="1"/>
  <c r="L9" i="7"/>
  <c r="D12" i="12" s="1"/>
  <c r="L26" i="7"/>
  <c r="D54" i="12" s="1"/>
  <c r="L106" i="7"/>
  <c r="X106" i="7" s="1"/>
  <c r="N125" i="7"/>
  <c r="D118" i="12"/>
  <c r="L95" i="7"/>
  <c r="X95" i="7" s="1"/>
  <c r="L31" i="7"/>
  <c r="D59" i="12" s="1"/>
  <c r="L11" i="7"/>
  <c r="AH11" i="7" s="1"/>
  <c r="L25" i="7"/>
  <c r="X25" i="7" s="1"/>
  <c r="L90" i="7"/>
  <c r="X90" i="7" s="1"/>
  <c r="L97" i="7"/>
  <c r="X97" i="7" s="1"/>
  <c r="L8" i="7"/>
  <c r="AH8" i="7" s="1"/>
  <c r="L19" i="7"/>
  <c r="D21" i="12" s="1"/>
  <c r="L81" i="7"/>
  <c r="D200" i="12" s="1"/>
  <c r="L18" i="7"/>
  <c r="D20" i="12" s="1"/>
  <c r="L93" i="7"/>
  <c r="X93" i="7" s="1"/>
  <c r="L27" i="7"/>
  <c r="D55" i="12" s="1"/>
  <c r="L10" i="7"/>
  <c r="D25" i="12" s="1"/>
  <c r="L35" i="7"/>
  <c r="D89" i="12" s="1"/>
  <c r="L96" i="7"/>
  <c r="X96" i="7" s="1"/>
  <c r="L16" i="7"/>
  <c r="D18" i="12" s="1"/>
  <c r="L13" i="7"/>
  <c r="D15" i="12" s="1"/>
  <c r="L99" i="7"/>
  <c r="X99" i="7" s="1"/>
  <c r="L12" i="7"/>
  <c r="AH12" i="7" s="1"/>
  <c r="L30" i="7"/>
  <c r="D58" i="12" s="1"/>
  <c r="L15" i="7"/>
  <c r="D17" i="12" s="1"/>
  <c r="L33" i="7"/>
  <c r="D61" i="12" s="1"/>
  <c r="L14" i="7"/>
  <c r="D16" i="12" s="1"/>
  <c r="L105" i="7"/>
  <c r="X105" i="7" s="1"/>
  <c r="L91" i="7"/>
  <c r="X91" i="7" s="1"/>
  <c r="L72" i="7"/>
  <c r="X72" i="7" s="1"/>
  <c r="J58" i="7"/>
  <c r="K58" i="7" s="1"/>
  <c r="L58" i="7" s="1"/>
  <c r="AH58" i="7" s="1"/>
  <c r="I108" i="7"/>
  <c r="X80" i="7"/>
  <c r="X24" i="7"/>
  <c r="D80" i="12"/>
  <c r="X36" i="7"/>
  <c r="N130" i="7"/>
  <c r="X103" i="7"/>
  <c r="X92" i="7"/>
  <c r="U74" i="7"/>
  <c r="X74" i="7"/>
  <c r="X28" i="7"/>
  <c r="U71" i="7"/>
  <c r="X71" i="7"/>
  <c r="U76" i="7"/>
  <c r="X76" i="7"/>
  <c r="U48" i="7"/>
  <c r="X48" i="7"/>
  <c r="U49" i="7"/>
  <c r="X49" i="7"/>
  <c r="U79" i="7"/>
  <c r="X79" i="7"/>
  <c r="U34" i="7"/>
  <c r="X34" i="7"/>
  <c r="U45" i="7"/>
  <c r="X45" i="7"/>
  <c r="U55" i="7"/>
  <c r="X55" i="7"/>
  <c r="U42" i="7"/>
  <c r="X42" i="7"/>
  <c r="U43" i="7"/>
  <c r="X43" i="7"/>
  <c r="U47" i="7"/>
  <c r="X47" i="7"/>
  <c r="U65" i="7"/>
  <c r="X65" i="7"/>
  <c r="U78" i="7"/>
  <c r="X78" i="7"/>
  <c r="X40" i="7"/>
  <c r="X39" i="7"/>
  <c r="U56" i="7"/>
  <c r="X56" i="7"/>
  <c r="U44" i="7"/>
  <c r="X44" i="7"/>
  <c r="N83" i="7"/>
  <c r="Q83" i="7" s="1"/>
  <c r="X83" i="7"/>
  <c r="U51" i="7"/>
  <c r="X51" i="7"/>
  <c r="U77" i="7"/>
  <c r="X77" i="7"/>
  <c r="U46" i="7"/>
  <c r="X46" i="7"/>
  <c r="U67" i="7"/>
  <c r="X67" i="7"/>
  <c r="U75" i="7"/>
  <c r="X75" i="7"/>
  <c r="U73" i="7"/>
  <c r="X73" i="7"/>
  <c r="U69" i="7"/>
  <c r="X69" i="7"/>
  <c r="U52" i="7"/>
  <c r="X52" i="7"/>
  <c r="U87" i="7"/>
  <c r="X87" i="7"/>
  <c r="U70" i="7"/>
  <c r="X70" i="7"/>
  <c r="U61" i="7"/>
  <c r="X61" i="7"/>
  <c r="U41" i="7"/>
  <c r="X41" i="7"/>
  <c r="U64" i="7"/>
  <c r="X64" i="7"/>
  <c r="U68" i="7"/>
  <c r="X68" i="7"/>
  <c r="U54" i="7"/>
  <c r="X54" i="7"/>
  <c r="U66" i="7"/>
  <c r="X66" i="7"/>
  <c r="U37" i="7"/>
  <c r="X37" i="7"/>
  <c r="U84" i="7"/>
  <c r="X84" i="7"/>
  <c r="U85" i="7"/>
  <c r="U83" i="7"/>
  <c r="U81" i="7"/>
  <c r="N80" i="7"/>
  <c r="Q80" i="7" s="1"/>
  <c r="U80" i="7"/>
  <c r="N55" i="7"/>
  <c r="Q55" i="7" s="1"/>
  <c r="J7" i="7"/>
  <c r="K7" i="7" s="1"/>
  <c r="N92" i="7"/>
  <c r="Q92" i="7" s="1"/>
  <c r="X59" i="7"/>
  <c r="U59" i="7"/>
  <c r="N74" i="7"/>
  <c r="Q74" i="7" s="1"/>
  <c r="N71" i="7"/>
  <c r="Q71" i="7" s="1"/>
  <c r="U39" i="7"/>
  <c r="N44" i="7"/>
  <c r="Q44" i="7" s="1"/>
  <c r="N37" i="7"/>
  <c r="Q37" i="7" s="1"/>
  <c r="N24" i="7"/>
  <c r="Q24" i="7" s="1"/>
  <c r="U24" i="7"/>
  <c r="U36" i="7"/>
  <c r="N46" i="7"/>
  <c r="Q46" i="7" s="1"/>
  <c r="N41" i="7"/>
  <c r="Q41" i="7" s="1"/>
  <c r="N56" i="7"/>
  <c r="Q56" i="7" s="1"/>
  <c r="N52" i="7"/>
  <c r="Q52" i="7" s="1"/>
  <c r="N54" i="7"/>
  <c r="Q54" i="7" s="1"/>
  <c r="N42" i="7"/>
  <c r="Q42" i="7" s="1"/>
  <c r="N48" i="7"/>
  <c r="Q48" i="7" s="1"/>
  <c r="N79" i="7"/>
  <c r="Q79" i="7" s="1"/>
  <c r="N34" i="7"/>
  <c r="Q34" i="7" s="1"/>
  <c r="N45" i="7"/>
  <c r="Q45" i="7" s="1"/>
  <c r="N36" i="7"/>
  <c r="Q36" i="7" s="1"/>
  <c r="N39" i="7"/>
  <c r="Q39" i="7" s="1"/>
  <c r="N47" i="7"/>
  <c r="Q47" i="7" s="1"/>
  <c r="N43" i="7"/>
  <c r="Q43" i="7" s="1"/>
  <c r="N129" i="7"/>
  <c r="N128" i="7"/>
  <c r="D218" i="12"/>
  <c r="N127" i="7"/>
  <c r="D216" i="12"/>
  <c r="D219" i="12"/>
  <c r="N87" i="7"/>
  <c r="Q87" i="7" s="1"/>
  <c r="N126" i="7"/>
  <c r="D209" i="12"/>
  <c r="N59" i="7"/>
  <c r="Q59" i="7" s="1"/>
  <c r="N66" i="7"/>
  <c r="Q66" i="7" s="1"/>
  <c r="N114" i="7"/>
  <c r="N64" i="7"/>
  <c r="Q64" i="7" s="1"/>
  <c r="N78" i="7"/>
  <c r="Q78" i="7" s="1"/>
  <c r="D207" i="12"/>
  <c r="N73" i="7"/>
  <c r="Q73" i="7" s="1"/>
  <c r="N65" i="7"/>
  <c r="Q65" i="7" s="1"/>
  <c r="N113" i="7"/>
  <c r="N69" i="7"/>
  <c r="Q69" i="7" s="1"/>
  <c r="I57" i="7"/>
  <c r="I23" i="7"/>
  <c r="E85" i="12" l="1"/>
  <c r="O155" i="7" s="1"/>
  <c r="D94" i="12"/>
  <c r="E83" i="12"/>
  <c r="O153" i="7" s="1"/>
  <c r="D92" i="12"/>
  <c r="E82" i="12"/>
  <c r="O152" i="7" s="1"/>
  <c r="D91" i="12"/>
  <c r="E84" i="12"/>
  <c r="O154" i="7" s="1"/>
  <c r="D93" i="12"/>
  <c r="AH158" i="7"/>
  <c r="AH89" i="7"/>
  <c r="AH90" i="7"/>
  <c r="AH25" i="7"/>
  <c r="AH16" i="7"/>
  <c r="AH88" i="7"/>
  <c r="AH102" i="7"/>
  <c r="AH38" i="7"/>
  <c r="AH9" i="7"/>
  <c r="AH81" i="7"/>
  <c r="AH17" i="7"/>
  <c r="AH19" i="7"/>
  <c r="AH86" i="7"/>
  <c r="AH10" i="7"/>
  <c r="AH32" i="7"/>
  <c r="AH31" i="7"/>
  <c r="AH98" i="7"/>
  <c r="AH33" i="7"/>
  <c r="AH27" i="7"/>
  <c r="AH26" i="7"/>
  <c r="AH94" i="7"/>
  <c r="AH29" i="7"/>
  <c r="AH50" i="7"/>
  <c r="AH95" i="7"/>
  <c r="AH101" i="7"/>
  <c r="AH104" i="7"/>
  <c r="AH30" i="7"/>
  <c r="AH13" i="7"/>
  <c r="AH82" i="7"/>
  <c r="AH14" i="7"/>
  <c r="AH72" i="7"/>
  <c r="AH18" i="7"/>
  <c r="AH15" i="7"/>
  <c r="AH35" i="7"/>
  <c r="AH99" i="7"/>
  <c r="AH106" i="7"/>
  <c r="AH20" i="7"/>
  <c r="AH91" i="7"/>
  <c r="AH97" i="7"/>
  <c r="AH96" i="7"/>
  <c r="AH62" i="7"/>
  <c r="AH93" i="7"/>
  <c r="AH105" i="7"/>
  <c r="D72" i="12"/>
  <c r="E72" i="12" s="1"/>
  <c r="E71" i="12"/>
  <c r="O149" i="7" s="1"/>
  <c r="D38" i="12"/>
  <c r="E38" i="12" s="1"/>
  <c r="E37" i="12"/>
  <c r="O139" i="7" s="1"/>
  <c r="D34" i="12"/>
  <c r="E34" i="12" s="1"/>
  <c r="E33" i="12"/>
  <c r="O137" i="7" s="1"/>
  <c r="E91" i="12"/>
  <c r="O156" i="7"/>
  <c r="D74" i="12"/>
  <c r="E74" i="12" s="1"/>
  <c r="E73" i="12"/>
  <c r="O150" i="7" s="1"/>
  <c r="E35" i="12"/>
  <c r="O138" i="7" s="1"/>
  <c r="D36" i="12"/>
  <c r="E36" i="12" s="1"/>
  <c r="E93" i="12"/>
  <c r="O158" i="7"/>
  <c r="D76" i="12"/>
  <c r="E76" i="12" s="1"/>
  <c r="E75" i="12"/>
  <c r="O151" i="7" s="1"/>
  <c r="E92" i="12"/>
  <c r="O157" i="7"/>
  <c r="E94" i="12"/>
  <c r="O159" i="7"/>
  <c r="D70" i="12"/>
  <c r="E70" i="12" s="1"/>
  <c r="E69" i="12"/>
  <c r="O148" i="7" s="1"/>
  <c r="E16" i="12"/>
  <c r="O14" i="7" s="1"/>
  <c r="E20" i="12"/>
  <c r="D217" i="12"/>
  <c r="D222" i="12" s="1"/>
  <c r="Z60" i="7"/>
  <c r="E27" i="12"/>
  <c r="E17" i="12"/>
  <c r="O15" i="7" s="1"/>
  <c r="E15" i="12"/>
  <c r="O13" i="7" s="1"/>
  <c r="E25" i="12"/>
  <c r="O10" i="7" s="1"/>
  <c r="E19" i="12"/>
  <c r="O17" i="7" s="1"/>
  <c r="E18" i="12"/>
  <c r="O16" i="7" s="1"/>
  <c r="E12" i="12"/>
  <c r="O9" i="7" s="1"/>
  <c r="E29" i="12"/>
  <c r="N13" i="7"/>
  <c r="Q13" i="7" s="1"/>
  <c r="R13" i="7" s="1"/>
  <c r="X13" i="7"/>
  <c r="U62" i="7"/>
  <c r="N18" i="7"/>
  <c r="Q18" i="7" s="1"/>
  <c r="R18" i="7" s="1"/>
  <c r="X18" i="7"/>
  <c r="D14" i="12"/>
  <c r="E28" i="12"/>
  <c r="D13" i="12"/>
  <c r="E26" i="12"/>
  <c r="X14" i="7"/>
  <c r="N94" i="7"/>
  <c r="Q94" i="7" s="1"/>
  <c r="D11" i="12"/>
  <c r="D88" i="12"/>
  <c r="O18" i="7"/>
  <c r="N14" i="7"/>
  <c r="Q14" i="7" s="1"/>
  <c r="R14" i="7" s="1"/>
  <c r="N102" i="7"/>
  <c r="Q102" i="7" s="1"/>
  <c r="X88" i="7"/>
  <c r="X9" i="7"/>
  <c r="U12" i="7"/>
  <c r="Z100" i="7"/>
  <c r="X10" i="7"/>
  <c r="N86" i="7"/>
  <c r="Q86" i="7" s="1"/>
  <c r="U72" i="7"/>
  <c r="Z72" i="7" s="1"/>
  <c r="U82" i="7"/>
  <c r="N10" i="7"/>
  <c r="Q10" i="7" s="1"/>
  <c r="R10" i="7" s="1"/>
  <c r="N50" i="7"/>
  <c r="Q50" i="7" s="1"/>
  <c r="N11" i="7"/>
  <c r="Q11" i="7" s="1"/>
  <c r="R11" i="7" s="1"/>
  <c r="U25" i="7"/>
  <c r="Z25" i="7" s="1"/>
  <c r="X15" i="7"/>
  <c r="U86" i="7"/>
  <c r="X11" i="7"/>
  <c r="N20" i="7"/>
  <c r="Q20" i="7" s="1"/>
  <c r="N15" i="7"/>
  <c r="Q15" i="7" s="1"/>
  <c r="R15" i="7" s="1"/>
  <c r="N72" i="7"/>
  <c r="Q72" i="7" s="1"/>
  <c r="N9" i="7"/>
  <c r="Q9" i="7" s="1"/>
  <c r="R9" i="7" s="1"/>
  <c r="X20" i="7"/>
  <c r="U11" i="7"/>
  <c r="U14" i="7"/>
  <c r="U8" i="7"/>
  <c r="N25" i="7"/>
  <c r="Q25" i="7" s="1"/>
  <c r="X30" i="7"/>
  <c r="X27" i="7"/>
  <c r="U19" i="7"/>
  <c r="X38" i="7"/>
  <c r="X82" i="7"/>
  <c r="U17" i="7"/>
  <c r="X32" i="7"/>
  <c r="N16" i="7"/>
  <c r="Q16" i="7" s="1"/>
  <c r="R16" i="7" s="1"/>
  <c r="J109" i="7"/>
  <c r="D159" i="12"/>
  <c r="D155" i="12"/>
  <c r="X33" i="7"/>
  <c r="X35" i="7"/>
  <c r="U18" i="7"/>
  <c r="X31" i="7"/>
  <c r="X26" i="7"/>
  <c r="X86" i="7"/>
  <c r="U20" i="7"/>
  <c r="X16" i="7"/>
  <c r="N38" i="7"/>
  <c r="Q38" i="7" s="1"/>
  <c r="N58" i="7"/>
  <c r="Q58" i="7" s="1"/>
  <c r="N19" i="7"/>
  <c r="Q19" i="7" s="1"/>
  <c r="U58" i="7"/>
  <c r="U16" i="7"/>
  <c r="X29" i="7"/>
  <c r="N17" i="7"/>
  <c r="Q17" i="7" s="1"/>
  <c r="R17" i="7" s="1"/>
  <c r="N12" i="7"/>
  <c r="Q12" i="7" s="1"/>
  <c r="R12" i="7" s="1"/>
  <c r="U35" i="7"/>
  <c r="X17" i="7"/>
  <c r="X19" i="7"/>
  <c r="X12" i="7"/>
  <c r="N35" i="7"/>
  <c r="Q35" i="7" s="1"/>
  <c r="X58" i="7"/>
  <c r="U50" i="7"/>
  <c r="Z50" i="7" s="1"/>
  <c r="U38" i="7"/>
  <c r="U15" i="7"/>
  <c r="U13" i="7"/>
  <c r="U10" i="7"/>
  <c r="X81" i="7"/>
  <c r="U9" i="7"/>
  <c r="Z80" i="7"/>
  <c r="N85" i="7"/>
  <c r="Q85" i="7" s="1"/>
  <c r="U40" i="7"/>
  <c r="Z40" i="7" s="1"/>
  <c r="N40" i="7"/>
  <c r="R40" i="7" s="1"/>
  <c r="Z83" i="7"/>
  <c r="U63" i="7"/>
  <c r="X63" i="7"/>
  <c r="E201" i="12"/>
  <c r="X85" i="7"/>
  <c r="Z85" i="7" s="1"/>
  <c r="U53" i="7"/>
  <c r="X53" i="7"/>
  <c r="N53" i="7"/>
  <c r="Q53" i="7" s="1"/>
  <c r="Z55" i="7"/>
  <c r="D208" i="12"/>
  <c r="E172" i="12"/>
  <c r="E8" i="12"/>
  <c r="Z21" i="7"/>
  <c r="N22" i="7"/>
  <c r="Q22" i="7" s="1"/>
  <c r="Z22" i="7"/>
  <c r="N21" i="7"/>
  <c r="Q21" i="7" s="1"/>
  <c r="N51" i="7"/>
  <c r="Q51" i="7" s="1"/>
  <c r="Z78" i="7"/>
  <c r="Z64" i="7"/>
  <c r="Z79" i="7"/>
  <c r="Z65" i="7"/>
  <c r="Z87" i="7"/>
  <c r="N49" i="7"/>
  <c r="Q49" i="7" s="1"/>
  <c r="Z44" i="7"/>
  <c r="D221" i="12"/>
  <c r="E216" i="12"/>
  <c r="D213" i="12"/>
  <c r="E209" i="12"/>
  <c r="D223" i="12"/>
  <c r="E218" i="12"/>
  <c r="Z51" i="7"/>
  <c r="Z49" i="7"/>
  <c r="D224" i="12"/>
  <c r="E219" i="12"/>
  <c r="Z59" i="7"/>
  <c r="Z56" i="7"/>
  <c r="Z66" i="7"/>
  <c r="D211" i="12"/>
  <c r="E207" i="12"/>
  <c r="Z73" i="7"/>
  <c r="Z46" i="7"/>
  <c r="E193" i="12"/>
  <c r="D197" i="12"/>
  <c r="D229" i="12"/>
  <c r="U99" i="7"/>
  <c r="N76" i="7"/>
  <c r="Q76" i="7" s="1"/>
  <c r="N99" i="7"/>
  <c r="Q99" i="7" s="1"/>
  <c r="N61" i="7"/>
  <c r="Q61" i="7" s="1"/>
  <c r="N63" i="7"/>
  <c r="Q63" i="7" s="1"/>
  <c r="N88" i="7"/>
  <c r="Z69" i="7"/>
  <c r="U106" i="7"/>
  <c r="U94" i="7"/>
  <c r="N67" i="7"/>
  <c r="Q67" i="7" s="1"/>
  <c r="N106" i="7"/>
  <c r="Q106" i="7" s="1"/>
  <c r="Z54" i="7"/>
  <c r="U102" i="7"/>
  <c r="U92" i="7"/>
  <c r="U89" i="7"/>
  <c r="U97" i="7"/>
  <c r="U103" i="7"/>
  <c r="U104" i="7"/>
  <c r="U91" i="7"/>
  <c r="U90" i="7"/>
  <c r="U96" i="7"/>
  <c r="U98" i="7"/>
  <c r="U93" i="7"/>
  <c r="N75" i="7"/>
  <c r="Q75" i="7" s="1"/>
  <c r="N93" i="7"/>
  <c r="Q93" i="7" s="1"/>
  <c r="N62" i="7"/>
  <c r="Q62" i="7" s="1"/>
  <c r="N89" i="7"/>
  <c r="Q89" i="7" s="1"/>
  <c r="N81" i="7"/>
  <c r="Q81" i="7" s="1"/>
  <c r="N97" i="7"/>
  <c r="Q97" i="7" s="1"/>
  <c r="N70" i="7"/>
  <c r="Q70" i="7" s="1"/>
  <c r="N103" i="7"/>
  <c r="Q103" i="7" s="1"/>
  <c r="N104" i="7"/>
  <c r="Q104" i="7" s="1"/>
  <c r="N91" i="7"/>
  <c r="Q91" i="7" s="1"/>
  <c r="N84" i="7"/>
  <c r="Q84" i="7" s="1"/>
  <c r="N90" i="7"/>
  <c r="Q90" i="7" s="1"/>
  <c r="N96" i="7"/>
  <c r="Q96" i="7" s="1"/>
  <c r="N98" i="7"/>
  <c r="Q98" i="7" s="1"/>
  <c r="U95" i="7"/>
  <c r="U105" i="7"/>
  <c r="U101" i="7"/>
  <c r="N95" i="7"/>
  <c r="Q95" i="7" s="1"/>
  <c r="N105" i="7"/>
  <c r="Q105" i="7" s="1"/>
  <c r="N68" i="7"/>
  <c r="Q68" i="7" s="1"/>
  <c r="N101" i="7"/>
  <c r="Q101" i="7" s="1"/>
  <c r="N77" i="7"/>
  <c r="Q77" i="7" s="1"/>
  <c r="Z52" i="7"/>
  <c r="Z34" i="7"/>
  <c r="Z24" i="7"/>
  <c r="Z42" i="7"/>
  <c r="Z45" i="7"/>
  <c r="Z48" i="7"/>
  <c r="N31" i="7"/>
  <c r="Q31" i="7" s="1"/>
  <c r="U31" i="7"/>
  <c r="N32" i="7"/>
  <c r="Q32" i="7" s="1"/>
  <c r="U32" i="7"/>
  <c r="Z41" i="7"/>
  <c r="N29" i="7"/>
  <c r="U29" i="7"/>
  <c r="Z36" i="7"/>
  <c r="Z39" i="7"/>
  <c r="N30" i="7"/>
  <c r="Q30" i="7" s="1"/>
  <c r="U30" i="7"/>
  <c r="Z37" i="7"/>
  <c r="N27" i="7"/>
  <c r="Q27" i="7" s="1"/>
  <c r="U27" i="7"/>
  <c r="N28" i="7"/>
  <c r="Q28" i="7" s="1"/>
  <c r="U28" i="7"/>
  <c r="N33" i="7"/>
  <c r="Q33" i="7" s="1"/>
  <c r="U33" i="7"/>
  <c r="Z43" i="7"/>
  <c r="N26" i="7"/>
  <c r="Q26" i="7" s="1"/>
  <c r="U26" i="7"/>
  <c r="Z47" i="7"/>
  <c r="D236" i="12"/>
  <c r="E200" i="12"/>
  <c r="D203" i="12"/>
  <c r="X8" i="7"/>
  <c r="N8" i="7"/>
  <c r="Q8" i="7" s="1"/>
  <c r="D195" i="12"/>
  <c r="E191" i="12"/>
  <c r="D227" i="12"/>
  <c r="D228" i="12"/>
  <c r="D196" i="12"/>
  <c r="E192" i="12"/>
  <c r="D186" i="12"/>
  <c r="E181" i="12"/>
  <c r="D188" i="12"/>
  <c r="E183" i="12"/>
  <c r="E180" i="12"/>
  <c r="D185" i="12"/>
  <c r="D187" i="12"/>
  <c r="E182" i="12"/>
  <c r="D176" i="12"/>
  <c r="E171" i="12"/>
  <c r="D175" i="12"/>
  <c r="E173" i="12"/>
  <c r="D177" i="12"/>
  <c r="E55" i="12"/>
  <c r="E56" i="12"/>
  <c r="D145" i="12"/>
  <c r="E138" i="12"/>
  <c r="D104" i="12"/>
  <c r="E97" i="12"/>
  <c r="E64" i="12"/>
  <c r="D65" i="12"/>
  <c r="E57" i="12"/>
  <c r="E100" i="12"/>
  <c r="D107" i="12"/>
  <c r="E89" i="12"/>
  <c r="O36" i="7" s="1"/>
  <c r="E158" i="12"/>
  <c r="D143" i="12"/>
  <c r="E136" i="12"/>
  <c r="E54" i="12"/>
  <c r="D144" i="12"/>
  <c r="E137" i="12"/>
  <c r="E58" i="12"/>
  <c r="D63" i="12"/>
  <c r="E62" i="12"/>
  <c r="E59" i="12"/>
  <c r="D24" i="12"/>
  <c r="E23" i="12"/>
  <c r="E135" i="12"/>
  <c r="D142" i="12"/>
  <c r="E118" i="12"/>
  <c r="D119" i="12"/>
  <c r="E134" i="12"/>
  <c r="D141" i="12"/>
  <c r="D123" i="12"/>
  <c r="E122" i="12"/>
  <c r="E99" i="12"/>
  <c r="D106" i="12"/>
  <c r="E21" i="12"/>
  <c r="D22" i="12"/>
  <c r="E61" i="12"/>
  <c r="E60" i="12"/>
  <c r="E98" i="12"/>
  <c r="D105" i="12"/>
  <c r="E101" i="12"/>
  <c r="D108" i="12"/>
  <c r="I109" i="7"/>
  <c r="E217" i="12" l="1"/>
  <c r="Z15" i="7"/>
  <c r="E22" i="12"/>
  <c r="O113" i="7" s="1"/>
  <c r="E203" i="12"/>
  <c r="O83" i="7" s="1"/>
  <c r="R83" i="7" s="1"/>
  <c r="E211" i="12"/>
  <c r="E208" i="12"/>
  <c r="E159" i="12"/>
  <c r="O58" i="7" s="1"/>
  <c r="O21" i="7"/>
  <c r="E119" i="12"/>
  <c r="E63" i="12"/>
  <c r="O116" i="7" s="1"/>
  <c r="O60" i="7"/>
  <c r="E175" i="12"/>
  <c r="E187" i="12"/>
  <c r="E188" i="12"/>
  <c r="E196" i="12"/>
  <c r="E195" i="12"/>
  <c r="E197" i="12"/>
  <c r="E222" i="12"/>
  <c r="E224" i="12"/>
  <c r="E223" i="12"/>
  <c r="E221" i="12"/>
  <c r="E11" i="12"/>
  <c r="O8" i="7" s="1"/>
  <c r="E13" i="12"/>
  <c r="O22" i="7"/>
  <c r="E185" i="12"/>
  <c r="E24" i="12"/>
  <c r="E65" i="12"/>
  <c r="O118" i="7" s="1"/>
  <c r="E177" i="12"/>
  <c r="E176" i="12"/>
  <c r="E186" i="12"/>
  <c r="O88" i="7" s="1"/>
  <c r="E213" i="12"/>
  <c r="Z38" i="7"/>
  <c r="D157" i="12"/>
  <c r="E14" i="12"/>
  <c r="Z13" i="7"/>
  <c r="Z18" i="7"/>
  <c r="Z14" i="7"/>
  <c r="D66" i="12"/>
  <c r="Z9" i="7"/>
  <c r="E88" i="12"/>
  <c r="O117" i="7"/>
  <c r="O129" i="7"/>
  <c r="O26" i="7"/>
  <c r="O127" i="7"/>
  <c r="O125" i="7"/>
  <c r="R36" i="7"/>
  <c r="O78" i="7"/>
  <c r="R78" i="7" s="1"/>
  <c r="O79" i="7"/>
  <c r="R79" i="7" s="1"/>
  <c r="O32" i="7"/>
  <c r="O29" i="7"/>
  <c r="Q29" i="7" s="1"/>
  <c r="R29" i="7" s="1"/>
  <c r="O82" i="7"/>
  <c r="R82" i="7" s="1"/>
  <c r="O119" i="7"/>
  <c r="O35" i="7"/>
  <c r="O87" i="7"/>
  <c r="R87" i="7" s="1"/>
  <c r="O28" i="7"/>
  <c r="O27" i="7"/>
  <c r="O33" i="7"/>
  <c r="O31" i="7"/>
  <c r="O126" i="7"/>
  <c r="O30" i="7"/>
  <c r="O72" i="7"/>
  <c r="R72" i="7" s="1"/>
  <c r="O128" i="7"/>
  <c r="Z10" i="7"/>
  <c r="Z11" i="7"/>
  <c r="Z12" i="7"/>
  <c r="Z82" i="7"/>
  <c r="R35" i="7"/>
  <c r="Z58" i="7"/>
  <c r="Z20" i="7"/>
  <c r="D156" i="12"/>
  <c r="E155" i="12"/>
  <c r="O124" i="7" s="1"/>
  <c r="Z16" i="7"/>
  <c r="Z17" i="7"/>
  <c r="Z19" i="7"/>
  <c r="Z35" i="7"/>
  <c r="X108" i="7"/>
  <c r="L7" i="7"/>
  <c r="K109" i="7"/>
  <c r="U108" i="7"/>
  <c r="R8" i="7"/>
  <c r="R21" i="7"/>
  <c r="R32" i="7"/>
  <c r="D237" i="12"/>
  <c r="Z53" i="7"/>
  <c r="D204" i="12"/>
  <c r="O86" i="7"/>
  <c r="R86" i="7" s="1"/>
  <c r="O85" i="7"/>
  <c r="R85" i="7" s="1"/>
  <c r="D212" i="12"/>
  <c r="O81" i="7"/>
  <c r="R81" i="7" s="1"/>
  <c r="O80" i="7"/>
  <c r="R80" i="7" s="1"/>
  <c r="O20" i="7"/>
  <c r="O19" i="7"/>
  <c r="Z26" i="7"/>
  <c r="Z86" i="7"/>
  <c r="Z94" i="7"/>
  <c r="Z93" i="7"/>
  <c r="Z103" i="7"/>
  <c r="Z99" i="7"/>
  <c r="Z76" i="7"/>
  <c r="D231" i="12"/>
  <c r="E227" i="12"/>
  <c r="O34" i="7"/>
  <c r="R34" i="7" s="1"/>
  <c r="D232" i="12"/>
  <c r="E228" i="12"/>
  <c r="Z106" i="7"/>
  <c r="Z70" i="7"/>
  <c r="Z101" i="7"/>
  <c r="Z95" i="7"/>
  <c r="Z91" i="7"/>
  <c r="D233" i="12"/>
  <c r="E229" i="12"/>
  <c r="Z62" i="7"/>
  <c r="D239" i="12"/>
  <c r="E236" i="12"/>
  <c r="Z68" i="7"/>
  <c r="Z104" i="7"/>
  <c r="Z81" i="7"/>
  <c r="Z92" i="7"/>
  <c r="Z96" i="7"/>
  <c r="Z89" i="7"/>
  <c r="Z75" i="7"/>
  <c r="Z84" i="7"/>
  <c r="Z102" i="7"/>
  <c r="R88" i="7"/>
  <c r="Z63" i="7"/>
  <c r="Z90" i="7"/>
  <c r="Z71" i="7"/>
  <c r="Z61" i="7"/>
  <c r="Z77" i="7"/>
  <c r="Z105" i="7"/>
  <c r="Z98" i="7"/>
  <c r="Z97" i="7"/>
  <c r="Z74" i="7"/>
  <c r="Z67" i="7"/>
  <c r="Z88" i="7"/>
  <c r="X57" i="7"/>
  <c r="Z32" i="7"/>
  <c r="U57" i="7"/>
  <c r="Z8" i="7"/>
  <c r="Z29" i="7"/>
  <c r="Z27" i="7"/>
  <c r="Z33" i="7"/>
  <c r="Z30" i="7"/>
  <c r="Z31" i="7"/>
  <c r="Z28" i="7"/>
  <c r="R30" i="7"/>
  <c r="O84" i="7"/>
  <c r="R84" i="7" s="1"/>
  <c r="R33" i="7"/>
  <c r="R27" i="7"/>
  <c r="R26" i="7"/>
  <c r="R28" i="7"/>
  <c r="R31" i="7"/>
  <c r="D148" i="12"/>
  <c r="E141" i="12"/>
  <c r="D150" i="12"/>
  <c r="E143" i="12"/>
  <c r="O47" i="7"/>
  <c r="R47" i="7" s="1"/>
  <c r="O48" i="7"/>
  <c r="R48" i="7" s="1"/>
  <c r="O46" i="7"/>
  <c r="R46" i="7" s="1"/>
  <c r="O121" i="7"/>
  <c r="E106" i="12"/>
  <c r="D113" i="12"/>
  <c r="O45" i="7"/>
  <c r="R45" i="7" s="1"/>
  <c r="O44" i="7"/>
  <c r="R44" i="7" s="1"/>
  <c r="O120" i="7"/>
  <c r="O93" i="7"/>
  <c r="R93" i="7" s="1"/>
  <c r="O65" i="7"/>
  <c r="R65" i="7" s="1"/>
  <c r="O92" i="7"/>
  <c r="R92" i="7" s="1"/>
  <c r="O96" i="7"/>
  <c r="R96" i="7" s="1"/>
  <c r="O66" i="7"/>
  <c r="R66" i="7" s="1"/>
  <c r="O68" i="7"/>
  <c r="R68" i="7" s="1"/>
  <c r="O97" i="7"/>
  <c r="R97" i="7" s="1"/>
  <c r="O98" i="7"/>
  <c r="R98" i="7" s="1"/>
  <c r="O94" i="7"/>
  <c r="R94" i="7" s="1"/>
  <c r="O95" i="7"/>
  <c r="R95" i="7" s="1"/>
  <c r="O67" i="7"/>
  <c r="R67" i="7" s="1"/>
  <c r="E145" i="12"/>
  <c r="D152" i="12"/>
  <c r="E107" i="12"/>
  <c r="D114" i="12"/>
  <c r="E105" i="12"/>
  <c r="D112" i="12"/>
  <c r="O40" i="7"/>
  <c r="O39" i="7"/>
  <c r="R39" i="7" s="1"/>
  <c r="O38" i="7"/>
  <c r="R38" i="7" s="1"/>
  <c r="O37" i="7"/>
  <c r="R37" i="7" s="1"/>
  <c r="E123" i="12"/>
  <c r="D124" i="12"/>
  <c r="O89" i="7"/>
  <c r="R89" i="7" s="1"/>
  <c r="O64" i="7"/>
  <c r="R64" i="7" s="1"/>
  <c r="O91" i="7"/>
  <c r="R91" i="7" s="1"/>
  <c r="O90" i="7"/>
  <c r="R90" i="7" s="1"/>
  <c r="O41" i="7"/>
  <c r="R41" i="7" s="1"/>
  <c r="O42" i="7"/>
  <c r="R42" i="7" s="1"/>
  <c r="O43" i="7"/>
  <c r="R43" i="7" s="1"/>
  <c r="O71" i="7"/>
  <c r="R71" i="7" s="1"/>
  <c r="O70" i="7"/>
  <c r="R70" i="7" s="1"/>
  <c r="O69" i="7"/>
  <c r="D111" i="12"/>
  <c r="E104" i="12"/>
  <c r="E108" i="12"/>
  <c r="D115" i="12"/>
  <c r="D149" i="12"/>
  <c r="E142" i="12"/>
  <c r="D151" i="12"/>
  <c r="E144" i="12"/>
  <c r="O74" i="7"/>
  <c r="R74" i="7" s="1"/>
  <c r="O75" i="7"/>
  <c r="R75" i="7" s="1"/>
  <c r="O76" i="7"/>
  <c r="R76" i="7" s="1"/>
  <c r="O77" i="7"/>
  <c r="R77" i="7" s="1"/>
  <c r="O73" i="7"/>
  <c r="R73" i="7" s="1"/>
  <c r="X7" i="7" l="1"/>
  <c r="AH7" i="7"/>
  <c r="E115" i="12"/>
  <c r="E152" i="12"/>
  <c r="E233" i="12"/>
  <c r="E149" i="12"/>
  <c r="O131" i="7" s="1"/>
  <c r="E111" i="12"/>
  <c r="O49" i="7" s="1"/>
  <c r="R49" i="7" s="1"/>
  <c r="E150" i="12"/>
  <c r="O101" i="7" s="1"/>
  <c r="R101" i="7" s="1"/>
  <c r="E232" i="12"/>
  <c r="E237" i="12"/>
  <c r="E112" i="12"/>
  <c r="O122" i="7" s="1"/>
  <c r="E113" i="12"/>
  <c r="O51" i="7" s="1"/>
  <c r="R51" i="7" s="1"/>
  <c r="E156" i="12"/>
  <c r="O12" i="7"/>
  <c r="E151" i="12"/>
  <c r="E239" i="12"/>
  <c r="E204" i="12"/>
  <c r="O130" i="7" s="1"/>
  <c r="O114" i="7"/>
  <c r="E114" i="12"/>
  <c r="E231" i="12"/>
  <c r="E212" i="12"/>
  <c r="E157" i="12"/>
  <c r="O11" i="7"/>
  <c r="E66" i="12"/>
  <c r="D67" i="12"/>
  <c r="O54" i="7"/>
  <c r="R54" i="7" s="1"/>
  <c r="O105" i="7"/>
  <c r="R105" i="7" s="1"/>
  <c r="O56" i="7"/>
  <c r="R56" i="7" s="1"/>
  <c r="O53" i="7"/>
  <c r="R53" i="7" s="1"/>
  <c r="O52" i="7"/>
  <c r="R52" i="7" s="1"/>
  <c r="O106" i="7"/>
  <c r="R106" i="7" s="1"/>
  <c r="O103" i="7"/>
  <c r="R103" i="7" s="1"/>
  <c r="O61" i="7"/>
  <c r="R61" i="7" s="1"/>
  <c r="D46" i="12"/>
  <c r="O63" i="7"/>
  <c r="R63" i="7" s="1"/>
  <c r="O62" i="7"/>
  <c r="R62" i="7" s="1"/>
  <c r="N7" i="7"/>
  <c r="Q7" i="7" s="1"/>
  <c r="X114" i="7"/>
  <c r="Z114" i="7" s="1"/>
  <c r="D45" i="12"/>
  <c r="U7" i="7"/>
  <c r="U23" i="7" s="1"/>
  <c r="R20" i="7"/>
  <c r="R19" i="7"/>
  <c r="R22" i="7"/>
  <c r="Z108" i="7"/>
  <c r="D240" i="12"/>
  <c r="U114" i="7"/>
  <c r="W114" i="7" s="1"/>
  <c r="X23" i="7"/>
  <c r="O123" i="7"/>
  <c r="O55" i="7"/>
  <c r="R55" i="7" s="1"/>
  <c r="E79" i="12"/>
  <c r="E80" i="12"/>
  <c r="U113" i="7"/>
  <c r="W113" i="7" s="1"/>
  <c r="X113" i="7"/>
  <c r="Z113" i="7" s="1"/>
  <c r="Z57" i="7"/>
  <c r="E148" i="12"/>
  <c r="E124" i="12"/>
  <c r="D125" i="12"/>
  <c r="O25" i="7"/>
  <c r="R25" i="7" s="1"/>
  <c r="O59" i="7"/>
  <c r="O104" i="7"/>
  <c r="R104" i="7" s="1"/>
  <c r="O133" i="7"/>
  <c r="O132" i="7"/>
  <c r="O102" i="7"/>
  <c r="R102" i="7" s="1"/>
  <c r="R58" i="7"/>
  <c r="R69" i="7"/>
  <c r="U109" i="7" l="1"/>
  <c r="AF23" i="7"/>
  <c r="O50" i="7"/>
  <c r="R50" i="7" s="1"/>
  <c r="O100" i="7"/>
  <c r="R100" i="7" s="1"/>
  <c r="E67" i="12"/>
  <c r="E240" i="12"/>
  <c r="E46" i="12"/>
  <c r="E45" i="12"/>
  <c r="O24" i="7" s="1"/>
  <c r="O99" i="7"/>
  <c r="R99" i="7" s="1"/>
  <c r="Z7" i="7"/>
  <c r="Z23" i="7" s="1"/>
  <c r="Z109" i="7" s="1"/>
  <c r="U112" i="7"/>
  <c r="X112" i="7"/>
  <c r="R59" i="7"/>
  <c r="Q108" i="7"/>
  <c r="X109" i="7"/>
  <c r="D126" i="12"/>
  <c r="E125" i="12"/>
  <c r="O7" i="7" l="1"/>
  <c r="U116" i="7"/>
  <c r="W112" i="7"/>
  <c r="X116" i="7"/>
  <c r="Z112" i="7"/>
  <c r="R108" i="7"/>
  <c r="R24" i="7"/>
  <c r="Q57" i="7"/>
  <c r="R7" i="7"/>
  <c r="Q23" i="7"/>
  <c r="D127" i="12"/>
  <c r="E126" i="12"/>
  <c r="E127" i="12" l="1"/>
  <c r="Z116" i="7"/>
  <c r="U118" i="7" s="1"/>
  <c r="Q109" i="7"/>
  <c r="R23" i="7"/>
  <c r="R57" i="7"/>
  <c r="X118" i="7" l="1"/>
  <c r="C72" i="4"/>
  <c r="C73" i="4" s="1"/>
  <c r="R109" i="7"/>
</calcChain>
</file>

<file path=xl/comments1.xml><?xml version="1.0" encoding="utf-8"?>
<comments xmlns="http://schemas.openxmlformats.org/spreadsheetml/2006/main">
  <authors>
    <author>Irmgard R Wilcox</author>
  </authors>
  <commentList>
    <comment ref="E61" authorId="0" shapeId="0">
      <text>
        <r>
          <rPr>
            <b/>
            <sz val="9"/>
            <color indexed="81"/>
            <rFont val="Tahoma"/>
            <family val="2"/>
          </rPr>
          <t>Irmgard R Wilcox:</t>
        </r>
        <r>
          <rPr>
            <sz val="9"/>
            <color indexed="81"/>
            <rFont val="Tahoma"/>
            <family val="2"/>
          </rPr>
          <t xml:space="preserve">
Not on tariff, doubled the pu freguency and left the lbs the same as 1-can.  Also for the  3, 4 can.
</t>
        </r>
      </text>
    </comment>
  </commentList>
</comments>
</file>

<file path=xl/sharedStrings.xml><?xml version="1.0" encoding="utf-8"?>
<sst xmlns="http://schemas.openxmlformats.org/spreadsheetml/2006/main" count="937" uniqueCount="508">
  <si>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</si>
  <si>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</si>
  <si>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</si>
  <si>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</si>
  <si>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</si>
  <si>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</si>
  <si>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</si>
  <si>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</si>
  <si>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</si>
  <si>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</si>
  <si>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</si>
  <si>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</si>
  <si>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</si>
  <si>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</si>
  <si>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</si>
  <si>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</si>
  <si>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</si>
  <si>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</si>
  <si>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</si>
  <si>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</si>
  <si>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</si>
  <si>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</si>
  <si>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</si>
  <si>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</si>
  <si>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</si>
  <si>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</si>
  <si>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</si>
  <si>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</si>
  <si>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</si>
  <si>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</si>
  <si>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</si>
  <si>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</si>
  <si>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</si>
  <si>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</si>
  <si>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</si>
  <si>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</si>
  <si>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Company Proposed Tariff</t>
  </si>
  <si>
    <t>Company Current Tariff</t>
  </si>
  <si>
    <t>Company Current Revenue</t>
  </si>
  <si>
    <t>Tariff Rate Increase</t>
  </si>
  <si>
    <t>Revised Revenue Increase</t>
  </si>
  <si>
    <t>1 unit</t>
  </si>
  <si>
    <t>2 units</t>
  </si>
  <si>
    <t>3 units</t>
  </si>
  <si>
    <t>n/a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</si>
  <si>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</si>
  <si>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</si>
  <si>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</si>
  <si>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</si>
  <si>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</si>
  <si>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</si>
  <si>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</si>
  <si>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</si>
  <si>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</si>
  <si>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</si>
  <si>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</si>
  <si>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</si>
  <si>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</si>
  <si>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</si>
  <si>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</si>
  <si>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</si>
  <si>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</si>
  <si>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</si>
  <si>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</si>
  <si>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</si>
  <si>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</si>
  <si>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</si>
  <si>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</si>
  <si>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</si>
  <si>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</si>
  <si>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</si>
  <si>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</si>
  <si>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</si>
  <si>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</si>
  <si>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</si>
  <si>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</si>
  <si>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6 yd packer/compactor</t>
  </si>
  <si>
    <t>Yards</t>
  </si>
  <si>
    <t>Pounds per Pickup</t>
  </si>
  <si>
    <t>20 gal minican</t>
  </si>
  <si>
    <t>*</t>
  </si>
  <si>
    <t>Annual</t>
  </si>
  <si>
    <t>Customers</t>
  </si>
  <si>
    <t>Res'l &amp; Com'l</t>
  </si>
  <si>
    <t>Revenue Inc from Co Proposed Rates</t>
  </si>
  <si>
    <t>Company Proposed Rates</t>
  </si>
  <si>
    <t>Adjustment Factor Calculation</t>
  </si>
  <si>
    <t>4 Times per Week</t>
  </si>
  <si>
    <t>No Current Customers</t>
  </si>
  <si>
    <t>Service Code Description</t>
  </si>
  <si>
    <t>Transfer Station</t>
  </si>
  <si>
    <t>1YD CONT 1X WEEKLY</t>
  </si>
  <si>
    <t>1.5YD CONT 1X WEEKLY</t>
  </si>
  <si>
    <t>2YD CONT 1X WEEKLY</t>
  </si>
  <si>
    <t>2YD CONT 2X WEEKLY</t>
  </si>
  <si>
    <t>Murrey's Disposal Co., Inc.  G-9</t>
  </si>
  <si>
    <t>American Disposal Co., Inc. G-87</t>
  </si>
  <si>
    <t>Current</t>
  </si>
  <si>
    <t xml:space="preserve">New </t>
  </si>
  <si>
    <t>Tariff</t>
  </si>
  <si>
    <t>Proposed</t>
  </si>
  <si>
    <t>Rate</t>
  </si>
  <si>
    <t>Over size</t>
  </si>
  <si>
    <t>WG-R</t>
  </si>
  <si>
    <t xml:space="preserve">Mini can </t>
  </si>
  <si>
    <t>Mini can</t>
  </si>
  <si>
    <t>WG-NR</t>
  </si>
  <si>
    <t>One can</t>
  </si>
  <si>
    <t>Two cans</t>
  </si>
  <si>
    <t>Three cans</t>
  </si>
  <si>
    <t>Four cans</t>
  </si>
  <si>
    <t>Five cans</t>
  </si>
  <si>
    <t>Six cans</t>
  </si>
  <si>
    <t>MG</t>
  </si>
  <si>
    <t>Extra Units</t>
  </si>
  <si>
    <t>Each</t>
  </si>
  <si>
    <t>On Call</t>
  </si>
  <si>
    <t>Item 105, pg 27</t>
  </si>
  <si>
    <t>Item 105, pg 28</t>
  </si>
  <si>
    <t>1 yard</t>
  </si>
  <si>
    <t>1.5 yard</t>
  </si>
  <si>
    <t>2 yard</t>
  </si>
  <si>
    <t>4 yard</t>
  </si>
  <si>
    <t>6 yard</t>
  </si>
  <si>
    <t>Special Pickups</t>
  </si>
  <si>
    <t>Temporary Service</t>
  </si>
  <si>
    <t>Drum</t>
  </si>
  <si>
    <t>Special Pickup</t>
  </si>
  <si>
    <t>Bulky</t>
  </si>
  <si>
    <t>Loose material</t>
  </si>
  <si>
    <t>Additional</t>
  </si>
  <si>
    <t>Minimum</t>
  </si>
  <si>
    <t>Garbage</t>
  </si>
  <si>
    <t>Ton</t>
  </si>
  <si>
    <t>1 32 gal can</t>
  </si>
  <si>
    <t>Special pickups, p/can</t>
  </si>
  <si>
    <t>Temporary p/can</t>
  </si>
  <si>
    <t>Minimum monthly charge</t>
  </si>
  <si>
    <t>Special and Temporary</t>
  </si>
  <si>
    <t>3 yard</t>
  </si>
  <si>
    <t>Test Period</t>
  </si>
  <si>
    <t>RESIDENTIAL</t>
  </si>
  <si>
    <t>EXTRA UNITS</t>
  </si>
  <si>
    <t>Returned Trip - Carts</t>
  </si>
  <si>
    <t>1-20 GAL CAN WEEKLY</t>
  </si>
  <si>
    <t>1-20 GAL WKLY NON REC</t>
  </si>
  <si>
    <t>1-32 GAL CAN MONTHLY</t>
  </si>
  <si>
    <t>1-32 GAL CAN WEEKLY</t>
  </si>
  <si>
    <t>1-32 GAL WKLY NON REC</t>
  </si>
  <si>
    <t>2-32 GAL CANS WEEKLY</t>
  </si>
  <si>
    <t>2-32 GAL WKLY NON REC</t>
  </si>
  <si>
    <t>3-32 GAL CANS WEEKLY</t>
  </si>
  <si>
    <t>3-32 GAL WKLY NON REC</t>
  </si>
  <si>
    <t>4-32 GAL CANS WEEKLY</t>
  </si>
  <si>
    <t>4-32 GAL WKLY NON REC</t>
  </si>
  <si>
    <t>5-32 GAL CANS WEEKLY</t>
  </si>
  <si>
    <t>5-32 GAL WKLY NON REC</t>
  </si>
  <si>
    <t>6-32 GAL CANS WEEKLY</t>
  </si>
  <si>
    <t>6-32 GAL WKLY NON REC</t>
  </si>
  <si>
    <t>MULTI-FAMILY</t>
  </si>
  <si>
    <t>MF EXTRA CANS</t>
  </si>
  <si>
    <t>MF EXTRA YARDS</t>
  </si>
  <si>
    <t>1-32 GAL CAN MULTI-FAMILY</t>
  </si>
  <si>
    <t>MF 1 CAN NON RECY</t>
  </si>
  <si>
    <t>2-32 GAL CANS MULTI-FAMILY</t>
  </si>
  <si>
    <t>MF 2 CANS NON RECY</t>
  </si>
  <si>
    <t>3-32 GAL CANS MULTI-FAMILY</t>
  </si>
  <si>
    <t>MF 3 CAN NON RECY</t>
  </si>
  <si>
    <t>4-32 GAL CANS MULTI-FAMILY</t>
  </si>
  <si>
    <t>MF 4 CAN NON RECY</t>
  </si>
  <si>
    <t>6-32 GAL CANS MULTI-FAMILY</t>
  </si>
  <si>
    <t>MF 1 IMPROPER CAN W/ RECY</t>
  </si>
  <si>
    <t>Can Count First P/U w/Recycle</t>
  </si>
  <si>
    <t>Can Count Each Additional</t>
  </si>
  <si>
    <t>MF 1YD CONT 1X WKLY</t>
  </si>
  <si>
    <t>MF 1.5YD CONT 1X WKLY</t>
  </si>
  <si>
    <t>MF 1.5YD CONT 2X WKLY</t>
  </si>
  <si>
    <t>MF 1.5YD CONT 3X WKLY</t>
  </si>
  <si>
    <t>MF 2YD CONT 1X WKLY</t>
  </si>
  <si>
    <t>MF 2YD CONT 2X WKLY</t>
  </si>
  <si>
    <t>MF 2YD CONT 3X WKLY</t>
  </si>
  <si>
    <t>MF 4YD CONT 1X WKLY</t>
  </si>
  <si>
    <t>MF 4YD CONT 2X WKLY</t>
  </si>
  <si>
    <t>MF 4YD CONT 3X WKLY</t>
  </si>
  <si>
    <t>MF 6YD CONT 1X WKLY</t>
  </si>
  <si>
    <t>MF 6YD CONT 2X WKLY</t>
  </si>
  <si>
    <t>MF 6YD CONT 3X WKLY</t>
  </si>
  <si>
    <t>MF 6YD CONT 4X WKLY</t>
  </si>
  <si>
    <t>MF 1YD TEMP CONT</t>
  </si>
  <si>
    <t>MF 1.5YD TEMP CONT</t>
  </si>
  <si>
    <t>MF 2YD TEMP CONT</t>
  </si>
  <si>
    <t>MF 1YD CONT SPECIAL PU</t>
  </si>
  <si>
    <t>MF 1.5YD CONT SPECIAL PU</t>
  </si>
  <si>
    <t>MF 2YD CONT SPECIAL PU</t>
  </si>
  <si>
    <t>MF 4YD CONT SPECIAL PU</t>
  </si>
  <si>
    <t>MF 6YD CONT SPECIAL PU</t>
  </si>
  <si>
    <t>COMMERICAL EXTRA CAN</t>
  </si>
  <si>
    <t>COMMERICAL EXTRA YARD</t>
  </si>
  <si>
    <t>2-32 GAL CANS WKLY</t>
  </si>
  <si>
    <t>3-32 GAL CANS WKLY</t>
  </si>
  <si>
    <t>4-32 GAL CANS WKLY</t>
  </si>
  <si>
    <t xml:space="preserve">5-32 GAL CANS WKLY </t>
  </si>
  <si>
    <t>2YD CONT 3X WEEKLY</t>
  </si>
  <si>
    <t>4YD CONT 1X WEEKLY</t>
  </si>
  <si>
    <t>4YD CONT 2X WEEKLY</t>
  </si>
  <si>
    <t>4YD CONT 3X WEEKLY</t>
  </si>
  <si>
    <t>6YD CONT 1X WEEKLY</t>
  </si>
  <si>
    <t>6YD CONT 2X WEEKLY</t>
  </si>
  <si>
    <t>6YD CONT 3X WEEKLY</t>
  </si>
  <si>
    <t>6YD CONT 4X WEEKLY</t>
  </si>
  <si>
    <t>6YD CONT 5X WEEKLY</t>
  </si>
  <si>
    <t>2YD COMP 1X WEEK 2.25:1</t>
  </si>
  <si>
    <t>6YD COMP 2X WEEK 3:1</t>
  </si>
  <si>
    <t>3YD COMP ONCALL 3:1</t>
  </si>
  <si>
    <t>1YD CONT 1xWEEKLY</t>
  </si>
  <si>
    <t>1YD CONT 2xWEEKLY</t>
  </si>
  <si>
    <t>1YD CONT 3xWEEKLY</t>
  </si>
  <si>
    <t>1.5YD CONT 1xWEEKLY</t>
  </si>
  <si>
    <t>1.5YD CONT 2xWEEKLY</t>
  </si>
  <si>
    <t>2YD CONT 1xWEEKLY</t>
  </si>
  <si>
    <t>2YD CONT 2xWEEKLY</t>
  </si>
  <si>
    <t>2YD CONT 3xWEEKLY</t>
  </si>
  <si>
    <t>2YD CONT 4xWEEKLY</t>
  </si>
  <si>
    <t>2YD CONT 5xWEEKLY</t>
  </si>
  <si>
    <t>1YD TEMP CONTAINER</t>
  </si>
  <si>
    <t>1.5YD TEMP CONTAINER</t>
  </si>
  <si>
    <t>2YD TEMP CONTAINER</t>
  </si>
  <si>
    <t>1YD CONTAINER SPECIAL PU</t>
  </si>
  <si>
    <t>1.5YD CONTAINERSPECIAL PU</t>
  </si>
  <si>
    <t>2YD CONTAINER SPECIAL PU</t>
  </si>
  <si>
    <t>4YD CONTAINER SPECIAL PU</t>
  </si>
  <si>
    <t>6YD CONTAINER SPECIAL PU</t>
  </si>
  <si>
    <t>Multi-Family</t>
  </si>
  <si>
    <t>MF</t>
  </si>
  <si>
    <t>na</t>
  </si>
  <si>
    <t>6YD COMP 1X WEEK 2.25:1</t>
  </si>
  <si>
    <t>4YD COMP 1X WEEK 3:1</t>
  </si>
  <si>
    <t>2YD COMP 1X WEEK 3:1</t>
  </si>
  <si>
    <t>3YD Comp 1X Week 4:1</t>
  </si>
  <si>
    <t>Annual Increase</t>
  </si>
  <si>
    <t>Total Increase</t>
  </si>
  <si>
    <t>Murrey's Annual Units</t>
  </si>
  <si>
    <t>American Annual Units</t>
  </si>
  <si>
    <t>Residential:</t>
  </si>
  <si>
    <t>Multi-Family:</t>
  </si>
  <si>
    <t>Commercial:</t>
  </si>
  <si>
    <t>Pierce County</t>
  </si>
  <si>
    <t>Monthly</t>
  </si>
  <si>
    <t>5-32 GAL CANS MULTI-FAMILY</t>
  </si>
  <si>
    <t>Compaction Ratio:   3:1</t>
  </si>
  <si>
    <t>Compaction Ratio:   2:25</t>
  </si>
  <si>
    <t>Compaction Ratio:   4:1</t>
  </si>
  <si>
    <t>Compaction Ratio:   5:1</t>
  </si>
  <si>
    <t>Recycling Credits</t>
  </si>
  <si>
    <t xml:space="preserve">Recycling </t>
  </si>
  <si>
    <t>Recycling</t>
  </si>
  <si>
    <t>Restart Fee</t>
  </si>
  <si>
    <t>Extra Unit</t>
  </si>
  <si>
    <t>Returned Trip</t>
  </si>
  <si>
    <t>Drive-in</t>
  </si>
  <si>
    <t>Packout</t>
  </si>
  <si>
    <t>Obstraction</t>
  </si>
  <si>
    <t>Steps</t>
  </si>
  <si>
    <t>Sunken</t>
  </si>
  <si>
    <t>Packout-Recycling</t>
  </si>
  <si>
    <t>Recycling Only</t>
  </si>
  <si>
    <t>Delivery - Carts</t>
  </si>
  <si>
    <t>Drive-in Recycling</t>
  </si>
  <si>
    <t>Drive-in Yard Waste</t>
  </si>
  <si>
    <t>Returned Trip YW Tote</t>
  </si>
  <si>
    <t>Yard Waste</t>
  </si>
  <si>
    <t>Delivery - YW Tote</t>
  </si>
  <si>
    <t>Extra Unit YW</t>
  </si>
  <si>
    <t>Mini can w/recycling</t>
  </si>
  <si>
    <t>Mini can wo/recycling</t>
  </si>
  <si>
    <t>32 gal per month</t>
  </si>
  <si>
    <t>1-32 gal per week w/r</t>
  </si>
  <si>
    <t>1-32 gal per week wo/r</t>
  </si>
  <si>
    <t>2-32 gal per week w/r</t>
  </si>
  <si>
    <t>2-32 gal per week wo/r</t>
  </si>
  <si>
    <t>3-32 gal per week w/r</t>
  </si>
  <si>
    <t>3-32 gal per week wo/r</t>
  </si>
  <si>
    <t>4-32 gal per week w/r</t>
  </si>
  <si>
    <t>4-32 gal per week wo/r</t>
  </si>
  <si>
    <t>5-32 gal per week w/r</t>
  </si>
  <si>
    <t>5-32 gal per week wo/r</t>
  </si>
  <si>
    <t>6-32 gal per week w/r</t>
  </si>
  <si>
    <t>6-32 gal per week wo/r</t>
  </si>
  <si>
    <t>1 Improper per week w/r</t>
  </si>
  <si>
    <t>2 Improver per week w/r</t>
  </si>
  <si>
    <t>Recycling Credit</t>
  </si>
  <si>
    <t>Extra Yard</t>
  </si>
  <si>
    <t>Container Delivery</t>
  </si>
  <si>
    <t>Recycling Credit - Yardage</t>
  </si>
  <si>
    <t>Recycling Incentive</t>
  </si>
  <si>
    <t>Roll-out</t>
  </si>
  <si>
    <t>Delivery - Yard Waste Cart</t>
  </si>
  <si>
    <t>MF - Containers:</t>
  </si>
  <si>
    <t>1 yd once per week</t>
  </si>
  <si>
    <t>1 yard twice per week</t>
  </si>
  <si>
    <t>1.5 yard once per week</t>
  </si>
  <si>
    <t>1.5 yard twice per week</t>
  </si>
  <si>
    <t>1.5 yard three times p/wk</t>
  </si>
  <si>
    <t>2 yard once per week</t>
  </si>
  <si>
    <t>2 yard twice per week</t>
  </si>
  <si>
    <t>2 yard three times p/wk</t>
  </si>
  <si>
    <t>4 yard once per week</t>
  </si>
  <si>
    <t>4 yard twice per week</t>
  </si>
  <si>
    <t>4 yard three times p/wk</t>
  </si>
  <si>
    <t>6 yard once per week</t>
  </si>
  <si>
    <t>6 yard twice per week</t>
  </si>
  <si>
    <t>6 yard three times p/wk</t>
  </si>
  <si>
    <t>6 yard four times p/wk</t>
  </si>
  <si>
    <t>1 yard extra pu</t>
  </si>
  <si>
    <t>1/5 yard extra pu</t>
  </si>
  <si>
    <t>2 yard extra pu</t>
  </si>
  <si>
    <t>1 yard extra</t>
  </si>
  <si>
    <t>1.5 yard extra</t>
  </si>
  <si>
    <t>2 yard extra</t>
  </si>
  <si>
    <t>4 yard extra</t>
  </si>
  <si>
    <t>6 yard extra</t>
  </si>
  <si>
    <t>COMMERCIAL</t>
  </si>
  <si>
    <t>Extra unit</t>
  </si>
  <si>
    <t>Extra yard -container</t>
  </si>
  <si>
    <t>Roll-out - container</t>
  </si>
  <si>
    <t>Return trip -container</t>
  </si>
  <si>
    <t>Returned trip</t>
  </si>
  <si>
    <t>Time charge</t>
  </si>
  <si>
    <t>Restart fee</t>
  </si>
  <si>
    <t>1-32 gal once per week</t>
  </si>
  <si>
    <t>2-32 gal once per week</t>
  </si>
  <si>
    <t>3-32 gal once per week</t>
  </si>
  <si>
    <t>4-32 gal once per week</t>
  </si>
  <si>
    <t>5-32 gal once per week</t>
  </si>
  <si>
    <t>Improper can once p/wk</t>
  </si>
  <si>
    <t>1 yard once p/wk</t>
  </si>
  <si>
    <t>1.5 yard once p/wk</t>
  </si>
  <si>
    <t>2 yard once p/wk</t>
  </si>
  <si>
    <t>2 yard twice p/wk</t>
  </si>
  <si>
    <t>4 yard once p/wk</t>
  </si>
  <si>
    <t>4 yard twice p/wk</t>
  </si>
  <si>
    <t>6 yard once p/wk</t>
  </si>
  <si>
    <t>6 yard twice p/wk</t>
  </si>
  <si>
    <t>6 yard five times p/wk</t>
  </si>
  <si>
    <t>2 yard comp once p/w 2:25:1</t>
  </si>
  <si>
    <t>2 yard comp twice p/w 2:25:1</t>
  </si>
  <si>
    <t>4 yard comp once p/w 2:25:1</t>
  </si>
  <si>
    <t>4 yard comp once p/w 4:1</t>
  </si>
  <si>
    <t>4 yard comp once p/w 5:1</t>
  </si>
  <si>
    <t>4 yard comp twice p/w 5:1</t>
  </si>
  <si>
    <t>4 yard comp 3X p/w 2.25:1</t>
  </si>
  <si>
    <t>6 yard comp twice p/w 3:1</t>
  </si>
  <si>
    <t>6 yard comp once p/w 5:1</t>
  </si>
  <si>
    <t>6 yard comp twice p/w 4:1</t>
  </si>
  <si>
    <t>6 yard comp twice p/w 5:1</t>
  </si>
  <si>
    <t>6 yard comp 5X p/w 4:1</t>
  </si>
  <si>
    <t>3 yard comp once p/w 3:1</t>
  </si>
  <si>
    <t>3 yard comp twice p/w 3:1</t>
  </si>
  <si>
    <t>3 yard comp on call 3:1</t>
  </si>
  <si>
    <t>4 yard comp on call 5:1</t>
  </si>
  <si>
    <t>4 yard comp eow 5:1</t>
  </si>
  <si>
    <t>6 yard comp once p/w 4:1</t>
  </si>
  <si>
    <t>1 yard twice p/wk</t>
  </si>
  <si>
    <t>1 yard three times p/wk</t>
  </si>
  <si>
    <t>1.5 yard twice p/wk</t>
  </si>
  <si>
    <t>2 yard four times p/wk</t>
  </si>
  <si>
    <t>2 yard five times p/wk</t>
  </si>
  <si>
    <t>ROLL-OFF HAULS:</t>
  </si>
  <si>
    <t>Perm Drop Box Rent</t>
  </si>
  <si>
    <t>20 yard</t>
  </si>
  <si>
    <t>25 yard</t>
  </si>
  <si>
    <t>30 yard</t>
  </si>
  <si>
    <t>40 yard</t>
  </si>
  <si>
    <t>50 yard</t>
  </si>
  <si>
    <t>Permanent Drop Box</t>
  </si>
  <si>
    <t>Temporary DB (rent)</t>
  </si>
  <si>
    <t>Temporary Drop Box</t>
  </si>
  <si>
    <t>Cust owned Drop Box</t>
  </si>
  <si>
    <t>10 yard</t>
  </si>
  <si>
    <t>Cust owned Comp</t>
  </si>
  <si>
    <t>15 yard</t>
  </si>
  <si>
    <t>35 yard</t>
  </si>
  <si>
    <t>Other Charges:</t>
  </si>
  <si>
    <t>Temp DB delivery</t>
  </si>
  <si>
    <t>Mileage</t>
  </si>
  <si>
    <t>Connect/Reconnect</t>
  </si>
  <si>
    <t>Tandem Axle</t>
  </si>
  <si>
    <t>Special Charges</t>
  </si>
  <si>
    <t>Standby</t>
  </si>
  <si>
    <t>Relocate</t>
  </si>
  <si>
    <t>Roclean</t>
  </si>
  <si>
    <t>Tipping Fee</t>
  </si>
  <si>
    <t xml:space="preserve">Returned Trip </t>
  </si>
  <si>
    <t>Haul</t>
  </si>
  <si>
    <t>Pass Thru Dump Fee</t>
  </si>
  <si>
    <t>Rear Load</t>
  </si>
  <si>
    <t>Can Count w/Recycling</t>
  </si>
  <si>
    <t>Can Count - additional</t>
  </si>
  <si>
    <t>Recycling Stations:</t>
  </si>
  <si>
    <t>2 yard pu</t>
  </si>
  <si>
    <t>2 yard rent</t>
  </si>
  <si>
    <t>6 yard pu</t>
  </si>
  <si>
    <t>6 yard rent</t>
  </si>
  <si>
    <t>96 gal cart</t>
  </si>
  <si>
    <t>96 gal rent</t>
  </si>
  <si>
    <t>Damage</t>
  </si>
  <si>
    <t>Medical Waste</t>
  </si>
  <si>
    <t>Average Customer Count 2015</t>
  </si>
  <si>
    <t>Hauls</t>
  </si>
  <si>
    <t>4YD CONT 4X WEEKLY</t>
  </si>
  <si>
    <t>4YD COMP 1X WEEK 2.25:1</t>
  </si>
  <si>
    <t>4YD COMP ONCALL 5:1</t>
  </si>
  <si>
    <t>40 gallon Can</t>
  </si>
  <si>
    <t>American</t>
  </si>
  <si>
    <t>4 yard four times p/wk</t>
  </si>
  <si>
    <t>Murrey's</t>
  </si>
  <si>
    <t>10 Gallon</t>
  </si>
  <si>
    <t>20 Gallon</t>
  </si>
  <si>
    <t>35 Gallon</t>
  </si>
  <si>
    <t>4YD COMP 1X WEEK 4:1</t>
  </si>
  <si>
    <t>4YD COMP 1X WEEK 5:1</t>
  </si>
  <si>
    <t>6YD COMP 2X WEEK 4:1</t>
  </si>
  <si>
    <t>3YD COMP 2X WEEK 3:1</t>
  </si>
  <si>
    <t>4YD COMP EOW 5:1</t>
  </si>
  <si>
    <t>6YD COMP 1X WEEK 4:1</t>
  </si>
  <si>
    <t xml:space="preserve"> Calculated Rate</t>
  </si>
  <si>
    <t>Proposed Revenue</t>
  </si>
  <si>
    <t>WG</t>
  </si>
  <si>
    <t>6YD COMP 1X WEEK 5:1</t>
  </si>
  <si>
    <t>1-32 GAL CAN WEEKLY Min Applies</t>
  </si>
  <si>
    <t>Annual Customers</t>
  </si>
  <si>
    <t>32 Gal Can Count</t>
  </si>
  <si>
    <t>20 Gal Can Count</t>
  </si>
  <si>
    <t>TG-160232</t>
  </si>
  <si>
    <t>Pass Thru Tons</t>
  </si>
  <si>
    <t>Pass Thru Increase</t>
  </si>
  <si>
    <t>Total:</t>
  </si>
  <si>
    <t>Murrey's Annual Revenue</t>
  </si>
  <si>
    <t>American AnnualRevenue</t>
  </si>
  <si>
    <t xml:space="preserve">* not on meeks - for compactors </t>
  </si>
  <si>
    <t xml:space="preserve">   calculated weight times compaction ratio</t>
  </si>
  <si>
    <t>Item 55, Pg 18</t>
  </si>
  <si>
    <t>Item 100, pg 23</t>
  </si>
  <si>
    <t>Item 100, pg 24</t>
  </si>
  <si>
    <t>Item 105, pg 29</t>
  </si>
  <si>
    <t>Item 105, pg 30</t>
  </si>
  <si>
    <t>Item 120, pg 34</t>
  </si>
  <si>
    <t>Item 230, pg 40</t>
  </si>
  <si>
    <t>Item 240, pg 41</t>
  </si>
  <si>
    <t>Item 245, pg 42</t>
  </si>
  <si>
    <t>Item 255, pg 44  2.25:1 compaction</t>
  </si>
  <si>
    <t>Item 255, pg 45  3:1 compaction</t>
  </si>
  <si>
    <t>Item 255, pg 46  4:1 compaction</t>
  </si>
  <si>
    <t>Item 255, pg 47  5:1 compaction</t>
  </si>
  <si>
    <t>Item 255, pg 48  2.25:1 compaction</t>
  </si>
  <si>
    <t>Item 255, pg 49  3:1 compaction</t>
  </si>
  <si>
    <t>Item 255, pg 50  4:1 compaction</t>
  </si>
  <si>
    <t>Item 255, pg 51  5:1 compaction</t>
  </si>
  <si>
    <t>Item 150, pg 34</t>
  </si>
  <si>
    <t>Dump Fee Calc References</t>
  </si>
  <si>
    <t>Dump Fee Calculation</t>
  </si>
  <si>
    <t>Audited under TG-160232</t>
  </si>
  <si>
    <t>AUTOMATED CARTS ADDED SINCE LAST DF FILING</t>
  </si>
  <si>
    <t>20 Gallon Cart 1x Weekly</t>
  </si>
  <si>
    <t>35 Gallon Cart 1x Weekly</t>
  </si>
  <si>
    <t>65 Gallon Cart 1x Weekly</t>
  </si>
  <si>
    <t>95 Gallon Cart 1x Weekly</t>
  </si>
  <si>
    <t>20 Gallon Cart 1x Monthly</t>
  </si>
  <si>
    <t>35 Gallon Cart 1x Monthly</t>
  </si>
  <si>
    <t>65 Gallon Cart 1x Monthly</t>
  </si>
  <si>
    <t>95 Gallon Cart 1x Monthly</t>
  </si>
  <si>
    <t>20 Gallon Cart On Call</t>
  </si>
  <si>
    <t>35 Gallon Cart On Call</t>
  </si>
  <si>
    <t>65 Gallon Cart On Call</t>
  </si>
  <si>
    <t>95 Gallon Cart On Call</t>
  </si>
  <si>
    <t>20 Gallon Cart 1x  Weekly</t>
  </si>
  <si>
    <t>20 Gallon Cart per Pick Up</t>
  </si>
  <si>
    <t>35 Gallon Cart per Pick Up</t>
  </si>
  <si>
    <t>65 Gallon Cart per Pick Up</t>
  </si>
  <si>
    <t>95 Gallon Cart per Pick Up</t>
  </si>
  <si>
    <t>20 Gallon Cart Minimum</t>
  </si>
  <si>
    <t>35 Gallon Cart Minimum</t>
  </si>
  <si>
    <t>65 Gallon Cart Minimum</t>
  </si>
  <si>
    <t>95 Gallon Cart Minimum</t>
  </si>
  <si>
    <t>Residential</t>
  </si>
  <si>
    <t>20 Gallon Cart</t>
  </si>
  <si>
    <t>35 Gallon Cart</t>
  </si>
  <si>
    <t>65 Gallon Cart</t>
  </si>
  <si>
    <t>95 Gallon Cart</t>
  </si>
  <si>
    <t xml:space="preserve">65 Gallon Cart </t>
  </si>
  <si>
    <t>20 Gallon Cart - On Call</t>
  </si>
  <si>
    <t>65 Gallon Cart - On Call</t>
  </si>
  <si>
    <t>35 Gallon Cart - On Call</t>
  </si>
  <si>
    <t>95 Gallon Cart - On Call</t>
  </si>
  <si>
    <t>Appliance with Freon</t>
  </si>
  <si>
    <t>Proposed Rates Effective 3/1/2018</t>
  </si>
  <si>
    <t>From TG-160232</t>
  </si>
  <si>
    <t>1 Oversize</t>
  </si>
  <si>
    <t>2 Oversize</t>
  </si>
  <si>
    <t>Effective 3/1/2018</t>
  </si>
  <si>
    <t>Check</t>
  </si>
  <si>
    <t>1 OVERSIZED CAN - RESI</t>
  </si>
  <si>
    <t>2 OVERSIZED CANS - RESI</t>
  </si>
  <si>
    <t>Over Sized</t>
  </si>
  <si>
    <t>20 Gallon Cart Count</t>
  </si>
  <si>
    <t>35 Gallon Cart Count</t>
  </si>
  <si>
    <t>65 Gallon Cart Count</t>
  </si>
  <si>
    <t>95 Gallon Cart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</si>
</sst>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0"/>
      <name val="Arial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b/>
      <sz val="8"/>
      <name val="Arial"/>
      <family val="2"/>
    </font>
    <font>
      <sz val="11"/>
      <color theme="3" tint="0.3999755851924192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7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3" borderId="0" applyNumberFormat="0" applyFont="0" applyBorder="0" applyAlignment="0" applyProtection="0"/>
    <xf numFmtId="166" fontId="4" fillId="4" borderId="0" applyFont="0" applyFill="0" applyBorder="0" applyAlignment="0" applyProtection="0">
      <alignment wrapText="1"/>
    </xf>
    <xf numFmtId="0" fontId="13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3" borderId="0" applyNumberFormat="0" applyBorder="0" applyAlignment="0" applyProtection="0"/>
    <xf numFmtId="0" fontId="15" fillId="14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4" borderId="4" applyNumberFormat="0" applyAlignment="0" applyProtection="0"/>
    <xf numFmtId="0" fontId="32" fillId="24" borderId="4" applyNumberFormat="0" applyAlignment="0" applyProtection="0"/>
    <xf numFmtId="0" fontId="17" fillId="25" borderId="5" applyNumberFormat="0" applyAlignment="0" applyProtection="0"/>
    <xf numFmtId="0" fontId="17" fillId="26" borderId="6" applyNumberFormat="0" applyAlignment="0" applyProtection="0"/>
    <xf numFmtId="0" fontId="2" fillId="27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8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9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9" borderId="0">
      <alignment horizontal="right"/>
      <protection locked="0"/>
    </xf>
    <xf numFmtId="0" fontId="21" fillId="11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3" borderId="4" applyNumberFormat="0" applyAlignment="0" applyProtection="0"/>
    <xf numFmtId="0" fontId="41" fillId="13" borderId="4" applyNumberFormat="0" applyAlignment="0" applyProtection="0"/>
    <xf numFmtId="3" fontId="10" fillId="31" borderId="0">
      <protection locked="0"/>
    </xf>
    <xf numFmtId="4" fontId="10" fillId="31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3" borderId="0" applyNumberFormat="0" applyBorder="0" applyAlignment="0" applyProtection="0"/>
    <xf numFmtId="0" fontId="43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10" borderId="15" applyNumberFormat="0" applyFont="0" applyAlignment="0" applyProtection="0"/>
    <xf numFmtId="0" fontId="18" fillId="10" borderId="15" applyNumberFormat="0" applyFont="0" applyAlignment="0" applyProtection="0"/>
    <xf numFmtId="171" fontId="44" fillId="0" borderId="0" applyNumberFormat="0"/>
    <xf numFmtId="0" fontId="29" fillId="24" borderId="16" applyNumberFormat="0" applyAlignment="0" applyProtection="0"/>
    <xf numFmtId="0" fontId="24" fillId="24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12" borderId="0" applyNumberFormat="0" applyBorder="0" applyAlignment="0" applyProtection="0"/>
    <xf numFmtId="0" fontId="8" fillId="33" borderId="0" applyNumberFormat="0" applyBorder="0" applyAlignment="0" applyProtection="0"/>
    <xf numFmtId="0" fontId="8" fillId="12" borderId="0" applyNumberFormat="0" applyBorder="0" applyAlignment="0" applyProtection="0"/>
    <xf numFmtId="0" fontId="8" fillId="23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16" borderId="0" applyNumberFormat="0" applyBorder="0" applyAlignment="0" applyProtection="0"/>
    <xf numFmtId="0" fontId="49" fillId="24" borderId="4" applyNumberFormat="0" applyAlignment="0" applyProtection="0"/>
    <xf numFmtId="0" fontId="49" fillId="12" borderId="4" applyNumberFormat="0" applyAlignment="0" applyProtection="0"/>
    <xf numFmtId="43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5" applyNumberFormat="0" applyFill="0" applyAlignment="0" applyProtection="0"/>
    <xf numFmtId="0" fontId="51" fillId="0" borderId="26" applyNumberFormat="0" applyFill="0" applyAlignment="0" applyProtection="0"/>
    <xf numFmtId="0" fontId="23" fillId="0" borderId="10" applyNumberFormat="0" applyFill="0" applyAlignment="0" applyProtection="0"/>
    <xf numFmtId="0" fontId="52" fillId="0" borderId="10" applyNumberFormat="0" applyFill="0" applyAlignment="0" applyProtection="0"/>
    <xf numFmtId="0" fontId="24" fillId="0" borderId="27" applyNumberFormat="0" applyFill="0" applyAlignment="0" applyProtection="0"/>
    <xf numFmtId="0" fontId="53" fillId="0" borderId="28" applyNumberFormat="0" applyFill="0" applyAlignment="0" applyProtection="0"/>
    <xf numFmtId="0" fontId="54" fillId="0" borderId="29" applyNumberFormat="0" applyFill="0" applyAlignment="0" applyProtection="0"/>
    <xf numFmtId="0" fontId="55" fillId="13" borderId="0" applyNumberFormat="0" applyBorder="0" applyAlignment="0" applyProtection="0"/>
    <xf numFmtId="0" fontId="8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10" borderId="15" applyNumberFormat="0" applyFont="0" applyAlignment="0" applyProtection="0"/>
    <xf numFmtId="0" fontId="50" fillId="10" borderId="15" applyNumberFormat="0" applyFont="0" applyAlignment="0" applyProtection="0"/>
    <xf numFmtId="9" fontId="5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37" fontId="57" fillId="0" borderId="0"/>
    <xf numFmtId="0" fontId="31" fillId="0" borderId="30" applyNumberFormat="0" applyFill="0" applyAlignment="0" applyProtection="0"/>
    <xf numFmtId="0" fontId="31" fillId="0" borderId="31" applyNumberFormat="0" applyFill="0" applyAlignment="0" applyProtection="0"/>
    <xf numFmtId="0" fontId="2" fillId="0" borderId="0"/>
    <xf numFmtId="43" fontId="8" fillId="0" borderId="0" applyFont="0" applyFill="0" applyBorder="0" applyAlignment="0" applyProtection="0"/>
    <xf numFmtId="0" fontId="8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68">
    <xf numFmtId="0" fontId="0" fillId="0" borderId="0" xfId="0"/>
    <xf numFmtId="43" fontId="0" fillId="0" borderId="0" xfId="1" applyFont="1"/>
    <xf numFmtId="0" fontId="3" fillId="0" borderId="0" xfId="0" applyFont="1"/>
    <xf numFmtId="0" fontId="0" fillId="0" borderId="0" xfId="0" applyFont="1"/>
    <xf numFmtId="167" fontId="0" fillId="0" borderId="0" xfId="1" applyNumberFormat="1" applyFont="1"/>
    <xf numFmtId="167" fontId="0" fillId="0" borderId="0" xfId="1" applyNumberFormat="1" applyFont="1" applyBorder="1"/>
    <xf numFmtId="167" fontId="0" fillId="0" borderId="1" xfId="1" applyNumberFormat="1" applyFont="1" applyBorder="1"/>
    <xf numFmtId="166" fontId="0" fillId="0" borderId="0" xfId="1" applyNumberFormat="1" applyFont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/>
    <xf numFmtId="0" fontId="3" fillId="6" borderId="1" xfId="0" applyFont="1" applyFill="1" applyBorder="1"/>
    <xf numFmtId="0" fontId="0" fillId="0" borderId="0" xfId="0" applyFont="1"/>
    <xf numFmtId="43" fontId="0" fillId="0" borderId="0" xfId="0" applyNumberFormat="1" applyFont="1"/>
    <xf numFmtId="0" fontId="3" fillId="0" borderId="0" xfId="0" applyFont="1"/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43" fontId="0" fillId="0" borderId="0" xfId="1" applyFont="1" applyAlignment="1">
      <alignment horizontal="center"/>
    </xf>
    <xf numFmtId="164" fontId="0" fillId="0" borderId="0" xfId="2" applyNumberFormat="1" applyFont="1" applyBorder="1"/>
    <xf numFmtId="43" fontId="0" fillId="0" borderId="0" xfId="1" applyFont="1" applyFill="1" applyBorder="1"/>
    <xf numFmtId="43" fontId="0" fillId="0" borderId="0" xfId="1" applyFont="1" applyBorder="1"/>
    <xf numFmtId="165" fontId="0" fillId="0" borderId="0" xfId="2" applyNumberFormat="1" applyFont="1" applyBorder="1"/>
    <xf numFmtId="44" fontId="0" fillId="0" borderId="0" xfId="2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0" fontId="11" fillId="0" borderId="0" xfId="4" applyFont="1" applyFill="1" applyBorder="1" applyAlignment="1">
      <alignment horizontal="left"/>
    </xf>
    <xf numFmtId="166" fontId="11" fillId="0" borderId="0" xfId="1" applyNumberFormat="1" applyFont="1" applyFill="1" applyBorder="1" applyAlignment="1">
      <alignment horizontal="left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0" fillId="6" borderId="1" xfId="0" applyFont="1" applyFill="1" applyBorder="1" applyAlignment="1">
      <alignment vertical="center" textRotation="90"/>
    </xf>
    <xf numFmtId="0" fontId="0" fillId="0" borderId="3" xfId="0" applyFont="1" applyFill="1" applyBorder="1" applyAlignment="1">
      <alignment horizontal="center" vertical="center"/>
    </xf>
    <xf numFmtId="0" fontId="12" fillId="6" borderId="1" xfId="4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right"/>
    </xf>
    <xf numFmtId="43" fontId="0" fillId="6" borderId="1" xfId="1" applyFont="1" applyFill="1" applyBorder="1"/>
    <xf numFmtId="166" fontId="3" fillId="6" borderId="1" xfId="0" applyNumberFormat="1" applyFont="1" applyFill="1" applyBorder="1"/>
    <xf numFmtId="43" fontId="0" fillId="6" borderId="1" xfId="0" applyNumberFormat="1" applyFont="1" applyFill="1" applyBorder="1"/>
    <xf numFmtId="166" fontId="3" fillId="6" borderId="1" xfId="1" applyNumberFormat="1" applyFont="1" applyFill="1" applyBorder="1"/>
    <xf numFmtId="166" fontId="3" fillId="0" borderId="1" xfId="1" applyNumberFormat="1" applyFont="1" applyBorder="1" applyAlignment="1">
      <alignment horizontal="center"/>
    </xf>
    <xf numFmtId="44" fontId="0" fillId="0" borderId="0" xfId="1" applyNumberFormat="1" applyFont="1" applyFill="1" applyBorder="1"/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4" applyFont="1" applyFill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3" fontId="0" fillId="0" borderId="0" xfId="1" applyNumberFormat="1" applyFont="1" applyFill="1" applyBorder="1"/>
    <xf numFmtId="166" fontId="0" fillId="0" borderId="3" xfId="1" applyNumberFormat="1" applyFont="1" applyFill="1" applyBorder="1"/>
    <xf numFmtId="43" fontId="0" fillId="0" borderId="3" xfId="1" applyNumberFormat="1" applyFont="1" applyFill="1" applyBorder="1"/>
    <xf numFmtId="44" fontId="0" fillId="2" borderId="0" xfId="2" applyFont="1" applyFill="1" applyBorder="1"/>
    <xf numFmtId="44" fontId="0" fillId="0" borderId="3" xfId="2" applyFont="1" applyFill="1" applyBorder="1"/>
    <xf numFmtId="44" fontId="0" fillId="2" borderId="3" xfId="2" applyFont="1" applyFill="1" applyBorder="1"/>
    <xf numFmtId="44" fontId="3" fillId="6" borderId="1" xfId="2" applyFont="1" applyFill="1" applyBorder="1"/>
    <xf numFmtId="44" fontId="0" fillId="6" borderId="1" xfId="2" applyFont="1" applyFill="1" applyBorder="1"/>
    <xf numFmtId="44" fontId="3" fillId="0" borderId="0" xfId="2" applyFont="1" applyBorder="1" applyAlignment="1">
      <alignment horizontal="right"/>
    </xf>
    <xf numFmtId="0" fontId="0" fillId="32" borderId="0" xfId="0" applyFont="1" applyFill="1" applyBorder="1"/>
    <xf numFmtId="0" fontId="0" fillId="32" borderId="0" xfId="0" applyFont="1" applyFill="1" applyBorder="1" applyAlignment="1">
      <alignment horizontal="center"/>
    </xf>
    <xf numFmtId="166" fontId="0" fillId="32" borderId="0" xfId="1" applyNumberFormat="1" applyFont="1" applyFill="1" applyBorder="1"/>
    <xf numFmtId="44" fontId="0" fillId="32" borderId="0" xfId="1" applyNumberFormat="1" applyFont="1" applyFill="1" applyBorder="1"/>
    <xf numFmtId="0" fontId="3" fillId="32" borderId="0" xfId="0" applyFont="1" applyFill="1" applyBorder="1"/>
    <xf numFmtId="166" fontId="0" fillId="0" borderId="1" xfId="1" applyNumberFormat="1" applyFont="1" applyFill="1" applyBorder="1"/>
    <xf numFmtId="0" fontId="3" fillId="6" borderId="1" xfId="0" applyFont="1" applyFill="1" applyBorder="1" applyAlignment="1">
      <alignment horizontal="center" wrapText="1"/>
    </xf>
    <xf numFmtId="0" fontId="0" fillId="6" borderId="1" xfId="0" applyFont="1" applyFill="1" applyBorder="1" applyAlignment="1">
      <alignment horizontal="center" vertical="center"/>
    </xf>
    <xf numFmtId="3" fontId="3" fillId="6" borderId="1" xfId="0" applyNumberFormat="1" applyFont="1" applyFill="1" applyBorder="1"/>
    <xf numFmtId="0" fontId="0" fillId="0" borderId="0" xfId="0" applyFont="1" applyFill="1" applyBorder="1" applyAlignment="1"/>
    <xf numFmtId="0" fontId="11" fillId="0" borderId="0" xfId="274" applyFont="1" applyBorder="1" applyAlignment="1">
      <alignment horizontal="left"/>
    </xf>
    <xf numFmtId="0" fontId="9" fillId="0" borderId="0" xfId="4" applyFont="1" applyFill="1" applyBorder="1" applyAlignment="1">
      <alignment horizontal="left"/>
    </xf>
    <xf numFmtId="44" fontId="0" fillId="0" borderId="1" xfId="2" applyFont="1" applyFill="1" applyBorder="1"/>
    <xf numFmtId="44" fontId="0" fillId="0" borderId="0" xfId="2" applyFont="1" applyBorder="1"/>
    <xf numFmtId="0" fontId="3" fillId="0" borderId="20" xfId="0" applyFont="1" applyBorder="1"/>
    <xf numFmtId="0" fontId="0" fillId="0" borderId="21" xfId="0" applyFont="1" applyBorder="1"/>
    <xf numFmtId="43" fontId="3" fillId="0" borderId="0" xfId="1" applyNumberFormat="1" applyFont="1" applyBorder="1" applyAlignment="1">
      <alignment horizontal="right"/>
    </xf>
    <xf numFmtId="43" fontId="0" fillId="0" borderId="1" xfId="1" applyNumberFormat="1" applyFont="1" applyFill="1" applyBorder="1"/>
    <xf numFmtId="166" fontId="0" fillId="0" borderId="1" xfId="1" applyNumberFormat="1" applyFont="1" applyFill="1" applyBorder="1" applyAlignment="1">
      <alignment horizontal="center" wrapText="1"/>
    </xf>
    <xf numFmtId="0" fontId="58" fillId="0" borderId="0" xfId="353" applyFont="1" applyBorder="1"/>
    <xf numFmtId="0" fontId="2" fillId="0" borderId="0" xfId="372"/>
    <xf numFmtId="0" fontId="2" fillId="0" borderId="0" xfId="372" applyFill="1"/>
    <xf numFmtId="0" fontId="2" fillId="0" borderId="0" xfId="372" applyAlignment="1">
      <alignment horizontal="center"/>
    </xf>
    <xf numFmtId="14" fontId="2" fillId="0" borderId="0" xfId="372" applyNumberFormat="1" applyAlignment="1">
      <alignment horizontal="center"/>
    </xf>
    <xf numFmtId="0" fontId="48" fillId="0" borderId="0" xfId="372" applyFont="1"/>
    <xf numFmtId="4" fontId="2" fillId="0" borderId="0" xfId="372" applyNumberFormat="1" applyFill="1"/>
    <xf numFmtId="4" fontId="2" fillId="0" borderId="0" xfId="372" applyNumberFormat="1"/>
    <xf numFmtId="43" fontId="2" fillId="0" borderId="0" xfId="372" applyNumberFormat="1"/>
    <xf numFmtId="0" fontId="48" fillId="0" borderId="0" xfId="353" applyFont="1" applyBorder="1"/>
    <xf numFmtId="0" fontId="48" fillId="0" borderId="0" xfId="372" applyFont="1" applyAlignment="1">
      <alignment horizontal="center"/>
    </xf>
    <xf numFmtId="14" fontId="3" fillId="0" borderId="0" xfId="0" applyNumberFormat="1" applyFont="1"/>
    <xf numFmtId="3" fontId="1" fillId="0" borderId="0" xfId="0" applyNumberFormat="1" applyFont="1" applyFill="1" applyBorder="1"/>
    <xf numFmtId="0" fontId="11" fillId="0" borderId="0" xfId="299" applyFont="1" applyFill="1" applyBorder="1"/>
    <xf numFmtId="3" fontId="1" fillId="0" borderId="0" xfId="0" applyNumberFormat="1" applyFont="1" applyBorder="1"/>
    <xf numFmtId="0" fontId="11" fillId="0" borderId="0" xfId="299" applyFont="1" applyBorder="1"/>
    <xf numFmtId="16" fontId="12" fillId="0" borderId="0" xfId="299" applyNumberFormat="1" applyFont="1" applyBorder="1"/>
    <xf numFmtId="3" fontId="3" fillId="39" borderId="0" xfId="0" applyNumberFormat="1" applyFont="1" applyFill="1" applyBorder="1" applyAlignment="1">
      <alignment horizontal="center"/>
    </xf>
    <xf numFmtId="3" fontId="3" fillId="0" borderId="0" xfId="0" applyNumberFormat="1" applyFont="1" applyBorder="1"/>
    <xf numFmtId="0" fontId="12" fillId="0" borderId="0" xfId="299" applyFont="1" applyBorder="1"/>
    <xf numFmtId="0" fontId="0" fillId="0" borderId="1" xfId="0" applyFont="1" applyFill="1" applyBorder="1" applyAlignment="1">
      <alignment horizontal="center" vertical="center"/>
    </xf>
    <xf numFmtId="166" fontId="11" fillId="0" borderId="0" xfId="1" applyNumberFormat="1" applyFont="1" applyFill="1" applyBorder="1"/>
    <xf numFmtId="0" fontId="11" fillId="0" borderId="1" xfId="299" applyFont="1" applyBorder="1"/>
    <xf numFmtId="166" fontId="0" fillId="0" borderId="3" xfId="1" applyNumberFormat="1" applyFont="1" applyFill="1" applyBorder="1" applyAlignment="1">
      <alignment horizontal="center" wrapText="1"/>
    </xf>
    <xf numFmtId="0" fontId="11" fillId="0" borderId="3" xfId="299" applyFont="1" applyBorder="1"/>
    <xf numFmtId="2" fontId="2" fillId="0" borderId="0" xfId="372" applyNumberFormat="1" applyFill="1"/>
    <xf numFmtId="0" fontId="3" fillId="6" borderId="0" xfId="0" applyFont="1" applyFill="1" applyBorder="1" applyAlignment="1">
      <alignment horizontal="center" wrapText="1"/>
    </xf>
    <xf numFmtId="3" fontId="0" fillId="0" borderId="0" xfId="0" applyNumberFormat="1" applyFont="1" applyFill="1" applyBorder="1"/>
    <xf numFmtId="3" fontId="0" fillId="0" borderId="0" xfId="0" applyNumberFormat="1" applyFont="1" applyBorder="1"/>
    <xf numFmtId="3" fontId="3" fillId="0" borderId="0" xfId="0" applyNumberFormat="1" applyFont="1" applyFill="1" applyBorder="1"/>
    <xf numFmtId="3" fontId="3" fillId="0" borderId="0" xfId="2" applyNumberFormat="1" applyFont="1" applyBorder="1" applyAlignment="1">
      <alignment horizontal="right"/>
    </xf>
    <xf numFmtId="3" fontId="0" fillId="0" borderId="0" xfId="2" applyNumberFormat="1" applyFont="1" applyFill="1" applyBorder="1"/>
    <xf numFmtId="3" fontId="0" fillId="0" borderId="0" xfId="0" applyNumberFormat="1" applyFont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/>
    <xf numFmtId="169" fontId="0" fillId="0" borderId="0" xfId="0" applyNumberFormat="1" applyFont="1"/>
    <xf numFmtId="166" fontId="0" fillId="40" borderId="1" xfId="1" applyNumberFormat="1" applyFont="1" applyFill="1" applyBorder="1"/>
    <xf numFmtId="2" fontId="50" fillId="0" borderId="0" xfId="353" applyNumberFormat="1" applyFont="1" applyFill="1" applyBorder="1"/>
    <xf numFmtId="2" fontId="2" fillId="0" borderId="0" xfId="372" applyNumberFormat="1"/>
    <xf numFmtId="2" fontId="0" fillId="0" borderId="0" xfId="0" applyNumberFormat="1"/>
    <xf numFmtId="3" fontId="0" fillId="0" borderId="0" xfId="1" applyNumberFormat="1" applyFont="1" applyBorder="1"/>
    <xf numFmtId="3" fontId="3" fillId="0" borderId="0" xfId="1" applyNumberFormat="1" applyFont="1" applyBorder="1" applyAlignment="1">
      <alignment horizontal="right"/>
    </xf>
    <xf numFmtId="3" fontId="0" fillId="32" borderId="0" xfId="0" applyNumberFormat="1" applyFont="1" applyFill="1" applyBorder="1" applyAlignment="1">
      <alignment horizontal="right"/>
    </xf>
    <xf numFmtId="3" fontId="1" fillId="0" borderId="0" xfId="1" applyNumberFormat="1" applyFont="1" applyFill="1" applyBorder="1"/>
    <xf numFmtId="3" fontId="1" fillId="0" borderId="1" xfId="1" applyNumberFormat="1" applyFont="1" applyBorder="1"/>
    <xf numFmtId="3" fontId="0" fillId="0" borderId="3" xfId="1" applyNumberFormat="1" applyFont="1" applyBorder="1"/>
    <xf numFmtId="3" fontId="0" fillId="0" borderId="1" xfId="1" applyNumberFormat="1" applyFont="1" applyBorder="1"/>
    <xf numFmtId="3" fontId="0" fillId="0" borderId="0" xfId="1" applyNumberFormat="1" applyFont="1" applyBorder="1" applyAlignment="1">
      <alignment horizontal="right"/>
    </xf>
    <xf numFmtId="0" fontId="11" fillId="0" borderId="0" xfId="0" applyFont="1" applyFill="1"/>
    <xf numFmtId="10" fontId="0" fillId="0" borderId="0" xfId="0" applyNumberFormat="1" applyFont="1"/>
    <xf numFmtId="0" fontId="0" fillId="0" borderId="0" xfId="0" applyFont="1" applyFill="1" applyBorder="1" applyAlignment="1">
      <alignment horizontal="center" vertical="center" textRotation="90"/>
    </xf>
    <xf numFmtId="0" fontId="0" fillId="0" borderId="3" xfId="0" applyFont="1" applyFill="1" applyBorder="1" applyAlignment="1">
      <alignment horizontal="center" vertical="center" textRotation="90"/>
    </xf>
    <xf numFmtId="44" fontId="0" fillId="0" borderId="0" xfId="2" applyFont="1" applyFill="1"/>
    <xf numFmtId="165" fontId="0" fillId="0" borderId="0" xfId="2" applyNumberFormat="1" applyFont="1" applyFill="1"/>
    <xf numFmtId="165" fontId="0" fillId="0" borderId="1" xfId="2" applyNumberFormat="1" applyFont="1" applyFill="1" applyBorder="1"/>
    <xf numFmtId="169" fontId="0" fillId="0" borderId="0" xfId="2" applyNumberFormat="1" applyFont="1" applyFill="1"/>
    <xf numFmtId="3" fontId="1" fillId="0" borderId="0" xfId="1" applyNumberFormat="1" applyFont="1" applyBorder="1"/>
    <xf numFmtId="0" fontId="0" fillId="0" borderId="0" xfId="0" applyFont="1" applyAlignment="1">
      <alignment horizontal="left"/>
    </xf>
    <xf numFmtId="3" fontId="1" fillId="0" borderId="3" xfId="1" applyNumberFormat="1" applyFont="1" applyFill="1" applyBorder="1"/>
    <xf numFmtId="43" fontId="3" fillId="0" borderId="0" xfId="0" applyNumberFormat="1" applyFont="1"/>
    <xf numFmtId="0" fontId="3" fillId="0" borderId="0" xfId="0" applyFont="1" applyAlignment="1">
      <alignment horizontal="left" indent="1"/>
    </xf>
    <xf numFmtId="0" fontId="3" fillId="0" borderId="32" xfId="0" applyFont="1" applyBorder="1"/>
    <xf numFmtId="41" fontId="0" fillId="0" borderId="0" xfId="1" applyNumberFormat="1" applyFont="1"/>
    <xf numFmtId="0" fontId="11" fillId="41" borderId="0" xfId="0" applyFont="1" applyFill="1" applyAlignment="1">
      <alignment horizontal="right"/>
    </xf>
    <xf numFmtId="44" fontId="0" fillId="6" borderId="33" xfId="2" applyFont="1" applyFill="1" applyBorder="1"/>
    <xf numFmtId="10" fontId="3" fillId="0" borderId="0" xfId="0" applyNumberFormat="1" applyFont="1" applyFill="1" applyBorder="1"/>
    <xf numFmtId="3" fontId="0" fillId="0" borderId="0" xfId="1" applyNumberFormat="1" applyFont="1" applyFill="1" applyBorder="1"/>
    <xf numFmtId="4" fontId="0" fillId="0" borderId="0" xfId="0" applyNumberFormat="1" applyFont="1" applyFill="1" applyBorder="1"/>
    <xf numFmtId="4" fontId="0" fillId="0" borderId="0" xfId="0" applyNumberFormat="1" applyFont="1" applyBorder="1"/>
    <xf numFmtId="4" fontId="3" fillId="0" borderId="0" xfId="0" applyNumberFormat="1" applyFont="1" applyFill="1" applyBorder="1"/>
    <xf numFmtId="4" fontId="0" fillId="2" borderId="0" xfId="2" applyNumberFormat="1" applyFont="1" applyFill="1" applyBorder="1"/>
    <xf numFmtId="4" fontId="3" fillId="6" borderId="1" xfId="2" applyNumberFormat="1" applyFont="1" applyFill="1" applyBorder="1"/>
    <xf numFmtId="164" fontId="3" fillId="0" borderId="0" xfId="2" applyNumberFormat="1" applyFont="1" applyBorder="1" applyAlignment="1">
      <alignment horizontal="right"/>
    </xf>
    <xf numFmtId="0" fontId="0" fillId="6" borderId="35" xfId="0" applyFont="1" applyFill="1" applyBorder="1" applyAlignment="1">
      <alignment horizontal="center"/>
    </xf>
    <xf numFmtId="3" fontId="3" fillId="6" borderId="1" xfId="2" applyNumberFormat="1" applyFont="1" applyFill="1" applyBorder="1"/>
    <xf numFmtId="0" fontId="0" fillId="0" borderId="0" xfId="0" applyFont="1" applyFill="1" applyBorder="1" applyAlignment="1">
      <alignment horizontal="left"/>
    </xf>
    <xf numFmtId="43" fontId="0" fillId="0" borderId="0" xfId="0" applyNumberFormat="1" applyFont="1" applyFill="1" applyBorder="1"/>
    <xf numFmtId="0" fontId="59" fillId="0" borderId="0" xfId="1" applyNumberFormat="1" applyFont="1" applyFill="1" applyBorder="1" applyAlignment="1">
      <alignment horizontal="left"/>
    </xf>
    <xf numFmtId="0" fontId="0" fillId="0" borderId="0" xfId="1" applyNumberFormat="1" applyFont="1" applyFill="1" applyBorder="1"/>
    <xf numFmtId="10" fontId="0" fillId="0" borderId="0" xfId="3" applyNumberFormat="1" applyFont="1" applyFill="1" applyBorder="1"/>
    <xf numFmtId="3" fontId="3" fillId="6" borderId="33" xfId="0" applyNumberFormat="1" applyFont="1" applyFill="1" applyBorder="1" applyAlignment="1">
      <alignment horizontal="right"/>
    </xf>
    <xf numFmtId="43" fontId="0" fillId="6" borderId="33" xfId="1" applyFont="1" applyFill="1" applyBorder="1"/>
    <xf numFmtId="166" fontId="3" fillId="6" borderId="33" xfId="0" applyNumberFormat="1" applyFont="1" applyFill="1" applyBorder="1"/>
    <xf numFmtId="42" fontId="3" fillId="0" borderId="0" xfId="0" applyNumberFormat="1" applyFont="1"/>
    <xf numFmtId="42" fontId="0" fillId="0" borderId="22" xfId="2" applyNumberFormat="1" applyFont="1" applyBorder="1"/>
    <xf numFmtId="2" fontId="0" fillId="0" borderId="0" xfId="0" applyNumberFormat="1" applyFont="1" applyFill="1" applyBorder="1"/>
    <xf numFmtId="3" fontId="3" fillId="6" borderId="0" xfId="0" applyNumberFormat="1" applyFont="1" applyFill="1" applyBorder="1" applyAlignment="1">
      <alignment horizontal="center" wrapText="1"/>
    </xf>
    <xf numFmtId="10" fontId="0" fillId="0" borderId="0" xfId="0" applyNumberFormat="1" applyFont="1" applyFill="1" applyBorder="1"/>
    <xf numFmtId="10" fontId="0" fillId="0" borderId="0" xfId="0" applyNumberFormat="1" applyFont="1" applyBorder="1"/>
    <xf numFmtId="3" fontId="3" fillId="41" borderId="0" xfId="0" applyNumberFormat="1" applyFont="1" applyFill="1" applyBorder="1" applyAlignment="1">
      <alignment horizontal="center"/>
    </xf>
    <xf numFmtId="0" fontId="12" fillId="41" borderId="0" xfId="299" applyFont="1" applyFill="1" applyBorder="1" applyAlignment="1">
      <alignment horizontal="center"/>
    </xf>
    <xf numFmtId="0" fontId="3" fillId="6" borderId="0" xfId="0" applyFont="1" applyFill="1" applyBorder="1"/>
    <xf numFmtId="0" fontId="3" fillId="6" borderId="0" xfId="0" applyFont="1" applyFill="1" applyBorder="1" applyAlignment="1">
      <alignment horizontal="center" vertical="center"/>
    </xf>
    <xf numFmtId="166" fontId="3" fillId="6" borderId="0" xfId="1" applyNumberFormat="1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/>
    </xf>
    <xf numFmtId="0" fontId="0" fillId="0" borderId="23" xfId="0" applyFont="1" applyBorder="1"/>
    <xf numFmtId="0" fontId="3" fillId="0" borderId="0" xfId="0" applyFont="1" applyFill="1" applyBorder="1"/>
    <xf numFmtId="42" fontId="0" fillId="0" borderId="0" xfId="0" applyNumberFormat="1" applyFont="1" applyFill="1" applyBorder="1" applyAlignment="1">
      <alignment horizontal="right"/>
    </xf>
    <xf numFmtId="0" fontId="0" fillId="0" borderId="2" xfId="0" applyFont="1" applyBorder="1"/>
    <xf numFmtId="0" fontId="0" fillId="0" borderId="24" xfId="0" applyFont="1" applyBorder="1"/>
    <xf numFmtId="4" fontId="2" fillId="0" borderId="0" xfId="372" quotePrefix="1" applyNumberFormat="1"/>
    <xf numFmtId="0" fontId="0" fillId="6" borderId="36" xfId="0" applyFont="1" applyFill="1" applyBorder="1" applyAlignment="1">
      <alignment vertical="center" textRotation="90"/>
    </xf>
    <xf numFmtId="0" fontId="0" fillId="6" borderId="33" xfId="0" applyFont="1" applyFill="1" applyBorder="1" applyAlignment="1">
      <alignment horizontal="center" vertical="center"/>
    </xf>
    <xf numFmtId="0" fontId="12" fillId="6" borderId="33" xfId="4" applyFont="1" applyFill="1" applyBorder="1" applyAlignment="1">
      <alignment horizontal="left"/>
    </xf>
    <xf numFmtId="43" fontId="0" fillId="6" borderId="33" xfId="0" applyNumberFormat="1" applyFont="1" applyFill="1" applyBorder="1"/>
    <xf numFmtId="3" fontId="3" fillId="6" borderId="33" xfId="0" applyNumberFormat="1" applyFont="1" applyFill="1" applyBorder="1"/>
    <xf numFmtId="166" fontId="3" fillId="6" borderId="33" xfId="1" applyNumberFormat="1" applyFont="1" applyFill="1" applyBorder="1"/>
    <xf numFmtId="44" fontId="3" fillId="6" borderId="33" xfId="2" applyFont="1" applyFill="1" applyBorder="1"/>
    <xf numFmtId="4" fontId="3" fillId="6" borderId="34" xfId="2" applyNumberFormat="1" applyFont="1" applyFill="1" applyBorder="1"/>
    <xf numFmtId="3" fontId="0" fillId="41" borderId="0" xfId="1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4" fontId="0" fillId="0" borderId="0" xfId="0" applyNumberFormat="1" applyFont="1" applyFill="1" applyBorder="1"/>
    <xf numFmtId="0" fontId="3" fillId="42" borderId="1" xfId="0" applyFont="1" applyFill="1" applyBorder="1" applyAlignment="1">
      <alignment horizontal="center" wrapText="1"/>
    </xf>
    <xf numFmtId="0" fontId="3" fillId="42" borderId="0" xfId="0" applyFont="1" applyFill="1" applyBorder="1" applyAlignment="1">
      <alignment horizontal="center" wrapText="1"/>
    </xf>
    <xf numFmtId="171" fontId="0" fillId="0" borderId="0" xfId="0" applyNumberFormat="1" applyFont="1" applyBorder="1"/>
    <xf numFmtId="171" fontId="0" fillId="0" borderId="0" xfId="0" applyNumberFormat="1" applyFont="1" applyFill="1" applyBorder="1"/>
    <xf numFmtId="0" fontId="3" fillId="0" borderId="0" xfId="0" applyFont="1" applyBorder="1"/>
    <xf numFmtId="0" fontId="48" fillId="6" borderId="0" xfId="372" applyFont="1" applyFill="1"/>
    <xf numFmtId="0" fontId="48" fillId="6" borderId="0" xfId="372" applyFont="1" applyFill="1" applyAlignment="1">
      <alignment horizontal="center"/>
    </xf>
    <xf numFmtId="14" fontId="3" fillId="6" borderId="0" xfId="0" applyNumberFormat="1" applyFont="1" applyFill="1"/>
    <xf numFmtId="166" fontId="1" fillId="0" borderId="0" xfId="282" applyNumberFormat="1" applyFont="1" applyFill="1" applyBorder="1"/>
    <xf numFmtId="166" fontId="11" fillId="0" borderId="0" xfId="282" applyNumberFormat="1" applyFont="1" applyBorder="1"/>
    <xf numFmtId="3" fontId="11" fillId="0" borderId="0" xfId="282" applyNumberFormat="1" applyFont="1" applyBorder="1"/>
    <xf numFmtId="3" fontId="12" fillId="0" borderId="0" xfId="299" applyNumberFormat="1" applyFont="1" applyFill="1" applyBorder="1"/>
    <xf numFmtId="3" fontId="12" fillId="0" borderId="0" xfId="299" applyNumberFormat="1" applyFont="1" applyBorder="1"/>
    <xf numFmtId="166" fontId="12" fillId="0" borderId="0" xfId="282" applyNumberFormat="1" applyFont="1" applyBorder="1"/>
    <xf numFmtId="3" fontId="11" fillId="0" borderId="0" xfId="299" applyNumberFormat="1" applyFont="1" applyBorder="1" applyAlignment="1"/>
    <xf numFmtId="0" fontId="3" fillId="41" borderId="0" xfId="0" applyFont="1" applyFill="1" applyBorder="1"/>
    <xf numFmtId="16" fontId="12" fillId="0" borderId="0" xfId="299" quotePrefix="1" applyNumberFormat="1" applyFont="1" applyFill="1" applyBorder="1"/>
    <xf numFmtId="0" fontId="1" fillId="0" borderId="0" xfId="0" applyFont="1" applyBorder="1"/>
    <xf numFmtId="0" fontId="1" fillId="0" borderId="0" xfId="0" applyFont="1" applyFill="1" applyBorder="1"/>
    <xf numFmtId="43" fontId="1" fillId="0" borderId="0" xfId="0" applyNumberFormat="1" applyFont="1" applyFill="1" applyBorder="1"/>
    <xf numFmtId="0" fontId="11" fillId="0" borderId="0" xfId="299" applyFont="1" applyFill="1" applyBorder="1" applyAlignment="1"/>
    <xf numFmtId="0" fontId="12" fillId="0" borderId="0" xfId="353" applyFont="1" applyBorder="1"/>
    <xf numFmtId="0" fontId="12" fillId="41" borderId="0" xfId="299" applyFont="1" applyFill="1" applyBorder="1"/>
    <xf numFmtId="0" fontId="12" fillId="0" borderId="0" xfId="299" applyFont="1" applyFill="1" applyBorder="1"/>
    <xf numFmtId="0" fontId="11" fillId="0" borderId="0" xfId="300" applyFont="1" applyFill="1" applyBorder="1"/>
    <xf numFmtId="0" fontId="12" fillId="41" borderId="0" xfId="299" applyFont="1" applyFill="1" applyBorder="1" applyAlignment="1"/>
    <xf numFmtId="0" fontId="12" fillId="0" borderId="0" xfId="299" applyFont="1" applyFill="1" applyBorder="1" applyAlignment="1"/>
    <xf numFmtId="0" fontId="1" fillId="0" borderId="0" xfId="299" applyFont="1" applyFill="1" applyBorder="1" applyAlignment="1"/>
    <xf numFmtId="43" fontId="0" fillId="0" borderId="0" xfId="0" applyNumberFormat="1"/>
    <xf numFmtId="0" fontId="0" fillId="0" borderId="0" xfId="0" applyFont="1" applyFill="1" applyBorder="1" applyAlignment="1">
      <alignment horizontal="center" vertical="center" textRotation="90"/>
    </xf>
    <xf numFmtId="0" fontId="0" fillId="43" borderId="0" xfId="0" applyFont="1" applyFill="1" applyBorder="1" applyAlignment="1">
      <alignment horizontal="center" vertical="center" textRotation="90"/>
    </xf>
    <xf numFmtId="0" fontId="11" fillId="43" borderId="0" xfId="299" applyFont="1" applyFill="1" applyBorder="1"/>
    <xf numFmtId="3" fontId="1" fillId="43" borderId="0" xfId="0" applyNumberFormat="1" applyFont="1" applyFill="1" applyBorder="1"/>
    <xf numFmtId="43" fontId="0" fillId="43" borderId="0" xfId="1" applyNumberFormat="1" applyFont="1" applyFill="1" applyBorder="1"/>
    <xf numFmtId="166" fontId="0" fillId="43" borderId="0" xfId="1" applyNumberFormat="1" applyFont="1" applyFill="1" applyBorder="1"/>
    <xf numFmtId="166" fontId="11" fillId="43" borderId="0" xfId="1" applyNumberFormat="1" applyFont="1" applyFill="1" applyBorder="1"/>
    <xf numFmtId="166" fontId="0" fillId="43" borderId="0" xfId="1" applyNumberFormat="1" applyFont="1" applyFill="1" applyBorder="1" applyAlignment="1">
      <alignment horizontal="center" wrapText="1"/>
    </xf>
    <xf numFmtId="44" fontId="0" fillId="43" borderId="0" xfId="2" applyFont="1" applyFill="1" applyBorder="1"/>
    <xf numFmtId="0" fontId="62" fillId="43" borderId="0" xfId="0" applyFont="1" applyFill="1" applyBorder="1" applyAlignment="1">
      <alignment horizontal="left" vertical="center"/>
    </xf>
    <xf numFmtId="4" fontId="0" fillId="0" borderId="0" xfId="2" applyNumberFormat="1" applyFont="1" applyFill="1" applyBorder="1"/>
    <xf numFmtId="0" fontId="0" fillId="0" borderId="0" xfId="0" applyFont="1" applyFill="1" applyBorder="1" applyAlignment="1">
      <alignment horizontal="center" vertical="center" textRotation="90"/>
    </xf>
    <xf numFmtId="2" fontId="48" fillId="6" borderId="0" xfId="372" applyNumberFormat="1" applyFont="1" applyFill="1" applyAlignment="1">
      <alignment horizontal="center"/>
    </xf>
    <xf numFmtId="44" fontId="0" fillId="44" borderId="0" xfId="2" applyFont="1" applyFill="1"/>
    <xf numFmtId="44" fontId="0" fillId="44" borderId="1" xfId="2" applyFont="1" applyFill="1" applyBorder="1"/>
    <xf numFmtId="43" fontId="2" fillId="0" borderId="0" xfId="372" applyNumberFormat="1" applyFill="1"/>
    <xf numFmtId="0" fontId="0" fillId="0" borderId="0" xfId="0" applyFont="1" applyFill="1" applyBorder="1" applyAlignment="1">
      <alignment horizontal="center" vertical="center" textRotation="90"/>
    </xf>
    <xf numFmtId="0" fontId="0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63" fillId="0" borderId="0" xfId="0" applyFont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1" xfId="0" applyFont="1" applyFill="1" applyBorder="1" applyAlignment="1">
      <alignment horizontal="center" vertical="center" textRotation="90"/>
    </xf>
    <xf numFmtId="0" fontId="0" fillId="0" borderId="3" xfId="0" applyFont="1" applyFill="1" applyBorder="1" applyAlignment="1">
      <alignment horizontal="center" vertical="center" textRotation="90"/>
    </xf>
  </cellXfs>
  <cellStyles count="377">
    <cellStyle name="20% - Accent1 2" xfId="40"/>
    <cellStyle name="20% - Accent1 2 2" xfId="301"/>
    <cellStyle name="20% - Accent1 3" xfId="39"/>
    <cellStyle name="20% - Accent1 3 2" xfId="302"/>
    <cellStyle name="20% - Accent2 2" xfId="42"/>
    <cellStyle name="20% - Accent2 3" xfId="41"/>
    <cellStyle name="20% - Accent3 2" xfId="44"/>
    <cellStyle name="20% - Accent3 3" xfId="43"/>
    <cellStyle name="20% - Accent4 2" xfId="46"/>
    <cellStyle name="20% - Accent4 2 2" xfId="303"/>
    <cellStyle name="20% - Accent4 3" xfId="45"/>
    <cellStyle name="20% - Accent4 3 2" xfId="304"/>
    <cellStyle name="20% - Accent5 2" xfId="48"/>
    <cellStyle name="20% - Accent5 3" xfId="47"/>
    <cellStyle name="20% - Accent6 2" xfId="50"/>
    <cellStyle name="20% - Accent6 3" xfId="49"/>
    <cellStyle name="40% - Accent1 2" xfId="52"/>
    <cellStyle name="40% - Accent1 3" xfId="51"/>
    <cellStyle name="40% - Accent1 3 2" xfId="305"/>
    <cellStyle name="40% - Accent2 2" xfId="54"/>
    <cellStyle name="40% - Accent2 3" xfId="53"/>
    <cellStyle name="40% - Accent3 2" xfId="56"/>
    <cellStyle name="40% - Accent3 3" xfId="55"/>
    <cellStyle name="40% - Accent4 2" xfId="58"/>
    <cellStyle name="40% - Accent4 3" xfId="57"/>
    <cellStyle name="40% - Accent4 3 2" xfId="306"/>
    <cellStyle name="40% - Accent5 2" xfId="60"/>
    <cellStyle name="40% - Accent5 3" xfId="59"/>
    <cellStyle name="40% - Accent6 2" xfId="62"/>
    <cellStyle name="40% - Accent6 3" xfId="61"/>
    <cellStyle name="40% - Accent6 3 2" xfId="307"/>
    <cellStyle name="60% - Accent1 2" xfId="64"/>
    <cellStyle name="60% - Accent1 2 2" xfId="308"/>
    <cellStyle name="60% - Accent1 3" xfId="63"/>
    <cellStyle name="60% - Accent1 3 2" xfId="309"/>
    <cellStyle name="60% - Accent2 2" xfId="66"/>
    <cellStyle name="60% - Accent2 3" xfId="65"/>
    <cellStyle name="60% - Accent3 2" xfId="68"/>
    <cellStyle name="60% - Accent3 3" xfId="67"/>
    <cellStyle name="60% - Accent3 3 2" xfId="310"/>
    <cellStyle name="60% - Accent4 2" xfId="70"/>
    <cellStyle name="60% - Accent4 3" xfId="69"/>
    <cellStyle name="60% - Accent4 3 2" xfId="311"/>
    <cellStyle name="60% - Accent5 2" xfId="72"/>
    <cellStyle name="60% - Accent5 2 2" xfId="312"/>
    <cellStyle name="60% - Accent5 3" xfId="71"/>
    <cellStyle name="60% - Accent6 2" xfId="74"/>
    <cellStyle name="60% - Accent6 3" xfId="73"/>
    <cellStyle name="Accent1 2" xfId="76"/>
    <cellStyle name="Accent1 2 2" xfId="313"/>
    <cellStyle name="Accent1 3" xfId="75"/>
    <cellStyle name="Accent1 3 2" xfId="314"/>
    <cellStyle name="Accent2 2" xfId="78"/>
    <cellStyle name="Accent2 3" xfId="77"/>
    <cellStyle name="Accent3 2" xfId="80"/>
    <cellStyle name="Accent3 2 2" xfId="315"/>
    <cellStyle name="Accent3 3" xfId="79"/>
    <cellStyle name="Accent4 2" xfId="82"/>
    <cellStyle name="Accent4 3" xfId="81"/>
    <cellStyle name="Accent5 2" xfId="84"/>
    <cellStyle name="Accent5 3" xfId="83"/>
    <cellStyle name="Accent6 2" xfId="86"/>
    <cellStyle name="Accent6 2 2" xfId="316"/>
    <cellStyle name="Accent6 3" xfId="85"/>
    <cellStyle name="Accounting" xfId="87"/>
    <cellStyle name="Accounting 2" xfId="88"/>
    <cellStyle name="Accounting 3" xfId="89"/>
    <cellStyle name="Accounting_2011-11" xfId="90"/>
    <cellStyle name="Bad 2" xfId="92"/>
    <cellStyle name="Bad 3" xfId="91"/>
    <cellStyle name="Budget" xfId="93"/>
    <cellStyle name="Budget 2" xfId="94"/>
    <cellStyle name="Budget 3" xfId="95"/>
    <cellStyle name="Budget_2011-11" xfId="96"/>
    <cellStyle name="Calculation 2" xfId="98"/>
    <cellStyle name="Calculation 2 2" xfId="317"/>
    <cellStyle name="Calculation 3" xfId="97"/>
    <cellStyle name="Calculation 3 2" xfId="318"/>
    <cellStyle name="Check Cell 2" xfId="100"/>
    <cellStyle name="Check Cell 3" xfId="99"/>
    <cellStyle name="combo" xfId="101"/>
    <cellStyle name="Comma" xfId="1" builtinId="3"/>
    <cellStyle name="Comma 10" xfId="103"/>
    <cellStyle name="Comma 11" xfId="104"/>
    <cellStyle name="Comma 12" xfId="102"/>
    <cellStyle name="Comma 12 2" xfId="277"/>
    <cellStyle name="Comma 12 3" xfId="282"/>
    <cellStyle name="Comma 13" xfId="283"/>
    <cellStyle name="Comma 14" xfId="284"/>
    <cellStyle name="Comma 15" xfId="285"/>
    <cellStyle name="Comma 16" xfId="286"/>
    <cellStyle name="Comma 17" xfId="319"/>
    <cellStyle name="Comma 18" xfId="320"/>
    <cellStyle name="Comma 18 2" xfId="373"/>
    <cellStyle name="Comma 19" xfId="321"/>
    <cellStyle name="Comma 2" xfId="5"/>
    <cellStyle name="Comma 2 2" xfId="6"/>
    <cellStyle name="Comma 2 2 2" xfId="322"/>
    <cellStyle name="Comma 2 3" xfId="105"/>
    <cellStyle name="Comma 2 4" xfId="323"/>
    <cellStyle name="Comma 2 6" xfId="7"/>
    <cellStyle name="Comma 2 6 2" xfId="8"/>
    <cellStyle name="Comma 20" xfId="376"/>
    <cellStyle name="Comma 3" xfId="9"/>
    <cellStyle name="Comma 3 2" xfId="106"/>
    <cellStyle name="Comma 3 2 2" xfId="107"/>
    <cellStyle name="Comma 3 3" xfId="287"/>
    <cellStyle name="Comma 3 4" xfId="324"/>
    <cellStyle name="Comma 4" xfId="108"/>
    <cellStyle name="Comma 4 2" xfId="109"/>
    <cellStyle name="Comma 4 2 2" xfId="288"/>
    <cellStyle name="Comma 4 3" xfId="110"/>
    <cellStyle name="Comma 4 3 2" xfId="289"/>
    <cellStyle name="Comma 4 4" xfId="290"/>
    <cellStyle name="Comma 4 5" xfId="111"/>
    <cellStyle name="Comma 4 6" xfId="280"/>
    <cellStyle name="Comma 5" xfId="112"/>
    <cellStyle name="Comma 6" xfId="113"/>
    <cellStyle name="Comma 6 2" xfId="325"/>
    <cellStyle name="Comma 7" xfId="114"/>
    <cellStyle name="Comma 8" xfId="115"/>
    <cellStyle name="Comma 9" xfId="116"/>
    <cellStyle name="Comma(2)" xfId="117"/>
    <cellStyle name="Comma0 - Style2" xfId="118"/>
    <cellStyle name="Comma1 - Style1" xfId="119"/>
    <cellStyle name="Comments" xfId="120"/>
    <cellStyle name="Currency" xfId="2" builtinId="4"/>
    <cellStyle name="Currency 10" xfId="326"/>
    <cellStyle name="Currency 2" xfId="10"/>
    <cellStyle name="Currency 2 2" xfId="11"/>
    <cellStyle name="Currency 2 2 2" xfId="123"/>
    <cellStyle name="Currency 2 3" xfId="122"/>
    <cellStyle name="Currency 2 3 2" xfId="327"/>
    <cellStyle name="Currency 2 6" xfId="12"/>
    <cellStyle name="Currency 2 6 2" xfId="13"/>
    <cellStyle name="Currency 2 6 2 2" xfId="375"/>
    <cellStyle name="Currency 3" xfId="14"/>
    <cellStyle name="Currency 3 2" xfId="125"/>
    <cellStyle name="Currency 3 3" xfId="124"/>
    <cellStyle name="Currency 3 4" xfId="291"/>
    <cellStyle name="Currency 4" xfId="15"/>
    <cellStyle name="Currency 4 2" xfId="16"/>
    <cellStyle name="Currency 5" xfId="121"/>
    <cellStyle name="Currency 5 2" xfId="276"/>
    <cellStyle name="Currency 5 3" xfId="292"/>
    <cellStyle name="Currency 6" xfId="293"/>
    <cellStyle name="Currency 7" xfId="294"/>
    <cellStyle name="Currency 8" xfId="328"/>
    <cellStyle name="Currency 9" xfId="329"/>
    <cellStyle name="Data Enter" xfId="126"/>
    <cellStyle name="date" xfId="330"/>
    <cellStyle name="Explanatory Text 2" xfId="128"/>
    <cellStyle name="Explanatory Text 3" xfId="127"/>
    <cellStyle name="FactSheet" xfId="129"/>
    <cellStyle name="fish" xfId="331"/>
    <cellStyle name="Good 2" xfId="131"/>
    <cellStyle name="Good 3" xfId="130"/>
    <cellStyle name="Heading 1 2" xfId="133"/>
    <cellStyle name="Heading 1 2 2" xfId="332"/>
    <cellStyle name="Heading 1 3" xfId="132"/>
    <cellStyle name="Heading 1 3 2" xfId="333"/>
    <cellStyle name="Heading 2 2" xfId="135"/>
    <cellStyle name="Heading 2 2 2" xfId="334"/>
    <cellStyle name="Heading 2 3" xfId="134"/>
    <cellStyle name="Heading 2 3 2" xfId="335"/>
    <cellStyle name="Heading 3 2" xfId="137"/>
    <cellStyle name="Heading 3 2 2" xfId="336"/>
    <cellStyle name="Heading 3 3" xfId="136"/>
    <cellStyle name="Heading 3 3 2" xfId="337"/>
    <cellStyle name="Heading 4 2" xfId="139"/>
    <cellStyle name="Heading 4 3" xfId="138"/>
    <cellStyle name="Hyperlink 2" xfId="140"/>
    <cellStyle name="Hyperlink 3" xfId="141"/>
    <cellStyle name="Hyperlink 3 2" xfId="295"/>
    <cellStyle name="Input 2" xfId="143"/>
    <cellStyle name="Input 3" xfId="142"/>
    <cellStyle name="input(0)" xfId="144"/>
    <cellStyle name="Input(2)" xfId="145"/>
    <cellStyle name="Linked Cell 2" xfId="147"/>
    <cellStyle name="Linked Cell 2 2" xfId="338"/>
    <cellStyle name="Linked Cell 3" xfId="146"/>
    <cellStyle name="Neutral 2" xfId="149"/>
    <cellStyle name="Neutral 2 2" xfId="339"/>
    <cellStyle name="Neutral 3" xfId="148"/>
    <cellStyle name="New_normal" xfId="150"/>
    <cellStyle name="Normal" xfId="0" builtinId="0"/>
    <cellStyle name="Normal - Style1" xfId="151"/>
    <cellStyle name="Normal - Style2" xfId="152"/>
    <cellStyle name="Normal - Style3" xfId="153"/>
    <cellStyle name="Normal - Style4" xfId="154"/>
    <cellStyle name="Normal - Style5" xfId="155"/>
    <cellStyle name="Normal 10" xfId="156"/>
    <cellStyle name="Normal 10 2" xfId="17"/>
    <cellStyle name="Normal 10 2 2" xfId="341"/>
    <cellStyle name="Normal 10 2 3" xfId="340"/>
    <cellStyle name="Normal 10_2112 DF Schedule" xfId="342"/>
    <cellStyle name="Normal 11" xfId="157"/>
    <cellStyle name="Normal 12" xfId="158"/>
    <cellStyle name="Normal 12 2" xfId="343"/>
    <cellStyle name="Normal 13" xfId="159"/>
    <cellStyle name="Normal 13 2" xfId="344"/>
    <cellStyle name="Normal 14" xfId="160"/>
    <cellStyle name="Normal 14 2" xfId="345"/>
    <cellStyle name="Normal 15" xfId="161"/>
    <cellStyle name="Normal 15 2" xfId="346"/>
    <cellStyle name="Normal 16" xfId="162"/>
    <cellStyle name="Normal 16 2" xfId="347"/>
    <cellStyle name="Normal 17" xfId="163"/>
    <cellStyle name="Normal 17 2" xfId="348"/>
    <cellStyle name="Normal 18" xfId="164"/>
    <cellStyle name="Normal 18 2" xfId="349"/>
    <cellStyle name="Normal 19" xfId="165"/>
    <cellStyle name="Normal 19 2" xfId="350"/>
    <cellStyle name="Normal 2" xfId="18"/>
    <cellStyle name="Normal 2 2" xfId="19"/>
    <cellStyle name="Normal 2 2 2" xfId="167"/>
    <cellStyle name="Normal 2 2 3" xfId="166"/>
    <cellStyle name="Normal 2 2_Actual_Fuel" xfId="168"/>
    <cellStyle name="Normal 2 3" xfId="169"/>
    <cellStyle name="Normal 2 3 2" xfId="170"/>
    <cellStyle name="Normal 2 3 3" xfId="296"/>
    <cellStyle name="Normal 2 4" xfId="297"/>
    <cellStyle name="Normal 2 5" xfId="298"/>
    <cellStyle name="Normal 2_2012-10" xfId="171"/>
    <cellStyle name="Normal 20" xfId="172"/>
    <cellStyle name="Normal 21" xfId="173"/>
    <cellStyle name="Normal 22" xfId="174"/>
    <cellStyle name="Normal 23" xfId="175"/>
    <cellStyle name="Normal 24" xfId="176"/>
    <cellStyle name="Normal 25" xfId="177"/>
    <cellStyle name="Normal 26" xfId="178"/>
    <cellStyle name="Normal 27" xfId="179"/>
    <cellStyle name="Normal 28" xfId="180"/>
    <cellStyle name="Normal 29" xfId="181"/>
    <cellStyle name="Normal 3" xfId="20"/>
    <cellStyle name="Normal 3 2" xfId="183"/>
    <cellStyle name="Normal 3 3" xfId="182"/>
    <cellStyle name="Normal 3 4" xfId="281"/>
    <cellStyle name="Normal 3_2012 PR" xfId="184"/>
    <cellStyle name="Normal 30" xfId="185"/>
    <cellStyle name="Normal 31" xfId="186"/>
    <cellStyle name="Normal 32" xfId="187"/>
    <cellStyle name="Normal 33" xfId="188"/>
    <cellStyle name="Normal 34" xfId="189"/>
    <cellStyle name="Normal 35" xfId="190"/>
    <cellStyle name="Normal 36" xfId="191"/>
    <cellStyle name="Normal 37" xfId="192"/>
    <cellStyle name="Normal 38" xfId="193"/>
    <cellStyle name="Normal 39" xfId="194"/>
    <cellStyle name="Normal 4" xfId="21"/>
    <cellStyle name="Normal 4 2" xfId="195"/>
    <cellStyle name="Normal 40" xfId="196"/>
    <cellStyle name="Normal 41" xfId="197"/>
    <cellStyle name="Normal 42" xfId="198"/>
    <cellStyle name="Normal 43" xfId="199"/>
    <cellStyle name="Normal 44" xfId="200"/>
    <cellStyle name="Normal 45" xfId="201"/>
    <cellStyle name="Normal 46" xfId="202"/>
    <cellStyle name="Normal 47" xfId="203"/>
    <cellStyle name="Normal 48" xfId="204"/>
    <cellStyle name="Normal 49" xfId="205"/>
    <cellStyle name="Normal 5" xfId="22"/>
    <cellStyle name="Normal 5 2" xfId="206"/>
    <cellStyle name="Normal 5_2112 DF Schedule" xfId="351"/>
    <cellStyle name="Normal 50" xfId="207"/>
    <cellStyle name="Normal 51" xfId="208"/>
    <cellStyle name="Normal 52" xfId="209"/>
    <cellStyle name="Normal 53" xfId="210"/>
    <cellStyle name="Normal 54" xfId="211"/>
    <cellStyle name="Normal 55" xfId="212"/>
    <cellStyle name="Normal 56" xfId="213"/>
    <cellStyle name="Normal 57" xfId="214"/>
    <cellStyle name="Normal 58" xfId="215"/>
    <cellStyle name="Normal 59" xfId="216"/>
    <cellStyle name="Normal 6" xfId="23"/>
    <cellStyle name="Normal 6 2" xfId="217"/>
    <cellStyle name="Normal 60" xfId="218"/>
    <cellStyle name="Normal 61" xfId="219"/>
    <cellStyle name="Normal 62" xfId="220"/>
    <cellStyle name="Normal 63" xfId="221"/>
    <cellStyle name="Normal 64" xfId="222"/>
    <cellStyle name="Normal 65" xfId="223"/>
    <cellStyle name="Normal 66" xfId="224"/>
    <cellStyle name="Normal 67" xfId="225"/>
    <cellStyle name="Normal 68" xfId="226"/>
    <cellStyle name="Normal 69" xfId="227"/>
    <cellStyle name="Normal 7" xfId="228"/>
    <cellStyle name="Normal 70" xfId="229"/>
    <cellStyle name="Normal 71" xfId="230"/>
    <cellStyle name="Normal 72" xfId="231"/>
    <cellStyle name="Normal 73" xfId="232"/>
    <cellStyle name="Normal 74" xfId="233"/>
    <cellStyle name="Normal 75" xfId="234"/>
    <cellStyle name="Normal 76" xfId="235"/>
    <cellStyle name="Normal 77" xfId="236"/>
    <cellStyle name="Normal 78" xfId="237"/>
    <cellStyle name="Normal 79" xfId="238"/>
    <cellStyle name="Normal 8" xfId="239"/>
    <cellStyle name="Normal 80" xfId="240"/>
    <cellStyle name="Normal 81" xfId="241"/>
    <cellStyle name="Normal 82" xfId="242"/>
    <cellStyle name="Normal 83" xfId="243"/>
    <cellStyle name="Normal 84" xfId="38"/>
    <cellStyle name="Normal 84 2" xfId="278"/>
    <cellStyle name="Normal 84 3" xfId="352"/>
    <cellStyle name="Normal 85" xfId="252"/>
    <cellStyle name="Normal 85 2" xfId="374"/>
    <cellStyle name="Normal 86" xfId="270"/>
    <cellStyle name="Normal 87" xfId="271"/>
    <cellStyle name="Normal 88" xfId="272"/>
    <cellStyle name="Normal 89" xfId="273"/>
    <cellStyle name="Normal 9" xfId="244"/>
    <cellStyle name="Normal 90" xfId="274"/>
    <cellStyle name="Normal 91" xfId="279"/>
    <cellStyle name="Normal_American 2012 Jan-Dec 2012" xfId="300"/>
    <cellStyle name="Normal_Book3" xfId="353"/>
    <cellStyle name="Normal_Murrey's Jan-Dec 2012" xfId="299"/>
    <cellStyle name="Normal_Price out" xfId="4"/>
    <cellStyle name="Normal_Sheet1" xfId="372"/>
    <cellStyle name="Note 2" xfId="246"/>
    <cellStyle name="Note 2 2" xfId="354"/>
    <cellStyle name="Note 3" xfId="245"/>
    <cellStyle name="Note 3 2" xfId="355"/>
    <cellStyle name="Notes" xfId="247"/>
    <cellStyle name="Output 2" xfId="249"/>
    <cellStyle name="Output 3" xfId="248"/>
    <cellStyle name="Percent" xfId="3" builtinId="5"/>
    <cellStyle name="Percent 2" xfId="24"/>
    <cellStyle name="Percent 2 2" xfId="25"/>
    <cellStyle name="Percent 2 2 2" xfId="251"/>
    <cellStyle name="Percent 2 3" xfId="356"/>
    <cellStyle name="Percent 2 6" xfId="26"/>
    <cellStyle name="Percent 3" xfId="27"/>
    <cellStyle name="Percent 3 2" xfId="28"/>
    <cellStyle name="Percent 4" xfId="29"/>
    <cellStyle name="Percent 4 2" xfId="358"/>
    <cellStyle name="Percent 4 3" xfId="357"/>
    <cellStyle name="Percent 5" xfId="253"/>
    <cellStyle name="Percent 6" xfId="254"/>
    <cellStyle name="Percent 7" xfId="250"/>
    <cellStyle name="Percent 7 2" xfId="275"/>
    <cellStyle name="Percent 7 3" xfId="359"/>
    <cellStyle name="Percent 8" xfId="360"/>
    <cellStyle name="Percent(1)" xfId="255"/>
    <cellStyle name="Percent(2)" xfId="256"/>
    <cellStyle name="PRM" xfId="257"/>
    <cellStyle name="PRM 2" xfId="258"/>
    <cellStyle name="PRM 3" xfId="259"/>
    <cellStyle name="PRM_2011-11" xfId="260"/>
    <cellStyle name="PS_Comma" xfId="30"/>
    <cellStyle name="PSChar" xfId="31"/>
    <cellStyle name="PSDate" xfId="32"/>
    <cellStyle name="PSDec" xfId="33"/>
    <cellStyle name="PSHeading" xfId="34"/>
    <cellStyle name="PSInt" xfId="35"/>
    <cellStyle name="PSSpacer" xfId="36"/>
    <cellStyle name="STYL0 - Style1" xfId="361"/>
    <cellStyle name="STYL1 - Style2" xfId="362"/>
    <cellStyle name="STYL2 - Style3" xfId="363"/>
    <cellStyle name="STYL3 - Style4" xfId="364"/>
    <cellStyle name="STYL4 - Style5" xfId="365"/>
    <cellStyle name="STYL5 - Style6" xfId="366"/>
    <cellStyle name="STYL6 - Style7" xfId="367"/>
    <cellStyle name="STYL7 - Style8" xfId="368"/>
    <cellStyle name="Style 1" xfId="261"/>
    <cellStyle name="Style 1 2" xfId="262"/>
    <cellStyle name="STYLE1" xfId="263"/>
    <cellStyle name="sub heading" xfId="369"/>
    <cellStyle name="Title 2" xfId="265"/>
    <cellStyle name="Title 3" xfId="264"/>
    <cellStyle name="Total 2" xfId="267"/>
    <cellStyle name="Total 2 2" xfId="370"/>
    <cellStyle name="Total 3" xfId="266"/>
    <cellStyle name="Total 3 2" xfId="371"/>
    <cellStyle name="Warning Text 2" xfId="269"/>
    <cellStyle name="Warning Text 3" xfId="268"/>
    <cellStyle name="WM_STANDARD" xfId="37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ustomXml" Target="../customXml/item4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Master%20Truck%20Schedule\South_LeMay%20Master%20Truck%20Schedule-Shar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RC%20Reports\SRC%20Format\Bonus%20Schedule\PNWR%20SRC%20Bonus%20Schedule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2183-1%20Pacific%20Disp,%20Butlers%20Cove\Filing%20Possibly%202012\Filing\Audit\Final%20Outcome%208-14-2012\Pro%20Forma%20Pacific%20Disposal_Staf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son\Rate%20Increase%201-1-2013\1%20Filing%2011-14-2012\Revised%202-21-2013\staff%20Mason%20Proforma%209-30-2012-Linked%20Cust%20Count%20Fix%2012-2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Vashon\Rate%20Incr%201-1-2012\Vashon%20Pro%20Form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nnual%20Reports\2180%20LeMay\2009\LeMay%20Annual%20Report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topLeftCell="A40" zoomScale="85" zoomScaleNormal="85" workbookViewId="0">
      <selection activeCell="J35" sqref="J35"/>
    </sheetView>
  </sheetViews>
  <sheetFormatPr defaultRowHeight="15"/>
  <cols>
    <col min="1" max="1" width="31.28515625" style="3" customWidth="1"/>
    <col min="2" max="2" width="7" style="23" customWidth="1"/>
    <col min="3" max="3" width="19" style="3" bestFit="1" customWidth="1"/>
    <col min="4" max="4" width="16" style="3" bestFit="1" customWidth="1"/>
    <col min="5" max="5" width="10.5703125" style="3" bestFit="1" customWidth="1"/>
    <col min="6" max="6" width="7" style="3" bestFit="1" customWidth="1"/>
    <col min="7" max="7" width="11.42578125" style="3" bestFit="1" customWidth="1"/>
    <col min="8" max="8" width="10" style="3" bestFit="1" customWidth="1"/>
    <col min="9" max="9" width="8" style="3" bestFit="1" customWidth="1"/>
    <col min="10" max="10" width="15.85546875" style="3" bestFit="1" customWidth="1"/>
    <col min="11" max="11" width="14.5703125" style="3" customWidth="1"/>
    <col min="12" max="16384" width="9.140625" style="3"/>
  </cols>
  <sheetData>
    <row r="1" spans="1:9" s="23" customFormat="1">
      <c r="A1" s="25" t="s">
        <v>95</v>
      </c>
    </row>
    <row r="2" spans="1:9" s="23" customFormat="1">
      <c r="A2" s="25" t="s">
        <v>96</v>
      </c>
    </row>
    <row r="3" spans="1:9" s="23" customFormat="1">
      <c r="A3" s="25" t="s">
        <v>459</v>
      </c>
    </row>
    <row r="4" spans="1:9" s="23" customFormat="1"/>
    <row r="5" spans="1:9">
      <c r="A5" s="260" t="s">
        <v>18</v>
      </c>
      <c r="B5" s="260"/>
      <c r="C5" s="260"/>
      <c r="D5" s="260"/>
      <c r="E5" s="260"/>
      <c r="F5" s="260"/>
      <c r="G5" s="260"/>
      <c r="H5" s="260"/>
      <c r="I5" s="260"/>
    </row>
    <row r="6" spans="1:9">
      <c r="A6" s="3" t="s">
        <v>54</v>
      </c>
      <c r="C6" s="10" t="s">
        <v>41</v>
      </c>
      <c r="D6" s="10" t="s">
        <v>42</v>
      </c>
      <c r="E6" s="10" t="s">
        <v>43</v>
      </c>
      <c r="F6" s="11" t="s">
        <v>45</v>
      </c>
      <c r="G6" s="11" t="s">
        <v>46</v>
      </c>
      <c r="H6" s="11" t="s">
        <v>47</v>
      </c>
      <c r="I6" s="10" t="s">
        <v>50</v>
      </c>
    </row>
    <row r="7" spans="1:9">
      <c r="A7" s="3" t="s">
        <v>51</v>
      </c>
      <c r="C7" s="1">
        <f>52*5/12</f>
        <v>21.666666666666668</v>
      </c>
      <c r="D7" s="12">
        <f>$C$7*2</f>
        <v>43.333333333333336</v>
      </c>
      <c r="E7" s="12">
        <f>$C$7*3</f>
        <v>65</v>
      </c>
      <c r="F7" s="12">
        <f>$C$7*4</f>
        <v>86.666666666666671</v>
      </c>
      <c r="G7" s="12">
        <f>$C$7*5</f>
        <v>108.33333333333334</v>
      </c>
      <c r="H7" s="12">
        <f>$C$7*6</f>
        <v>130</v>
      </c>
      <c r="I7" s="12">
        <f>$C$7*7</f>
        <v>151.66666666666669</v>
      </c>
    </row>
    <row r="8" spans="1:9">
      <c r="A8" s="3" t="s">
        <v>87</v>
      </c>
      <c r="C8" s="1">
        <f>52*4/12</f>
        <v>17.333333333333332</v>
      </c>
      <c r="D8" s="12">
        <f>$C$8*2</f>
        <v>34.666666666666664</v>
      </c>
      <c r="E8" s="12">
        <f>$C$8*3</f>
        <v>52</v>
      </c>
      <c r="F8" s="12">
        <f>$C$8*4</f>
        <v>69.333333333333329</v>
      </c>
      <c r="G8" s="12">
        <f>$C$8*5</f>
        <v>86.666666666666657</v>
      </c>
      <c r="H8" s="12">
        <f>$C$8*6</f>
        <v>104</v>
      </c>
      <c r="I8" s="12">
        <f>$C$8*7</f>
        <v>121.33333333333333</v>
      </c>
    </row>
    <row r="9" spans="1:9">
      <c r="A9" s="3" t="s">
        <v>52</v>
      </c>
      <c r="C9" s="1">
        <f>52*3/12</f>
        <v>13</v>
      </c>
      <c r="D9" s="12">
        <f>$C$9*2</f>
        <v>26</v>
      </c>
      <c r="E9" s="12">
        <f>$C$9*3</f>
        <v>39</v>
      </c>
      <c r="F9" s="12">
        <f>$C$9*4</f>
        <v>52</v>
      </c>
      <c r="G9" s="12">
        <f>$C$9*5</f>
        <v>65</v>
      </c>
      <c r="H9" s="12">
        <f>$C$9*6</f>
        <v>78</v>
      </c>
      <c r="I9" s="12">
        <f>$C$9*7</f>
        <v>91</v>
      </c>
    </row>
    <row r="10" spans="1:9">
      <c r="A10" s="3" t="s">
        <v>53</v>
      </c>
      <c r="C10" s="1">
        <f>52*2/12</f>
        <v>8.6666666666666661</v>
      </c>
      <c r="D10" s="13">
        <f>$C$10*2</f>
        <v>17.333333333333332</v>
      </c>
      <c r="E10" s="13">
        <f>$C$10*3</f>
        <v>26</v>
      </c>
      <c r="F10" s="13">
        <f>$C$10*4</f>
        <v>34.666666666666664</v>
      </c>
      <c r="G10" s="13">
        <f>$C$10*5</f>
        <v>43.333333333333329</v>
      </c>
      <c r="H10" s="13">
        <f>$C$10*6</f>
        <v>52</v>
      </c>
      <c r="I10" s="13">
        <f>$C$10*7</f>
        <v>60.666666666666664</v>
      </c>
    </row>
    <row r="11" spans="1:9">
      <c r="A11" s="3" t="s">
        <v>21</v>
      </c>
      <c r="C11" s="1">
        <f>52/12</f>
        <v>4.333333333333333</v>
      </c>
      <c r="D11" s="13">
        <f>$C$11*2</f>
        <v>8.6666666666666661</v>
      </c>
      <c r="E11" s="13">
        <f>$C$11*3</f>
        <v>13</v>
      </c>
      <c r="F11" s="13">
        <f>$C$11*4</f>
        <v>17.333333333333332</v>
      </c>
      <c r="G11" s="13">
        <f>$C$11*5</f>
        <v>21.666666666666664</v>
      </c>
      <c r="H11" s="13">
        <f>$C$11*6</f>
        <v>26</v>
      </c>
      <c r="I11" s="13">
        <f>$C$11*7</f>
        <v>30.333333333333332</v>
      </c>
    </row>
    <row r="12" spans="1:9">
      <c r="A12" s="3" t="s">
        <v>23</v>
      </c>
      <c r="C12" s="1">
        <f>26/12</f>
        <v>2.1666666666666665</v>
      </c>
      <c r="D12" s="13">
        <f>$C$12*2</f>
        <v>4.333333333333333</v>
      </c>
      <c r="E12" s="13">
        <f>$C$12*3</f>
        <v>6.5</v>
      </c>
      <c r="F12" s="13">
        <f>$C$12*4</f>
        <v>8.6666666666666661</v>
      </c>
      <c r="G12" s="13">
        <f>$C$12*5</f>
        <v>10.833333333333332</v>
      </c>
      <c r="H12" s="13">
        <f>$C$12*6</f>
        <v>13</v>
      </c>
      <c r="I12" s="13">
        <f>$C$12*7</f>
        <v>15.166666666666666</v>
      </c>
    </row>
    <row r="13" spans="1:9">
      <c r="A13" s="3" t="s">
        <v>22</v>
      </c>
      <c r="C13" s="1">
        <f>12/12</f>
        <v>1</v>
      </c>
      <c r="D13" s="13">
        <f>$C$13*2</f>
        <v>2</v>
      </c>
      <c r="E13" s="13">
        <f>$C$13*3</f>
        <v>3</v>
      </c>
      <c r="F13" s="13">
        <f>$C$13*4</f>
        <v>4</v>
      </c>
      <c r="G13" s="13">
        <f>$C$13*5</f>
        <v>5</v>
      </c>
      <c r="H13" s="13">
        <f>$C$13*6</f>
        <v>6</v>
      </c>
      <c r="I13" s="13">
        <f>$C$13*7</f>
        <v>7</v>
      </c>
    </row>
    <row r="14" spans="1:9">
      <c r="A14" s="23" t="s">
        <v>114</v>
      </c>
      <c r="C14" s="1">
        <v>1</v>
      </c>
      <c r="D14" s="13"/>
      <c r="E14" s="13"/>
      <c r="F14" s="13"/>
      <c r="G14" s="13"/>
      <c r="H14" s="13"/>
      <c r="I14" s="13"/>
    </row>
    <row r="15" spans="1:9">
      <c r="A15" s="260" t="s">
        <v>11</v>
      </c>
      <c r="B15" s="260"/>
      <c r="C15" s="260"/>
      <c r="D15" s="27"/>
      <c r="E15" s="13"/>
      <c r="F15" s="13"/>
      <c r="G15" s="13"/>
      <c r="H15" s="13"/>
      <c r="I15" s="13"/>
    </row>
    <row r="16" spans="1:9">
      <c r="A16" s="25" t="s">
        <v>49</v>
      </c>
      <c r="B16" s="25"/>
      <c r="C16" s="29" t="s">
        <v>78</v>
      </c>
      <c r="D16" s="27"/>
      <c r="E16" s="13"/>
      <c r="F16" s="13"/>
      <c r="G16" s="13"/>
      <c r="H16" s="13"/>
      <c r="I16" s="13"/>
    </row>
    <row r="17" spans="1:9">
      <c r="A17" s="28" t="s">
        <v>79</v>
      </c>
      <c r="B17" s="47"/>
      <c r="C17" s="26">
        <v>20</v>
      </c>
      <c r="D17" s="27"/>
      <c r="E17" s="13"/>
      <c r="F17" s="13"/>
      <c r="G17" s="13"/>
      <c r="H17" s="13"/>
      <c r="I17" s="13"/>
    </row>
    <row r="18" spans="1:9">
      <c r="A18" s="28" t="s">
        <v>55</v>
      </c>
      <c r="B18" s="47"/>
      <c r="C18" s="26">
        <v>34</v>
      </c>
      <c r="D18" s="27"/>
      <c r="E18" s="13"/>
      <c r="F18" s="13"/>
      <c r="G18" s="13"/>
      <c r="H18" s="13"/>
      <c r="I18" s="13"/>
    </row>
    <row r="19" spans="1:9">
      <c r="A19" s="28" t="s">
        <v>56</v>
      </c>
      <c r="B19" s="47"/>
      <c r="C19" s="26">
        <v>51</v>
      </c>
      <c r="D19" s="27"/>
      <c r="E19" s="13"/>
      <c r="F19" s="13"/>
      <c r="G19" s="13"/>
      <c r="H19" s="13"/>
      <c r="I19" s="13"/>
    </row>
    <row r="20" spans="1:9">
      <c r="A20" s="28" t="s">
        <v>57</v>
      </c>
      <c r="B20" s="47"/>
      <c r="C20" s="26">
        <v>77</v>
      </c>
      <c r="D20" s="27"/>
      <c r="E20" s="13"/>
      <c r="F20" s="13"/>
      <c r="G20" s="3" t="s">
        <v>19</v>
      </c>
      <c r="H20" s="7">
        <v>2000</v>
      </c>
      <c r="I20" s="13"/>
    </row>
    <row r="21" spans="1:9">
      <c r="A21" s="28" t="s">
        <v>58</v>
      </c>
      <c r="B21" s="47"/>
      <c r="C21" s="26">
        <v>97</v>
      </c>
      <c r="D21" s="27"/>
      <c r="E21" s="13"/>
      <c r="F21" s="13"/>
      <c r="G21" s="3" t="s">
        <v>20</v>
      </c>
      <c r="H21" s="15" t="s">
        <v>44</v>
      </c>
      <c r="I21" s="13"/>
    </row>
    <row r="22" spans="1:9">
      <c r="A22" s="28" t="s">
        <v>59</v>
      </c>
      <c r="B22" s="47"/>
      <c r="C22" s="26">
        <v>117</v>
      </c>
      <c r="D22" s="27"/>
      <c r="E22" s="13"/>
      <c r="F22" s="13"/>
      <c r="I22" s="13"/>
    </row>
    <row r="23" spans="1:9">
      <c r="A23" s="28" t="s">
        <v>60</v>
      </c>
      <c r="B23" s="47"/>
      <c r="C23" s="26">
        <v>137</v>
      </c>
      <c r="D23" s="27"/>
      <c r="E23" s="13"/>
      <c r="F23" s="13"/>
      <c r="G23" s="149" t="s">
        <v>81</v>
      </c>
      <c r="H23" s="164">
        <v>12</v>
      </c>
      <c r="I23" s="13"/>
    </row>
    <row r="24" spans="1:9" s="23" customFormat="1">
      <c r="A24" s="47" t="s">
        <v>412</v>
      </c>
      <c r="B24" s="47"/>
      <c r="C24" s="37">
        <v>40</v>
      </c>
      <c r="D24" s="46" t="s">
        <v>80</v>
      </c>
      <c r="E24" s="27"/>
      <c r="F24" s="27"/>
      <c r="G24" s="8"/>
      <c r="H24" s="9"/>
      <c r="I24" s="27"/>
    </row>
    <row r="25" spans="1:9">
      <c r="A25" s="28" t="s">
        <v>61</v>
      </c>
      <c r="B25" s="47"/>
      <c r="C25" s="26">
        <v>47</v>
      </c>
      <c r="D25" s="27"/>
      <c r="E25" s="13"/>
      <c r="F25" s="13"/>
      <c r="G25" s="13"/>
      <c r="H25" s="13"/>
      <c r="I25" s="13"/>
    </row>
    <row r="26" spans="1:9">
      <c r="A26" s="28" t="s">
        <v>62</v>
      </c>
      <c r="B26" s="47"/>
      <c r="C26" s="26">
        <v>68</v>
      </c>
      <c r="D26" s="27"/>
      <c r="E26" s="13"/>
      <c r="F26" s="13"/>
      <c r="G26" s="13"/>
      <c r="H26" s="13"/>
      <c r="I26" s="13"/>
    </row>
    <row r="27" spans="1:9">
      <c r="A27" s="28" t="s">
        <v>63</v>
      </c>
      <c r="B27" s="47"/>
      <c r="C27" s="26">
        <v>34</v>
      </c>
      <c r="D27" s="27"/>
      <c r="E27" s="13"/>
      <c r="F27" s="13"/>
      <c r="G27" s="13"/>
      <c r="H27" s="13"/>
      <c r="I27" s="13"/>
    </row>
    <row r="28" spans="1:9">
      <c r="A28" s="28" t="s">
        <v>31</v>
      </c>
      <c r="B28" s="47"/>
      <c r="C28" s="26">
        <v>34</v>
      </c>
      <c r="D28" s="27"/>
      <c r="E28" s="13"/>
      <c r="F28" s="13"/>
      <c r="G28" s="13"/>
      <c r="H28" s="13"/>
      <c r="I28" s="13"/>
    </row>
    <row r="29" spans="1:9">
      <c r="A29" s="25" t="s">
        <v>64</v>
      </c>
      <c r="B29" s="25"/>
      <c r="C29" s="26"/>
      <c r="D29" s="27"/>
      <c r="E29" s="13"/>
      <c r="F29" s="13"/>
      <c r="G29" s="13"/>
      <c r="H29" s="13"/>
      <c r="I29" s="13"/>
    </row>
    <row r="30" spans="1:9">
      <c r="A30" s="28" t="s">
        <v>65</v>
      </c>
      <c r="B30" s="47"/>
      <c r="C30" s="26">
        <v>29</v>
      </c>
      <c r="D30" s="27"/>
      <c r="E30" s="13"/>
      <c r="F30" s="13"/>
      <c r="G30" s="13"/>
      <c r="H30" s="13"/>
      <c r="I30" s="13"/>
    </row>
    <row r="31" spans="1:9" s="23" customFormat="1">
      <c r="A31" s="47" t="s">
        <v>77</v>
      </c>
      <c r="B31" s="47"/>
      <c r="C31" s="37">
        <v>125</v>
      </c>
      <c r="D31" s="46"/>
      <c r="E31" s="46"/>
      <c r="F31" s="46"/>
      <c r="G31" s="46"/>
      <c r="H31" s="46"/>
      <c r="I31" s="46"/>
    </row>
    <row r="32" spans="1:9">
      <c r="A32" s="28" t="s">
        <v>66</v>
      </c>
      <c r="B32" s="47"/>
      <c r="C32" s="26">
        <v>175</v>
      </c>
      <c r="D32" s="27"/>
      <c r="E32" s="13"/>
      <c r="F32" s="13"/>
      <c r="G32" s="13"/>
      <c r="H32" s="13"/>
      <c r="I32" s="13"/>
    </row>
    <row r="33" spans="1:9">
      <c r="A33" s="28" t="s">
        <v>67</v>
      </c>
      <c r="B33" s="47"/>
      <c r="C33" s="26">
        <v>250</v>
      </c>
      <c r="D33" s="27"/>
      <c r="E33" s="13"/>
      <c r="F33" s="13"/>
      <c r="G33" s="13"/>
      <c r="H33" s="13"/>
      <c r="I33" s="13"/>
    </row>
    <row r="34" spans="1:9">
      <c r="A34" s="28" t="s">
        <v>68</v>
      </c>
      <c r="B34" s="47"/>
      <c r="C34" s="26">
        <v>324</v>
      </c>
      <c r="D34" s="27"/>
      <c r="E34" s="13"/>
      <c r="F34" s="13"/>
      <c r="G34" s="13"/>
      <c r="H34" s="13"/>
      <c r="I34" s="13"/>
    </row>
    <row r="35" spans="1:9">
      <c r="A35" s="28" t="s">
        <v>69</v>
      </c>
      <c r="B35" s="47"/>
      <c r="C35" s="26">
        <v>473</v>
      </c>
      <c r="D35" s="27"/>
      <c r="E35" s="13"/>
      <c r="F35" s="13"/>
      <c r="G35" s="13"/>
      <c r="H35" s="13"/>
      <c r="I35" s="13"/>
    </row>
    <row r="36" spans="1:9">
      <c r="A36" s="28" t="s">
        <v>70</v>
      </c>
      <c r="B36" s="47"/>
      <c r="C36" s="26">
        <v>613</v>
      </c>
      <c r="D36" s="27"/>
      <c r="E36" s="13"/>
      <c r="F36" s="13"/>
      <c r="G36" s="13"/>
      <c r="H36" s="13"/>
      <c r="I36" s="13"/>
    </row>
    <row r="37" spans="1:9">
      <c r="A37" s="28" t="s">
        <v>71</v>
      </c>
      <c r="B37" s="47"/>
      <c r="C37" s="26">
        <v>840</v>
      </c>
      <c r="D37" s="27"/>
      <c r="E37" s="13"/>
      <c r="F37" s="13"/>
      <c r="G37" s="13"/>
      <c r="H37" s="13"/>
      <c r="I37" s="13"/>
    </row>
    <row r="38" spans="1:9">
      <c r="A38" s="28" t="s">
        <v>72</v>
      </c>
      <c r="B38" s="47"/>
      <c r="C38" s="26">
        <v>980</v>
      </c>
      <c r="D38" s="160"/>
      <c r="E38" s="13"/>
      <c r="F38" s="13"/>
      <c r="G38" s="13"/>
      <c r="H38" s="13"/>
      <c r="I38" s="13"/>
    </row>
    <row r="39" spans="1:9" s="23" customFormat="1">
      <c r="A39" s="161" t="s">
        <v>250</v>
      </c>
      <c r="B39" s="161">
        <v>2.25</v>
      </c>
      <c r="C39" s="37"/>
      <c r="D39" s="160"/>
      <c r="E39" s="46"/>
      <c r="F39" s="46"/>
      <c r="G39" s="46"/>
      <c r="H39" s="46"/>
      <c r="I39" s="46"/>
    </row>
    <row r="40" spans="1:9" s="23" customFormat="1">
      <c r="A40" s="28" t="s">
        <v>74</v>
      </c>
      <c r="B40" s="47"/>
      <c r="C40" s="26">
        <f>C34*$B$39</f>
        <v>729</v>
      </c>
      <c r="D40" s="27" t="s">
        <v>80</v>
      </c>
      <c r="E40" s="24"/>
      <c r="F40" s="24"/>
      <c r="G40" s="24"/>
      <c r="H40" s="24"/>
      <c r="I40" s="24"/>
    </row>
    <row r="41" spans="1:9" s="23" customFormat="1">
      <c r="A41" s="28" t="s">
        <v>75</v>
      </c>
      <c r="B41" s="47"/>
      <c r="C41" s="37">
        <f>C36*$B$39</f>
        <v>1379.25</v>
      </c>
      <c r="D41" s="46" t="s">
        <v>80</v>
      </c>
      <c r="E41" s="24"/>
      <c r="F41" s="24"/>
      <c r="G41" s="24"/>
      <c r="H41" s="24"/>
      <c r="I41" s="24"/>
    </row>
    <row r="42" spans="1:9" s="23" customFormat="1">
      <c r="A42" s="28" t="s">
        <v>76</v>
      </c>
      <c r="B42" s="47"/>
      <c r="C42" s="37">
        <f>C37*$B$39</f>
        <v>1890</v>
      </c>
      <c r="D42" s="46" t="s">
        <v>80</v>
      </c>
      <c r="E42" s="24"/>
      <c r="F42" s="24"/>
      <c r="G42" s="24"/>
      <c r="H42" s="24"/>
      <c r="I42" s="24"/>
    </row>
    <row r="43" spans="1:9" s="23" customFormat="1">
      <c r="A43" s="161" t="s">
        <v>249</v>
      </c>
      <c r="B43" s="161">
        <v>3</v>
      </c>
      <c r="C43" s="37"/>
      <c r="D43" s="46"/>
      <c r="E43" s="46"/>
      <c r="F43" s="46"/>
      <c r="G43" s="46"/>
      <c r="H43" s="46"/>
      <c r="I43" s="46"/>
    </row>
    <row r="44" spans="1:9" s="23" customFormat="1">
      <c r="A44" s="47" t="s">
        <v>74</v>
      </c>
      <c r="B44" s="47"/>
      <c r="C44" s="163">
        <f>C34*$B$43</f>
        <v>972</v>
      </c>
      <c r="D44" s="46" t="s">
        <v>80</v>
      </c>
      <c r="E44" s="46"/>
      <c r="F44" s="46"/>
      <c r="G44" s="46"/>
      <c r="H44" s="46"/>
      <c r="I44" s="46"/>
    </row>
    <row r="45" spans="1:9" s="23" customFormat="1">
      <c r="A45" s="47" t="s">
        <v>73</v>
      </c>
      <c r="B45" s="47"/>
      <c r="C45" s="163">
        <f t="shared" ref="C45:C47" si="0">C35*$B$43</f>
        <v>1419</v>
      </c>
      <c r="D45" s="46" t="s">
        <v>80</v>
      </c>
      <c r="E45" s="46"/>
      <c r="F45" s="46"/>
      <c r="G45" s="46"/>
      <c r="H45" s="46"/>
      <c r="I45" s="46"/>
    </row>
    <row r="46" spans="1:9" s="23" customFormat="1">
      <c r="A46" s="47" t="s">
        <v>75</v>
      </c>
      <c r="B46" s="47"/>
      <c r="C46" s="163">
        <f t="shared" si="0"/>
        <v>1839</v>
      </c>
      <c r="D46" s="46" t="s">
        <v>80</v>
      </c>
      <c r="E46" s="46"/>
      <c r="F46" s="46"/>
      <c r="G46" s="46"/>
      <c r="H46" s="46"/>
      <c r="I46" s="46"/>
    </row>
    <row r="47" spans="1:9" s="23" customFormat="1">
      <c r="A47" s="47" t="s">
        <v>76</v>
      </c>
      <c r="B47" s="47"/>
      <c r="C47" s="163">
        <f t="shared" si="0"/>
        <v>2520</v>
      </c>
      <c r="D47" s="46" t="s">
        <v>80</v>
      </c>
      <c r="E47" s="46"/>
      <c r="F47" s="46"/>
      <c r="G47" s="46"/>
      <c r="H47" s="46"/>
      <c r="I47" s="46"/>
    </row>
    <row r="48" spans="1:9" s="23" customFormat="1">
      <c r="A48" s="161" t="s">
        <v>251</v>
      </c>
      <c r="B48" s="161">
        <v>4</v>
      </c>
      <c r="C48" s="37"/>
      <c r="D48" s="46"/>
      <c r="E48" s="46"/>
      <c r="F48" s="46"/>
      <c r="G48" s="46"/>
      <c r="H48" s="46"/>
      <c r="I48" s="46"/>
    </row>
    <row r="49" spans="1:10" s="23" customFormat="1">
      <c r="A49" s="47" t="s">
        <v>73</v>
      </c>
      <c r="B49" s="47"/>
      <c r="C49" s="163">
        <f t="shared" ref="C49:C51" si="1">C35*$B$48</f>
        <v>1892</v>
      </c>
      <c r="D49" s="46" t="s">
        <v>80</v>
      </c>
      <c r="E49" s="46"/>
      <c r="F49" s="46"/>
      <c r="G49" s="46"/>
      <c r="H49" s="46"/>
      <c r="I49" s="46"/>
    </row>
    <row r="50" spans="1:10" s="23" customFormat="1">
      <c r="A50" s="47" t="s">
        <v>75</v>
      </c>
      <c r="B50" s="47"/>
      <c r="C50" s="163">
        <f t="shared" si="1"/>
        <v>2452</v>
      </c>
      <c r="D50" s="46" t="s">
        <v>80</v>
      </c>
      <c r="E50" s="46"/>
      <c r="F50" s="46"/>
      <c r="G50" s="46"/>
      <c r="H50" s="46"/>
      <c r="I50" s="46"/>
    </row>
    <row r="51" spans="1:10" s="23" customFormat="1">
      <c r="A51" s="47" t="s">
        <v>76</v>
      </c>
      <c r="B51" s="47"/>
      <c r="C51" s="163">
        <f t="shared" si="1"/>
        <v>3360</v>
      </c>
      <c r="D51" s="46" t="s">
        <v>80</v>
      </c>
      <c r="E51" s="46"/>
      <c r="F51" s="46"/>
      <c r="G51" s="46"/>
      <c r="H51" s="46"/>
      <c r="I51" s="46"/>
    </row>
    <row r="52" spans="1:10" s="23" customFormat="1">
      <c r="A52" s="161" t="s">
        <v>252</v>
      </c>
      <c r="B52" s="161">
        <v>5</v>
      </c>
      <c r="C52" s="37"/>
      <c r="D52" s="46"/>
      <c r="E52" s="46"/>
      <c r="F52" s="46"/>
      <c r="G52" s="46"/>
      <c r="H52" s="46"/>
      <c r="I52" s="46"/>
    </row>
    <row r="53" spans="1:10" s="23" customFormat="1">
      <c r="A53" s="47" t="s">
        <v>75</v>
      </c>
      <c r="B53" s="47"/>
      <c r="C53" s="163">
        <f>C36*$B$52</f>
        <v>3065</v>
      </c>
      <c r="D53" s="46" t="s">
        <v>80</v>
      </c>
      <c r="E53" s="46"/>
      <c r="F53" s="46"/>
      <c r="G53" s="46"/>
      <c r="H53" s="46"/>
      <c r="I53" s="46"/>
    </row>
    <row r="54" spans="1:10" s="23" customFormat="1">
      <c r="A54" s="47" t="s">
        <v>76</v>
      </c>
      <c r="B54" s="47"/>
      <c r="C54" s="163">
        <f>C37*$B$52</f>
        <v>4200</v>
      </c>
      <c r="D54" s="46" t="s">
        <v>80</v>
      </c>
      <c r="E54" s="46"/>
      <c r="F54" s="46"/>
      <c r="G54" s="46"/>
      <c r="H54" s="46"/>
      <c r="I54" s="46"/>
    </row>
    <row r="55" spans="1:10">
      <c r="C55" s="262" t="s">
        <v>439</v>
      </c>
      <c r="D55" s="262"/>
    </row>
    <row r="56" spans="1:10">
      <c r="C56" s="3" t="s">
        <v>440</v>
      </c>
    </row>
    <row r="58" spans="1:10">
      <c r="A58" s="22" t="s">
        <v>246</v>
      </c>
      <c r="B58" s="51"/>
      <c r="C58" s="20" t="s">
        <v>6</v>
      </c>
      <c r="D58" s="20" t="s">
        <v>7</v>
      </c>
      <c r="G58" s="261" t="s">
        <v>26</v>
      </c>
      <c r="H58" s="261"/>
    </row>
    <row r="59" spans="1:10">
      <c r="A59" s="16" t="s">
        <v>8</v>
      </c>
      <c r="B59" s="158"/>
      <c r="C59" s="256">
        <v>153.47999999999999</v>
      </c>
      <c r="D59" s="154">
        <f>C59/2000</f>
        <v>7.6739999999999989E-2</v>
      </c>
      <c r="G59" s="3" t="s">
        <v>27</v>
      </c>
      <c r="H59" s="4">
        <f>0.015</f>
        <v>1.4999999999999999E-2</v>
      </c>
    </row>
    <row r="60" spans="1:10">
      <c r="A60" s="16" t="s">
        <v>9</v>
      </c>
      <c r="B60" s="158"/>
      <c r="C60" s="257">
        <v>157.38</v>
      </c>
      <c r="D60" s="155">
        <f>C60/2000</f>
        <v>7.8689999999999996E-2</v>
      </c>
      <c r="G60" s="3" t="s">
        <v>28</v>
      </c>
      <c r="H60" s="5">
        <f>0.0051</f>
        <v>5.1000000000000004E-3</v>
      </c>
    </row>
    <row r="61" spans="1:10">
      <c r="A61" s="14" t="s">
        <v>10</v>
      </c>
      <c r="B61" s="47"/>
      <c r="C61" s="153">
        <f>C60-C59</f>
        <v>3.9000000000000057</v>
      </c>
      <c r="D61" s="156">
        <f>D60-D59</f>
        <v>1.9500000000000073E-3</v>
      </c>
      <c r="E61" s="150">
        <f>C61/C59</f>
        <v>2.5410476935105591E-2</v>
      </c>
      <c r="G61" s="3" t="s">
        <v>48</v>
      </c>
      <c r="H61" s="6"/>
    </row>
    <row r="62" spans="1:10">
      <c r="D62" s="136"/>
      <c r="G62" s="3" t="s">
        <v>16</v>
      </c>
      <c r="H62" s="17">
        <f>SUM(H59:H61)</f>
        <v>2.01E-2</v>
      </c>
      <c r="J62" s="135"/>
    </row>
    <row r="63" spans="1:10">
      <c r="C63" s="21" t="s">
        <v>90</v>
      </c>
    </row>
    <row r="64" spans="1:10">
      <c r="A64" s="3" t="s">
        <v>4</v>
      </c>
      <c r="C64" s="18">
        <f>C61</f>
        <v>3.9000000000000057</v>
      </c>
      <c r="D64" s="136"/>
      <c r="G64" s="3" t="s">
        <v>29</v>
      </c>
      <c r="H64" s="19">
        <f>1-H62</f>
        <v>0.97989999999999999</v>
      </c>
    </row>
    <row r="65" spans="1:5">
      <c r="A65" s="3" t="s">
        <v>25</v>
      </c>
      <c r="C65" s="18">
        <f>C64/$H$64</f>
        <v>3.9799979589754115</v>
      </c>
      <c r="D65" s="136"/>
    </row>
    <row r="66" spans="1:5">
      <c r="A66" s="3" t="s">
        <v>24</v>
      </c>
      <c r="C66" s="137">
        <f>'DF Calculation'!C172</f>
        <v>65230.76112481716</v>
      </c>
      <c r="D66" s="18"/>
      <c r="E66" s="71"/>
    </row>
    <row r="67" spans="1:5">
      <c r="A67" s="2" t="s">
        <v>30</v>
      </c>
      <c r="B67" s="25"/>
      <c r="C67" s="184">
        <f>C65*C66</f>
        <v>259618.29613918491</v>
      </c>
      <c r="E67" s="71"/>
    </row>
    <row r="68" spans="1:5">
      <c r="E68" s="63"/>
    </row>
    <row r="70" spans="1:5" ht="15.75" thickBot="1"/>
    <row r="71" spans="1:5">
      <c r="A71" s="96" t="s">
        <v>85</v>
      </c>
      <c r="B71" s="162"/>
      <c r="C71" s="174" t="s">
        <v>83</v>
      </c>
      <c r="E71" s="18"/>
    </row>
    <row r="72" spans="1:5">
      <c r="A72" s="97" t="s">
        <v>84</v>
      </c>
      <c r="B72" s="63"/>
      <c r="C72" s="185">
        <f>'DF Calculation'!Z116</f>
        <v>259618.29613918543</v>
      </c>
    </row>
    <row r="73" spans="1:5">
      <c r="A73" s="97" t="s">
        <v>13</v>
      </c>
      <c r="B73" s="63"/>
      <c r="C73" s="185">
        <f>C72-C67</f>
        <v>5.2386894822120667E-10</v>
      </c>
    </row>
    <row r="74" spans="1:5" ht="15.75" thickBot="1">
      <c r="A74" s="196"/>
      <c r="B74" s="199"/>
      <c r="C74" s="200"/>
    </row>
    <row r="75" spans="1:5">
      <c r="A75" s="65"/>
      <c r="B75" s="197"/>
      <c r="C75" s="198"/>
    </row>
  </sheetData>
  <mergeCells count="4">
    <mergeCell ref="A5:I5"/>
    <mergeCell ref="G58:H58"/>
    <mergeCell ref="A15:C15"/>
    <mergeCell ref="C55:D55"/>
  </mergeCells>
  <pageMargins left="0.7" right="0.7" top="0.75" bottom="0.75" header="0.3" footer="0.3"/>
  <pageSetup scale="63" orientation="portrait" r:id="rId1"/>
  <headerFooter>
    <oddFooter>&amp;L&amp;F - 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83"/>
  <sheetViews>
    <sheetView tabSelected="1" zoomScale="85" zoomScaleNormal="85" zoomScaleSheetLayoutView="55" zoomScalePageLayoutView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E130" sqref="AE130"/>
    </sheetView>
  </sheetViews>
  <sheetFormatPr defaultColWidth="8.85546875" defaultRowHeight="15"/>
  <cols>
    <col min="1" max="1" width="4.5703125" style="63" customWidth="1"/>
    <col min="2" max="2" width="17.140625" style="67" customWidth="1"/>
    <col min="3" max="3" width="33.140625" style="63" customWidth="1"/>
    <col min="4" max="4" width="18.85546875" style="64" bestFit="1" customWidth="1"/>
    <col min="5" max="5" width="11.42578125" style="63" bestFit="1" customWidth="1"/>
    <col min="6" max="6" width="15.42578125" style="63" bestFit="1" customWidth="1"/>
    <col min="7" max="7" width="15.140625" style="63" customWidth="1"/>
    <col min="8" max="8" width="21.42578125" style="63" customWidth="1"/>
    <col min="9" max="9" width="16.28515625" style="62" customWidth="1"/>
    <col min="10" max="10" width="15.140625" style="63" customWidth="1"/>
    <col min="11" max="11" width="13.5703125" style="63" customWidth="1"/>
    <col min="12" max="12" width="10.7109375" style="63" customWidth="1"/>
    <col min="13" max="13" width="16.5703125" style="63" customWidth="1"/>
    <col min="14" max="14" width="20.140625" style="63" customWidth="1"/>
    <col min="15" max="15" width="18.140625" style="63" customWidth="1"/>
    <col min="16" max="16" width="21.28515625" style="63" customWidth="1"/>
    <col min="17" max="17" width="22" style="63" customWidth="1"/>
    <col min="18" max="18" width="16.7109375" style="129" customWidth="1"/>
    <col min="19" max="19" width="3" style="169" customWidth="1"/>
    <col min="20" max="20" width="13.85546875" style="63" customWidth="1"/>
    <col min="21" max="21" width="14.28515625" style="63" customWidth="1"/>
    <col min="22" max="22" width="3.28515625" style="63" customWidth="1"/>
    <col min="23" max="23" width="13.28515625" style="63" customWidth="1"/>
    <col min="24" max="24" width="12.5703125" style="63" customWidth="1"/>
    <col min="25" max="25" width="5.28515625" style="63" customWidth="1"/>
    <col min="26" max="26" width="12.5703125" style="129" customWidth="1"/>
    <col min="27" max="27" width="18.7109375" style="65" customWidth="1"/>
    <col min="28" max="28" width="1.85546875" style="63" customWidth="1"/>
    <col min="29" max="29" width="16.42578125" style="63" customWidth="1"/>
    <col min="30" max="30" width="3.28515625" style="63" customWidth="1"/>
    <col min="31" max="31" width="16.42578125" style="63" customWidth="1"/>
    <col min="32" max="32" width="18.28515625" style="63" customWidth="1"/>
    <col min="33" max="16384" width="8.85546875" style="63"/>
  </cols>
  <sheetData>
    <row r="1" spans="1:34">
      <c r="A1" s="25" t="s">
        <v>95</v>
      </c>
    </row>
    <row r="2" spans="1:34">
      <c r="A2" s="25" t="s">
        <v>96</v>
      </c>
    </row>
    <row r="3" spans="1:34">
      <c r="A3" s="218" t="s">
        <v>460</v>
      </c>
    </row>
    <row r="4" spans="1:34">
      <c r="A4" s="218" t="s">
        <v>499</v>
      </c>
    </row>
    <row r="5" spans="1:34">
      <c r="M5" s="43"/>
      <c r="N5" s="43"/>
      <c r="O5" s="43"/>
    </row>
    <row r="6" spans="1:34" ht="30">
      <c r="A6" s="192"/>
      <c r="B6" s="127" t="s">
        <v>15</v>
      </c>
      <c r="C6" s="193" t="s">
        <v>17</v>
      </c>
      <c r="D6" s="127" t="s">
        <v>430</v>
      </c>
      <c r="E6" s="127" t="s">
        <v>0</v>
      </c>
      <c r="F6" s="192" t="s">
        <v>1</v>
      </c>
      <c r="G6" s="127" t="s">
        <v>11</v>
      </c>
      <c r="H6" s="127" t="s">
        <v>34</v>
      </c>
      <c r="I6" s="194" t="s">
        <v>35</v>
      </c>
      <c r="J6" s="127" t="s">
        <v>10</v>
      </c>
      <c r="K6" s="127" t="s">
        <v>2</v>
      </c>
      <c r="L6" s="127" t="s">
        <v>39</v>
      </c>
      <c r="M6" s="127" t="s">
        <v>37</v>
      </c>
      <c r="N6" s="127" t="s">
        <v>425</v>
      </c>
      <c r="O6" s="127" t="s">
        <v>36</v>
      </c>
      <c r="P6" s="127" t="s">
        <v>38</v>
      </c>
      <c r="Q6" s="127" t="s">
        <v>426</v>
      </c>
      <c r="R6" s="187" t="s">
        <v>40</v>
      </c>
      <c r="T6" s="88" t="s">
        <v>241</v>
      </c>
      <c r="U6" s="127" t="s">
        <v>239</v>
      </c>
      <c r="W6" s="88" t="s">
        <v>242</v>
      </c>
      <c r="X6" s="127" t="s">
        <v>239</v>
      </c>
      <c r="Z6" s="187" t="s">
        <v>240</v>
      </c>
      <c r="AA6" s="214" t="s">
        <v>437</v>
      </c>
      <c r="AC6" s="214" t="s">
        <v>438</v>
      </c>
      <c r="AE6" s="215" t="s">
        <v>38</v>
      </c>
      <c r="AG6" s="263" t="s">
        <v>500</v>
      </c>
      <c r="AH6" s="263"/>
    </row>
    <row r="7" spans="1:34" s="65" customFormat="1">
      <c r="A7" s="265"/>
      <c r="B7" s="49">
        <v>24</v>
      </c>
      <c r="C7" s="116" t="s">
        <v>142</v>
      </c>
      <c r="D7" s="115">
        <f>'Consolidated Cust Cnt'!D14</f>
        <v>162957.2834811096</v>
      </c>
      <c r="E7" s="73">
        <f>References!$C$14</f>
        <v>1</v>
      </c>
      <c r="F7" s="72">
        <f>D7*E7</f>
        <v>162957.2834811096</v>
      </c>
      <c r="G7" s="72">
        <f>References!C18</f>
        <v>34</v>
      </c>
      <c r="H7" s="72">
        <f>F7*G7</f>
        <v>5540547.6383577259</v>
      </c>
      <c r="I7" s="48">
        <f t="shared" ref="I7:I22" si="0">$C$175*H7</f>
        <v>4409060.2771204235</v>
      </c>
      <c r="J7" s="71">
        <f>(References!$D$61*I7)</f>
        <v>8597.6675403848585</v>
      </c>
      <c r="K7" s="71">
        <f>J7/References!$H$64</f>
        <v>8774.0254519694445</v>
      </c>
      <c r="L7" s="71">
        <f>K7/F7</f>
        <v>5.3842487212218106E-2</v>
      </c>
      <c r="M7" s="95">
        <f>'Proposed Rates'!C45</f>
        <v>4.29</v>
      </c>
      <c r="N7" s="71">
        <f>L7+M7</f>
        <v>4.3438424872122186</v>
      </c>
      <c r="O7" s="71">
        <f>'Proposed Rates'!E45</f>
        <v>4.34</v>
      </c>
      <c r="P7" s="71">
        <f>D7*M7</f>
        <v>699086.7461339602</v>
      </c>
      <c r="Q7" s="76">
        <f>D7*N7</f>
        <v>707860.77158592967</v>
      </c>
      <c r="R7" s="171">
        <f t="shared" ref="R7:R22" si="1">Q7-P7</f>
        <v>8774.0254519694718</v>
      </c>
      <c r="S7" s="168"/>
      <c r="T7" s="128">
        <f>'Consolidated Cust Cnt'!B14</f>
        <v>109702.44284798634</v>
      </c>
      <c r="U7" s="128">
        <f t="shared" ref="U7:U22" si="2">T7*L7</f>
        <v>5906.6523761917924</v>
      </c>
      <c r="V7" s="128"/>
      <c r="W7" s="128">
        <f>'Consolidated Cust Cnt'!C14</f>
        <v>53254.84063312324</v>
      </c>
      <c r="X7" s="128">
        <f t="shared" ref="X7:X22" si="3">W7*L7</f>
        <v>2867.3730757776511</v>
      </c>
      <c r="Y7" s="128"/>
      <c r="Z7" s="128">
        <f>U7+X7</f>
        <v>8774.0254519694427</v>
      </c>
      <c r="AA7" s="128">
        <f>T7*M7</f>
        <v>470623.4798178614</v>
      </c>
      <c r="AB7" s="128"/>
      <c r="AC7" s="128">
        <f>W7*M7</f>
        <v>228463.26631609871</v>
      </c>
      <c r="AE7" s="128">
        <f>AA7+AC7</f>
        <v>699086.74613396008</v>
      </c>
      <c r="AG7" s="177">
        <f>G7*$C$175*E7*(References!$D$61/References!$H$64)</f>
        <v>5.3842487212218119E-2</v>
      </c>
      <c r="AH7" s="213">
        <f>L7-AG7</f>
        <v>0</v>
      </c>
    </row>
    <row r="8" spans="1:34" s="65" customFormat="1">
      <c r="A8" s="265"/>
      <c r="B8" s="49">
        <v>23</v>
      </c>
      <c r="C8" s="116" t="s">
        <v>144</v>
      </c>
      <c r="D8" s="115">
        <f>'Consolidated Cust Cnt'!D34</f>
        <v>16699.771548436307</v>
      </c>
      <c r="E8" s="73">
        <f>References!C11</f>
        <v>4.333333333333333</v>
      </c>
      <c r="F8" s="72">
        <f t="shared" ref="F8:F71" si="4">D8*E8</f>
        <v>72365.676709890657</v>
      </c>
      <c r="G8" s="72">
        <f>References!C17</f>
        <v>20</v>
      </c>
      <c r="H8" s="72">
        <f>F8*G8</f>
        <v>1447313.5341978131</v>
      </c>
      <c r="I8" s="48">
        <f t="shared" si="0"/>
        <v>1151744.0203910654</v>
      </c>
      <c r="J8" s="71">
        <f>(References!$D$61*I8)</f>
        <v>2245.9008397625857</v>
      </c>
      <c r="K8" s="71">
        <f>J8/References!$H$64</f>
        <v>2291.9694252092927</v>
      </c>
      <c r="L8" s="71">
        <f>K8/F8*E8</f>
        <v>0.13724555563898733</v>
      </c>
      <c r="M8" s="95">
        <f>'Proposed Rates'!C11</f>
        <v>13.71</v>
      </c>
      <c r="N8" s="71">
        <f>L8+M8</f>
        <v>13.847245555638988</v>
      </c>
      <c r="O8" s="71">
        <f>'Proposed Rates'!E11</f>
        <v>13.850000000000001</v>
      </c>
      <c r="P8" s="71">
        <f>D8*M8</f>
        <v>228953.86792906179</v>
      </c>
      <c r="Q8" s="76">
        <f t="shared" ref="Q8:Q22" si="5">D8*N8</f>
        <v>231245.83735427109</v>
      </c>
      <c r="R8" s="171">
        <f t="shared" si="1"/>
        <v>2291.9694252093032</v>
      </c>
      <c r="S8" s="168"/>
      <c r="T8" s="128">
        <f>'Consolidated Cust Cnt'!B34</f>
        <v>10328.246284188732</v>
      </c>
      <c r="U8" s="128">
        <f t="shared" si="2"/>
        <v>1417.5059000497888</v>
      </c>
      <c r="V8" s="128"/>
      <c r="W8" s="128">
        <f>'Consolidated Cust Cnt'!C34</f>
        <v>6371.5252642475753</v>
      </c>
      <c r="X8" s="128">
        <f t="shared" si="3"/>
        <v>874.463525159504</v>
      </c>
      <c r="Y8" s="128"/>
      <c r="Z8" s="128">
        <f t="shared" ref="Z8:Z74" si="6">U8+X8</f>
        <v>2291.9694252092927</v>
      </c>
      <c r="AA8" s="128">
        <f t="shared" ref="AA8:AA22" si="7">T8*M8</f>
        <v>141600.25655622751</v>
      </c>
      <c r="AB8" s="128"/>
      <c r="AC8" s="128">
        <f t="shared" ref="AC8:AC22" si="8">W8*M8</f>
        <v>87353.611372834261</v>
      </c>
      <c r="AE8" s="128">
        <f t="shared" ref="AE8:AE22" si="9">AA8+AC8</f>
        <v>228953.86792906176</v>
      </c>
      <c r="AG8" s="177">
        <f>G8*$C$175*E8*(References!$D$61/References!$H$64)</f>
        <v>0.13724555563898733</v>
      </c>
      <c r="AH8" s="213">
        <f t="shared" ref="AH8:AH22" si="10">L8-AG8</f>
        <v>0</v>
      </c>
    </row>
    <row r="9" spans="1:34" s="65" customFormat="1">
      <c r="A9" s="265"/>
      <c r="B9" s="49">
        <v>23</v>
      </c>
      <c r="C9" s="116" t="s">
        <v>145</v>
      </c>
      <c r="D9" s="115">
        <f>'Consolidated Cust Cnt'!D35</f>
        <v>210.31198376393272</v>
      </c>
      <c r="E9" s="73">
        <f>References!C11</f>
        <v>4.333333333333333</v>
      </c>
      <c r="F9" s="72">
        <f t="shared" si="4"/>
        <v>911.35192964370833</v>
      </c>
      <c r="G9" s="72">
        <f>References!C17</f>
        <v>20</v>
      </c>
      <c r="H9" s="72">
        <f>F9*G9</f>
        <v>18227.038592874167</v>
      </c>
      <c r="I9" s="48">
        <f t="shared" si="0"/>
        <v>14504.723553501142</v>
      </c>
      <c r="J9" s="71">
        <f>(References!$D$61*I9)</f>
        <v>28.284210929327333</v>
      </c>
      <c r="K9" s="71">
        <f>J9/References!$H$64</f>
        <v>28.864385069218628</v>
      </c>
      <c r="L9" s="71">
        <f t="shared" ref="L9:L20" si="11">K9/F9*E9</f>
        <v>0.13724555563898733</v>
      </c>
      <c r="M9" s="95">
        <f>'Proposed Rates'!C12</f>
        <v>14.71</v>
      </c>
      <c r="N9" s="71">
        <f t="shared" ref="N9:N85" si="12">L9+M9</f>
        <v>14.847245555638988</v>
      </c>
      <c r="O9" s="71">
        <f>'Proposed Rates'!E12</f>
        <v>14.850000000000001</v>
      </c>
      <c r="P9" s="71">
        <f t="shared" ref="P9:P22" si="13">D9*M9</f>
        <v>3093.6892811674506</v>
      </c>
      <c r="Q9" s="76">
        <f t="shared" si="5"/>
        <v>3122.553666236669</v>
      </c>
      <c r="R9" s="171">
        <f t="shared" si="1"/>
        <v>28.864385069218315</v>
      </c>
      <c r="S9" s="168"/>
      <c r="T9" s="128">
        <f>'Consolidated Cust Cnt'!B35</f>
        <v>144.60717489455971</v>
      </c>
      <c r="U9" s="128">
        <f t="shared" si="2"/>
        <v>19.846692067788066</v>
      </c>
      <c r="V9" s="128"/>
      <c r="W9" s="128">
        <f>'Consolidated Cust Cnt'!C35</f>
        <v>65.704808869373011</v>
      </c>
      <c r="X9" s="128">
        <f t="shared" si="3"/>
        <v>9.0176930014305618</v>
      </c>
      <c r="Y9" s="128"/>
      <c r="Z9" s="128">
        <f t="shared" si="6"/>
        <v>28.864385069218628</v>
      </c>
      <c r="AA9" s="128">
        <f t="shared" si="7"/>
        <v>2127.1715426989736</v>
      </c>
      <c r="AB9" s="128"/>
      <c r="AC9" s="128">
        <f t="shared" si="8"/>
        <v>966.51773846847709</v>
      </c>
      <c r="AE9" s="128">
        <f t="shared" si="9"/>
        <v>3093.6892811674506</v>
      </c>
      <c r="AG9" s="177">
        <f>G9*$C$175*E9*(References!$D$61/References!$H$64)</f>
        <v>0.13724555563898733</v>
      </c>
      <c r="AH9" s="213">
        <f t="shared" si="10"/>
        <v>0</v>
      </c>
    </row>
    <row r="10" spans="1:34" s="65" customFormat="1">
      <c r="A10" s="265"/>
      <c r="B10" s="49">
        <v>23</v>
      </c>
      <c r="C10" s="116" t="s">
        <v>146</v>
      </c>
      <c r="D10" s="115">
        <f>'Consolidated Cust Cnt'!D36</f>
        <v>8732.318419554138</v>
      </c>
      <c r="E10" s="73">
        <f>References!C13</f>
        <v>1</v>
      </c>
      <c r="F10" s="72">
        <f t="shared" si="4"/>
        <v>8732.318419554138</v>
      </c>
      <c r="G10" s="72">
        <f>References!$C$18</f>
        <v>34</v>
      </c>
      <c r="H10" s="72">
        <f t="shared" ref="H10:H22" si="14">F10*G10</f>
        <v>296898.82626484067</v>
      </c>
      <c r="I10" s="48">
        <f t="shared" si="0"/>
        <v>236266.32359323979</v>
      </c>
      <c r="J10" s="71">
        <f>(References!$D$61*I10)</f>
        <v>460.71933100681935</v>
      </c>
      <c r="K10" s="71">
        <f>J10/References!$H$64</f>
        <v>470.16974283786033</v>
      </c>
      <c r="L10" s="71">
        <f t="shared" si="11"/>
        <v>5.3842487212218113E-2</v>
      </c>
      <c r="M10" s="95">
        <f>'Proposed Rates'!C25</f>
        <v>10.5</v>
      </c>
      <c r="N10" s="71">
        <f t="shared" si="12"/>
        <v>10.553842487212219</v>
      </c>
      <c r="O10" s="71">
        <f>'Proposed Rates'!E25</f>
        <v>10.55</v>
      </c>
      <c r="P10" s="71">
        <f t="shared" si="13"/>
        <v>91689.343405318446</v>
      </c>
      <c r="Q10" s="76">
        <f t="shared" si="5"/>
        <v>92159.513148156315</v>
      </c>
      <c r="R10" s="171">
        <f t="shared" si="1"/>
        <v>470.1697428378684</v>
      </c>
      <c r="S10" s="168"/>
      <c r="T10" s="128">
        <f>'Consolidated Cust Cnt'!B36</f>
        <v>5449.462982945648</v>
      </c>
      <c r="U10" s="128">
        <f t="shared" si="2"/>
        <v>293.41264097270704</v>
      </c>
      <c r="V10" s="128"/>
      <c r="W10" s="128">
        <f>'Consolidated Cust Cnt'!C36</f>
        <v>3282.85543660849</v>
      </c>
      <c r="X10" s="128">
        <f t="shared" si="3"/>
        <v>176.75710186515332</v>
      </c>
      <c r="Y10" s="128"/>
      <c r="Z10" s="128">
        <f t="shared" si="6"/>
        <v>470.16974283786033</v>
      </c>
      <c r="AA10" s="128">
        <f t="shared" si="7"/>
        <v>57219.361320929303</v>
      </c>
      <c r="AB10" s="128"/>
      <c r="AC10" s="128">
        <f t="shared" si="8"/>
        <v>34469.982084389143</v>
      </c>
      <c r="AE10" s="128">
        <f t="shared" si="9"/>
        <v>91689.343405318446</v>
      </c>
      <c r="AG10" s="177">
        <f>G10*$C$175*E10*(References!$D$61/References!$H$64)</f>
        <v>5.3842487212218119E-2</v>
      </c>
      <c r="AH10" s="213">
        <f t="shared" si="10"/>
        <v>0</v>
      </c>
    </row>
    <row r="11" spans="1:34" s="65" customFormat="1">
      <c r="A11" s="265"/>
      <c r="B11" s="49">
        <v>23</v>
      </c>
      <c r="C11" s="116" t="s">
        <v>147</v>
      </c>
      <c r="D11" s="115">
        <f>'Consolidated Cust Cnt'!D37</f>
        <v>427796.02418477263</v>
      </c>
      <c r="E11" s="73">
        <f>References!C11</f>
        <v>4.333333333333333</v>
      </c>
      <c r="F11" s="72">
        <f>D11*E11</f>
        <v>1853782.7714673479</v>
      </c>
      <c r="G11" s="72">
        <f>References!$C$18</f>
        <v>34</v>
      </c>
      <c r="H11" s="72">
        <f t="shared" si="14"/>
        <v>63028614.229889825</v>
      </c>
      <c r="I11" s="48">
        <f t="shared" si="0"/>
        <v>50156947.915951103</v>
      </c>
      <c r="J11" s="71">
        <f>(References!$D$61*I11)</f>
        <v>97806.048436105018</v>
      </c>
      <c r="K11" s="71">
        <f>J11/References!$H$64</f>
        <v>99812.275166960928</v>
      </c>
      <c r="L11" s="71">
        <f t="shared" si="11"/>
        <v>0.23331744458627848</v>
      </c>
      <c r="M11" s="95">
        <f>'Proposed Rates'!C13</f>
        <v>17.27</v>
      </c>
      <c r="N11" s="71">
        <f t="shared" si="12"/>
        <v>17.50331744458628</v>
      </c>
      <c r="O11" s="71">
        <f>'Proposed Rates'!E13</f>
        <v>17.5</v>
      </c>
      <c r="P11" s="71">
        <f t="shared" si="13"/>
        <v>7388037.3376710229</v>
      </c>
      <c r="Q11" s="76">
        <f t="shared" si="5"/>
        <v>7487849.6128379852</v>
      </c>
      <c r="R11" s="171">
        <f t="shared" si="1"/>
        <v>99812.275166962296</v>
      </c>
      <c r="S11" s="168"/>
      <c r="T11" s="128">
        <f>'Consolidated Cust Cnt'!B37</f>
        <v>277734.7579097547</v>
      </c>
      <c r="U11" s="128">
        <f t="shared" si="2"/>
        <v>64800.363988292658</v>
      </c>
      <c r="V11" s="128"/>
      <c r="W11" s="128">
        <f>'Consolidated Cust Cnt'!C37</f>
        <v>150061.2662750179</v>
      </c>
      <c r="X11" s="128">
        <f t="shared" si="3"/>
        <v>35011.91117866827</v>
      </c>
      <c r="Y11" s="128"/>
      <c r="Z11" s="128">
        <f t="shared" si="6"/>
        <v>99812.275166960928</v>
      </c>
      <c r="AA11" s="128">
        <f t="shared" si="7"/>
        <v>4796479.2691014633</v>
      </c>
      <c r="AB11" s="128"/>
      <c r="AC11" s="128">
        <f t="shared" si="8"/>
        <v>2591558.0685695591</v>
      </c>
      <c r="AE11" s="128">
        <f t="shared" si="9"/>
        <v>7388037.3376710229</v>
      </c>
      <c r="AG11" s="177">
        <f>G11*$C$175*E11*(References!$D$61/References!$H$64)</f>
        <v>0.23331744458627848</v>
      </c>
      <c r="AH11" s="213">
        <f t="shared" si="10"/>
        <v>0</v>
      </c>
    </row>
    <row r="12" spans="1:34" s="65" customFormat="1">
      <c r="A12" s="265"/>
      <c r="B12" s="49">
        <v>23</v>
      </c>
      <c r="C12" s="116" t="s">
        <v>148</v>
      </c>
      <c r="D12" s="115">
        <f>'Consolidated Cust Cnt'!D38</f>
        <v>6930.2264393457244</v>
      </c>
      <c r="E12" s="73">
        <f>References!C11</f>
        <v>4.333333333333333</v>
      </c>
      <c r="F12" s="72">
        <f t="shared" si="4"/>
        <v>30030.981237164804</v>
      </c>
      <c r="G12" s="72">
        <f>References!$C$18</f>
        <v>34</v>
      </c>
      <c r="H12" s="72">
        <f t="shared" si="14"/>
        <v>1021053.3620636034</v>
      </c>
      <c r="I12" s="48">
        <f t="shared" si="0"/>
        <v>812534.44845919521</v>
      </c>
      <c r="J12" s="71">
        <f>(References!$D$61*I12)</f>
        <v>1584.4421744954366</v>
      </c>
      <c r="K12" s="71">
        <f>J12/References!$H$64</f>
        <v>1616.9427232324081</v>
      </c>
      <c r="L12" s="71">
        <f t="shared" si="11"/>
        <v>0.23331744458627848</v>
      </c>
      <c r="M12" s="95">
        <f>'Proposed Rates'!C14</f>
        <v>18.27</v>
      </c>
      <c r="N12" s="71">
        <f t="shared" si="12"/>
        <v>18.50331744458628</v>
      </c>
      <c r="O12" s="71">
        <f>'Proposed Rates'!E14</f>
        <v>18.5</v>
      </c>
      <c r="P12" s="71">
        <f t="shared" si="13"/>
        <v>126615.23704684638</v>
      </c>
      <c r="Q12" s="76">
        <f t="shared" si="5"/>
        <v>128232.1797700788</v>
      </c>
      <c r="R12" s="171">
        <f t="shared" si="1"/>
        <v>1616.9427232324233</v>
      </c>
      <c r="S12" s="168"/>
      <c r="T12" s="128">
        <f>'Consolidated Cust Cnt'!B38</f>
        <v>4464.3257530525607</v>
      </c>
      <c r="U12" s="128">
        <f t="shared" si="2"/>
        <v>1041.6050765029368</v>
      </c>
      <c r="V12" s="128"/>
      <c r="W12" s="128">
        <f>'Consolidated Cust Cnt'!C38</f>
        <v>2465.9006862931637</v>
      </c>
      <c r="X12" s="128">
        <f t="shared" si="3"/>
        <v>575.33764672947132</v>
      </c>
      <c r="Y12" s="128"/>
      <c r="Z12" s="128">
        <f t="shared" si="6"/>
        <v>1616.9427232324081</v>
      </c>
      <c r="AA12" s="128">
        <f t="shared" si="7"/>
        <v>81563.231508270284</v>
      </c>
      <c r="AB12" s="128"/>
      <c r="AC12" s="128">
        <f t="shared" si="8"/>
        <v>45052.005538576101</v>
      </c>
      <c r="AE12" s="128">
        <f t="shared" si="9"/>
        <v>126615.23704684639</v>
      </c>
      <c r="AG12" s="177">
        <f>G12*$C$175*E12*(References!$D$61/References!$H$64)</f>
        <v>0.23331744458627848</v>
      </c>
      <c r="AH12" s="213">
        <f t="shared" si="10"/>
        <v>0</v>
      </c>
    </row>
    <row r="13" spans="1:34" s="65" customFormat="1">
      <c r="A13" s="265"/>
      <c r="B13" s="49">
        <v>23</v>
      </c>
      <c r="C13" s="116" t="s">
        <v>149</v>
      </c>
      <c r="D13" s="115">
        <f>'Consolidated Cust Cnt'!D39</f>
        <v>134972.46129411401</v>
      </c>
      <c r="E13" s="73">
        <f>References!$C$11</f>
        <v>4.333333333333333</v>
      </c>
      <c r="F13" s="72">
        <f t="shared" si="4"/>
        <v>584880.66560782737</v>
      </c>
      <c r="G13" s="72">
        <f>References!$C$19</f>
        <v>51</v>
      </c>
      <c r="H13" s="72">
        <f t="shared" si="14"/>
        <v>29828913.945999194</v>
      </c>
      <c r="I13" s="48">
        <f t="shared" si="0"/>
        <v>23737270.785010628</v>
      </c>
      <c r="J13" s="71">
        <f>(References!$D$61*I13)</f>
        <v>46287.678030770898</v>
      </c>
      <c r="K13" s="71">
        <f>J13/References!$H$64</f>
        <v>47237.144637994592</v>
      </c>
      <c r="L13" s="71">
        <f t="shared" si="11"/>
        <v>0.34997616687941768</v>
      </c>
      <c r="M13" s="95">
        <f>'Proposed Rates'!C15</f>
        <v>25.4</v>
      </c>
      <c r="N13" s="71">
        <f t="shared" si="12"/>
        <v>25.749976166879417</v>
      </c>
      <c r="O13" s="71">
        <f>'Proposed Rates'!E15</f>
        <v>25.75</v>
      </c>
      <c r="P13" s="71">
        <f t="shared" si="13"/>
        <v>3428300.5168704954</v>
      </c>
      <c r="Q13" s="76">
        <f t="shared" si="5"/>
        <v>3475537.6615084903</v>
      </c>
      <c r="R13" s="171">
        <f t="shared" si="1"/>
        <v>47237.144637994934</v>
      </c>
      <c r="S13" s="168"/>
      <c r="T13" s="128">
        <f>'Consolidated Cust Cnt'!B39</f>
        <v>89485.74259909564</v>
      </c>
      <c r="U13" s="128">
        <f t="shared" si="2"/>
        <v>31317.877185189711</v>
      </c>
      <c r="V13" s="128"/>
      <c r="W13" s="128">
        <f>'Consolidated Cust Cnt'!C39</f>
        <v>45486.718695018353</v>
      </c>
      <c r="X13" s="128">
        <f t="shared" si="3"/>
        <v>15919.267452804872</v>
      </c>
      <c r="Y13" s="128"/>
      <c r="Z13" s="128">
        <f t="shared" si="6"/>
        <v>47237.144637994585</v>
      </c>
      <c r="AA13" s="128">
        <f t="shared" si="7"/>
        <v>2272937.862017029</v>
      </c>
      <c r="AB13" s="128"/>
      <c r="AC13" s="128">
        <f t="shared" si="8"/>
        <v>1155362.6548534662</v>
      </c>
      <c r="AE13" s="128">
        <f t="shared" si="9"/>
        <v>3428300.5168704949</v>
      </c>
      <c r="AG13" s="177">
        <f>G13*$C$175*E13*(References!$D$61/References!$H$64)</f>
        <v>0.34997616687941768</v>
      </c>
      <c r="AH13" s="213">
        <f t="shared" si="10"/>
        <v>0</v>
      </c>
    </row>
    <row r="14" spans="1:34" s="65" customFormat="1">
      <c r="A14" s="265"/>
      <c r="B14" s="49">
        <v>23</v>
      </c>
      <c r="C14" s="116" t="s">
        <v>150</v>
      </c>
      <c r="D14" s="115">
        <f>'Consolidated Cust Cnt'!D40</f>
        <v>2301.0949678395764</v>
      </c>
      <c r="E14" s="73">
        <f>References!$C$11</f>
        <v>4.333333333333333</v>
      </c>
      <c r="F14" s="72">
        <f t="shared" si="4"/>
        <v>9971.4115273048301</v>
      </c>
      <c r="G14" s="72">
        <f>References!$C$19</f>
        <v>51</v>
      </c>
      <c r="H14" s="72">
        <f t="shared" si="14"/>
        <v>508541.98789254634</v>
      </c>
      <c r="I14" s="48">
        <f t="shared" si="0"/>
        <v>404687.84394921112</v>
      </c>
      <c r="J14" s="71">
        <f>(References!$D$61*I14)</f>
        <v>789.14129570096463</v>
      </c>
      <c r="K14" s="71">
        <f>J14/References!$H$64</f>
        <v>805.32839647001185</v>
      </c>
      <c r="L14" s="71">
        <f t="shared" si="11"/>
        <v>0.34997616687941768</v>
      </c>
      <c r="M14" s="95">
        <f>'Proposed Rates'!C16</f>
        <v>27.4</v>
      </c>
      <c r="N14" s="71">
        <f t="shared" si="12"/>
        <v>27.749976166879417</v>
      </c>
      <c r="O14" s="71">
        <f>'Proposed Rates'!E16</f>
        <v>27.75</v>
      </c>
      <c r="P14" s="71">
        <f t="shared" si="13"/>
        <v>63050.00211880439</v>
      </c>
      <c r="Q14" s="76">
        <f t="shared" si="5"/>
        <v>63855.330515274407</v>
      </c>
      <c r="R14" s="171">
        <f t="shared" si="1"/>
        <v>805.32839647001674</v>
      </c>
      <c r="S14" s="168"/>
      <c r="T14" s="128">
        <f>'Consolidated Cust Cnt'!B40</f>
        <v>1640.1721073486328</v>
      </c>
      <c r="U14" s="128">
        <f t="shared" si="2"/>
        <v>574.02114715241134</v>
      </c>
      <c r="V14" s="128"/>
      <c r="W14" s="128">
        <f>'Consolidated Cust Cnt'!C40</f>
        <v>660.92286049094332</v>
      </c>
      <c r="X14" s="128">
        <f t="shared" si="3"/>
        <v>231.30724931760048</v>
      </c>
      <c r="Y14" s="128"/>
      <c r="Z14" s="128">
        <f t="shared" si="6"/>
        <v>805.32839647001185</v>
      </c>
      <c r="AA14" s="128">
        <f t="shared" si="7"/>
        <v>44940.715741352535</v>
      </c>
      <c r="AB14" s="128"/>
      <c r="AC14" s="128">
        <f t="shared" si="8"/>
        <v>18109.286377451845</v>
      </c>
      <c r="AE14" s="128">
        <f t="shared" si="9"/>
        <v>63050.002118804376</v>
      </c>
      <c r="AG14" s="177">
        <f>G14*$C$175*E14*(References!$D$61/References!$H$64)</f>
        <v>0.34997616687941768</v>
      </c>
      <c r="AH14" s="213">
        <f t="shared" si="10"/>
        <v>0</v>
      </c>
    </row>
    <row r="15" spans="1:34" s="65" customFormat="1">
      <c r="A15" s="265"/>
      <c r="B15" s="49">
        <v>23</v>
      </c>
      <c r="C15" s="116" t="s">
        <v>151</v>
      </c>
      <c r="D15" s="115">
        <f>'Consolidated Cust Cnt'!D41</f>
        <v>7755.8176267920626</v>
      </c>
      <c r="E15" s="73">
        <f>References!$C$11</f>
        <v>4.333333333333333</v>
      </c>
      <c r="F15" s="72">
        <f t="shared" si="4"/>
        <v>33608.543049432272</v>
      </c>
      <c r="G15" s="72">
        <f>References!$C$20</f>
        <v>77</v>
      </c>
      <c r="H15" s="72">
        <f t="shared" si="14"/>
        <v>2587857.8148062848</v>
      </c>
      <c r="I15" s="48">
        <f t="shared" si="0"/>
        <v>2059367.022693825</v>
      </c>
      <c r="J15" s="71">
        <f>(References!$D$61*I15)</f>
        <v>4015.7656942529738</v>
      </c>
      <c r="K15" s="71">
        <f>J15/References!$H$64</f>
        <v>4098.1382735513562</v>
      </c>
      <c r="L15" s="71">
        <f t="shared" si="11"/>
        <v>0.52839538921010121</v>
      </c>
      <c r="M15" s="95">
        <f>'Proposed Rates'!C17</f>
        <v>35.33</v>
      </c>
      <c r="N15" s="71">
        <f t="shared" si="12"/>
        <v>35.858395389210102</v>
      </c>
      <c r="O15" s="71">
        <f>'Proposed Rates'!E17</f>
        <v>35.86</v>
      </c>
      <c r="P15" s="71">
        <f t="shared" si="13"/>
        <v>274013.03675456357</v>
      </c>
      <c r="Q15" s="76">
        <f t="shared" si="5"/>
        <v>278111.17502811493</v>
      </c>
      <c r="R15" s="171">
        <f t="shared" si="1"/>
        <v>4098.1382735513616</v>
      </c>
      <c r="S15" s="168"/>
      <c r="T15" s="128">
        <f>'Consolidated Cust Cnt'!B41</f>
        <v>4569.9710863748123</v>
      </c>
      <c r="U15" s="128">
        <f t="shared" si="2"/>
        <v>2414.7516508639278</v>
      </c>
      <c r="V15" s="128"/>
      <c r="W15" s="128">
        <f>'Consolidated Cust Cnt'!C41</f>
        <v>3185.8465404172498</v>
      </c>
      <c r="X15" s="128">
        <f t="shared" si="3"/>
        <v>1683.3866226874272</v>
      </c>
      <c r="Y15" s="128"/>
      <c r="Z15" s="128">
        <f t="shared" si="6"/>
        <v>4098.1382735513553</v>
      </c>
      <c r="AA15" s="128">
        <f t="shared" si="7"/>
        <v>161457.0784816221</v>
      </c>
      <c r="AB15" s="128"/>
      <c r="AC15" s="128">
        <f t="shared" si="8"/>
        <v>112555.95827294143</v>
      </c>
      <c r="AE15" s="128">
        <f t="shared" si="9"/>
        <v>274013.03675456351</v>
      </c>
      <c r="AG15" s="177">
        <f>G15*$C$175*E15*(References!$D$61/References!$H$64)</f>
        <v>0.52839538921010132</v>
      </c>
      <c r="AH15" s="213">
        <f t="shared" si="10"/>
        <v>0</v>
      </c>
    </row>
    <row r="16" spans="1:34" s="65" customFormat="1">
      <c r="A16" s="265"/>
      <c r="B16" s="49">
        <v>23</v>
      </c>
      <c r="C16" s="116" t="s">
        <v>152</v>
      </c>
      <c r="D16" s="115">
        <f>'Consolidated Cust Cnt'!D42</f>
        <v>121.89004065040652</v>
      </c>
      <c r="E16" s="73">
        <f>References!$C$11</f>
        <v>4.333333333333333</v>
      </c>
      <c r="F16" s="72">
        <f t="shared" si="4"/>
        <v>528.19017615176153</v>
      </c>
      <c r="G16" s="72">
        <f>References!$C$20</f>
        <v>77</v>
      </c>
      <c r="H16" s="122">
        <f>F16*G16</f>
        <v>40670.64356368564</v>
      </c>
      <c r="I16" s="48">
        <f t="shared" si="0"/>
        <v>32364.908793514471</v>
      </c>
      <c r="J16" s="71">
        <f>(References!$D$61*I16)</f>
        <v>63.111572147353456</v>
      </c>
      <c r="K16" s="71">
        <f>J16/References!$H$64</f>
        <v>64.406135470306623</v>
      </c>
      <c r="L16" s="71">
        <f t="shared" si="11"/>
        <v>0.52839538921010132</v>
      </c>
      <c r="M16" s="95">
        <f>'Proposed Rates'!C18</f>
        <v>38.33</v>
      </c>
      <c r="N16" s="71">
        <f t="shared" si="12"/>
        <v>38.858395389210102</v>
      </c>
      <c r="O16" s="71">
        <f>'Proposed Rates'!E18</f>
        <v>38.86</v>
      </c>
      <c r="P16" s="71">
        <f t="shared" si="13"/>
        <v>4672.0452581300815</v>
      </c>
      <c r="Q16" s="76">
        <f t="shared" si="5"/>
        <v>4736.4513936003887</v>
      </c>
      <c r="R16" s="171">
        <f t="shared" si="1"/>
        <v>64.406135470307163</v>
      </c>
      <c r="S16" s="168"/>
      <c r="T16" s="128">
        <f>'Consolidated Cust Cnt'!B42</f>
        <v>68.64505420054202</v>
      </c>
      <c r="U16" s="128">
        <f t="shared" si="2"/>
        <v>36.271730131643899</v>
      </c>
      <c r="V16" s="128"/>
      <c r="W16" s="128">
        <f>'Consolidated Cust Cnt'!C42</f>
        <v>53.244986449864491</v>
      </c>
      <c r="X16" s="128">
        <f t="shared" si="3"/>
        <v>28.13440533866272</v>
      </c>
      <c r="Y16" s="128"/>
      <c r="Z16" s="128">
        <f t="shared" si="6"/>
        <v>64.406135470306623</v>
      </c>
      <c r="AA16" s="128">
        <f t="shared" si="7"/>
        <v>2631.1649275067757</v>
      </c>
      <c r="AB16" s="128"/>
      <c r="AC16" s="128">
        <f t="shared" si="8"/>
        <v>2040.8803306233058</v>
      </c>
      <c r="AE16" s="128">
        <f t="shared" si="9"/>
        <v>4672.0452581300815</v>
      </c>
      <c r="AG16" s="177">
        <f>G16*$C$175*E16*(References!$D$61/References!$H$64)</f>
        <v>0.52839538921010132</v>
      </c>
      <c r="AH16" s="213">
        <f t="shared" si="10"/>
        <v>0</v>
      </c>
    </row>
    <row r="17" spans="1:34" s="65" customFormat="1">
      <c r="A17" s="265"/>
      <c r="B17" s="49">
        <v>23</v>
      </c>
      <c r="C17" s="116" t="s">
        <v>153</v>
      </c>
      <c r="D17" s="115">
        <f>'Consolidated Cust Cnt'!D43</f>
        <v>832.50482387256011</v>
      </c>
      <c r="E17" s="73">
        <f>References!$C$11</f>
        <v>4.333333333333333</v>
      </c>
      <c r="F17" s="72">
        <f t="shared" si="4"/>
        <v>3607.5209034477602</v>
      </c>
      <c r="G17" s="72">
        <f>References!$C$21</f>
        <v>97</v>
      </c>
      <c r="H17" s="72">
        <f t="shared" si="14"/>
        <v>349929.52763443277</v>
      </c>
      <c r="I17" s="48">
        <f t="shared" si="0"/>
        <v>278467.1264990351</v>
      </c>
      <c r="J17" s="71">
        <f>(References!$D$61*I17)</f>
        <v>543.01089667312044</v>
      </c>
      <c r="K17" s="71">
        <f>J17/References!$H$64</f>
        <v>554.14929755395497</v>
      </c>
      <c r="L17" s="71">
        <f t="shared" si="11"/>
        <v>0.66564094484908853</v>
      </c>
      <c r="M17" s="95">
        <f>'Proposed Rates'!C19</f>
        <v>46.39</v>
      </c>
      <c r="N17" s="71">
        <f t="shared" si="12"/>
        <v>47.055640944849088</v>
      </c>
      <c r="O17" s="71">
        <f>'Proposed Rates'!E19</f>
        <v>47.06</v>
      </c>
      <c r="P17" s="71">
        <f t="shared" si="13"/>
        <v>38619.898779448064</v>
      </c>
      <c r="Q17" s="76">
        <f t="shared" si="5"/>
        <v>39174.048077002015</v>
      </c>
      <c r="R17" s="171">
        <f t="shared" si="1"/>
        <v>554.14929755395133</v>
      </c>
      <c r="S17" s="168"/>
      <c r="T17" s="128">
        <f>'Consolidated Cust Cnt'!B43</f>
        <v>522.7403242091093</v>
      </c>
      <c r="U17" s="128">
        <f t="shared" si="2"/>
        <v>347.95736331727039</v>
      </c>
      <c r="V17" s="128"/>
      <c r="W17" s="128">
        <f>'Consolidated Cust Cnt'!C43</f>
        <v>309.76449966345075</v>
      </c>
      <c r="X17" s="128">
        <f t="shared" si="3"/>
        <v>206.19193423668452</v>
      </c>
      <c r="Y17" s="128"/>
      <c r="Z17" s="128">
        <f t="shared" si="6"/>
        <v>554.14929755395497</v>
      </c>
      <c r="AA17" s="128">
        <f t="shared" si="7"/>
        <v>24249.923640060581</v>
      </c>
      <c r="AB17" s="128"/>
      <c r="AC17" s="128">
        <f t="shared" si="8"/>
        <v>14369.975139387481</v>
      </c>
      <c r="AE17" s="128">
        <f t="shared" si="9"/>
        <v>38619.898779448064</v>
      </c>
      <c r="AG17" s="177">
        <f>G17*$C$175*E17*(References!$D$61/References!$H$64)</f>
        <v>0.66564094484908864</v>
      </c>
      <c r="AH17" s="213">
        <f t="shared" si="10"/>
        <v>0</v>
      </c>
    </row>
    <row r="18" spans="1:34" s="65" customFormat="1">
      <c r="A18" s="265"/>
      <c r="B18" s="49">
        <v>23</v>
      </c>
      <c r="C18" s="116" t="s">
        <v>154</v>
      </c>
      <c r="D18" s="115">
        <f>'Consolidated Cust Cnt'!D44</f>
        <v>25.773934527486102</v>
      </c>
      <c r="E18" s="73">
        <f>References!$C$11</f>
        <v>4.333333333333333</v>
      </c>
      <c r="F18" s="72">
        <f t="shared" si="4"/>
        <v>111.68704961910643</v>
      </c>
      <c r="G18" s="72">
        <f>References!$C$21</f>
        <v>97</v>
      </c>
      <c r="H18" s="72">
        <f t="shared" si="14"/>
        <v>10833.643813053324</v>
      </c>
      <c r="I18" s="48">
        <f t="shared" si="0"/>
        <v>8621.2034821098005</v>
      </c>
      <c r="J18" s="71">
        <f>(References!$D$61*I18)</f>
        <v>16.811346790114175</v>
      </c>
      <c r="K18" s="71">
        <f>J18/References!$H$64</f>
        <v>17.156186131354399</v>
      </c>
      <c r="L18" s="71">
        <f t="shared" si="11"/>
        <v>0.66564094484908876</v>
      </c>
      <c r="M18" s="95">
        <f>'Proposed Rates'!C20</f>
        <v>50.39</v>
      </c>
      <c r="N18" s="71">
        <f t="shared" si="12"/>
        <v>51.055640944849088</v>
      </c>
      <c r="O18" s="71">
        <f>'Proposed Rates'!E20</f>
        <v>51.06</v>
      </c>
      <c r="P18" s="71">
        <f t="shared" si="13"/>
        <v>1298.7485608400248</v>
      </c>
      <c r="Q18" s="76">
        <f t="shared" si="5"/>
        <v>1315.9047469713792</v>
      </c>
      <c r="R18" s="171">
        <f t="shared" si="1"/>
        <v>17.156186131354389</v>
      </c>
      <c r="S18" s="168"/>
      <c r="T18" s="128">
        <f>'Consolidated Cust Cnt'!B44</f>
        <v>12</v>
      </c>
      <c r="U18" s="128">
        <f t="shared" si="2"/>
        <v>7.9876913381890651</v>
      </c>
      <c r="V18" s="128"/>
      <c r="W18" s="128">
        <f>'Consolidated Cust Cnt'!C44</f>
        <v>13.773934527486102</v>
      </c>
      <c r="X18" s="128">
        <f t="shared" si="3"/>
        <v>9.1684947931653351</v>
      </c>
      <c r="Y18" s="128"/>
      <c r="Z18" s="128">
        <f t="shared" si="6"/>
        <v>17.156186131354399</v>
      </c>
      <c r="AA18" s="128">
        <f t="shared" si="7"/>
        <v>604.68000000000006</v>
      </c>
      <c r="AB18" s="128"/>
      <c r="AC18" s="128">
        <f t="shared" si="8"/>
        <v>694.0685608400247</v>
      </c>
      <c r="AE18" s="128">
        <f t="shared" si="9"/>
        <v>1298.7485608400248</v>
      </c>
      <c r="AG18" s="177">
        <f>G18*$C$175*E18*(References!$D$61/References!$H$64)</f>
        <v>0.66564094484908864</v>
      </c>
      <c r="AH18" s="213">
        <f t="shared" si="10"/>
        <v>0</v>
      </c>
    </row>
    <row r="19" spans="1:34" s="65" customFormat="1">
      <c r="A19" s="265"/>
      <c r="B19" s="49">
        <v>23</v>
      </c>
      <c r="C19" s="116" t="s">
        <v>155</v>
      </c>
      <c r="D19" s="115">
        <f>'Consolidated Cust Cnt'!D45</f>
        <v>88.835920177383599</v>
      </c>
      <c r="E19" s="73">
        <f>References!$C$11</f>
        <v>4.333333333333333</v>
      </c>
      <c r="F19" s="72">
        <f t="shared" si="4"/>
        <v>384.95565410199555</v>
      </c>
      <c r="G19" s="72">
        <f>References!$C$22</f>
        <v>117</v>
      </c>
      <c r="H19" s="72">
        <f t="shared" si="14"/>
        <v>45039.811529933482</v>
      </c>
      <c r="I19" s="48">
        <f t="shared" si="0"/>
        <v>35841.807862242706</v>
      </c>
      <c r="J19" s="71">
        <f>(References!$D$61*I19)</f>
        <v>69.891525331373543</v>
      </c>
      <c r="K19" s="71">
        <f>J19/References!$H$64</f>
        <v>71.325161068857582</v>
      </c>
      <c r="L19" s="71">
        <f t="shared" si="11"/>
        <v>0.80288650048807608</v>
      </c>
      <c r="M19" s="95">
        <f>'Proposed Rates'!C21</f>
        <v>56.32</v>
      </c>
      <c r="N19" s="71">
        <f t="shared" si="12"/>
        <v>57.122886500488079</v>
      </c>
      <c r="O19" s="71">
        <f>'Proposed Rates'!E21</f>
        <v>57.12</v>
      </c>
      <c r="P19" s="71">
        <f t="shared" si="13"/>
        <v>5003.2390243902446</v>
      </c>
      <c r="Q19" s="76">
        <f t="shared" si="5"/>
        <v>5074.5641854591022</v>
      </c>
      <c r="R19" s="171">
        <f t="shared" si="1"/>
        <v>71.325161068857597</v>
      </c>
      <c r="S19" s="168"/>
      <c r="T19" s="128">
        <f>'Consolidated Cust Cnt'!B45</f>
        <v>60.335920177383599</v>
      </c>
      <c r="U19" s="128">
        <f t="shared" si="2"/>
        <v>48.442895804947419</v>
      </c>
      <c r="V19" s="128"/>
      <c r="W19" s="128">
        <f>'Consolidated Cust Cnt'!C45</f>
        <v>28.500000000000004</v>
      </c>
      <c r="X19" s="128">
        <f t="shared" si="3"/>
        <v>22.88226526391017</v>
      </c>
      <c r="Y19" s="128"/>
      <c r="Z19" s="128">
        <f t="shared" si="6"/>
        <v>71.325161068857597</v>
      </c>
      <c r="AA19" s="128">
        <f t="shared" si="7"/>
        <v>3398.1190243902442</v>
      </c>
      <c r="AB19" s="128"/>
      <c r="AC19" s="128">
        <f t="shared" si="8"/>
        <v>1605.1200000000001</v>
      </c>
      <c r="AE19" s="128">
        <f t="shared" si="9"/>
        <v>5003.2390243902446</v>
      </c>
      <c r="AG19" s="177">
        <f>G19*$C$175*E19*(References!$D$61/References!$H$64)</f>
        <v>0.80288650048807597</v>
      </c>
      <c r="AH19" s="213">
        <f t="shared" si="10"/>
        <v>0</v>
      </c>
    </row>
    <row r="20" spans="1:34" s="65" customFormat="1">
      <c r="A20" s="265"/>
      <c r="B20" s="49">
        <v>23</v>
      </c>
      <c r="C20" s="116" t="s">
        <v>157</v>
      </c>
      <c r="D20" s="115">
        <f>'Consolidated Cust Cnt'!D47</f>
        <v>67.537881327522626</v>
      </c>
      <c r="E20" s="73">
        <f>References!$C$11</f>
        <v>4.333333333333333</v>
      </c>
      <c r="F20" s="72">
        <f t="shared" si="4"/>
        <v>292.66415241926467</v>
      </c>
      <c r="G20" s="122">
        <f>References!$C$23</f>
        <v>137</v>
      </c>
      <c r="H20" s="122">
        <f t="shared" si="14"/>
        <v>40094.988881439262</v>
      </c>
      <c r="I20" s="48">
        <f t="shared" si="0"/>
        <v>31906.813969952371</v>
      </c>
      <c r="J20" s="71">
        <f>(References!$D$61*I20)</f>
        <v>62.218287241407353</v>
      </c>
      <c r="K20" s="71">
        <f>J20/References!$H$64</f>
        <v>63.494527238909434</v>
      </c>
      <c r="L20" s="71">
        <f t="shared" si="11"/>
        <v>0.94013205612706319</v>
      </c>
      <c r="M20" s="95">
        <f>'Proposed Rates'!C23</f>
        <v>62.47</v>
      </c>
      <c r="N20" s="71">
        <f t="shared" si="12"/>
        <v>63.410132056127061</v>
      </c>
      <c r="O20" s="71">
        <f>'Proposed Rates'!E23</f>
        <v>63.41</v>
      </c>
      <c r="P20" s="71">
        <f t="shared" si="13"/>
        <v>4219.0914465303385</v>
      </c>
      <c r="Q20" s="76">
        <f t="shared" si="5"/>
        <v>4282.5859737692481</v>
      </c>
      <c r="R20" s="171">
        <f t="shared" si="1"/>
        <v>63.494527238909541</v>
      </c>
      <c r="S20" s="168"/>
      <c r="T20" s="128">
        <f>'Consolidated Cust Cnt'!B47</f>
        <v>47.575595038551789</v>
      </c>
      <c r="U20" s="128">
        <f t="shared" si="2"/>
        <v>44.727341985062196</v>
      </c>
      <c r="V20" s="128"/>
      <c r="W20" s="128">
        <f>'Consolidated Cust Cnt'!C47</f>
        <v>19.962286288970837</v>
      </c>
      <c r="X20" s="128">
        <f t="shared" si="3"/>
        <v>18.767185253847234</v>
      </c>
      <c r="Y20" s="128"/>
      <c r="Z20" s="128">
        <f t="shared" si="6"/>
        <v>63.494527238909427</v>
      </c>
      <c r="AA20" s="128">
        <f t="shared" si="7"/>
        <v>2972.0474220583301</v>
      </c>
      <c r="AB20" s="128"/>
      <c r="AC20" s="128">
        <f t="shared" si="8"/>
        <v>1247.0440244720082</v>
      </c>
      <c r="AE20" s="128">
        <f t="shared" si="9"/>
        <v>4219.0914465303385</v>
      </c>
      <c r="AF20" s="188"/>
      <c r="AG20" s="177">
        <f>G20*$C$175*E20*(References!$D$61/References!$H$64)</f>
        <v>0.94013205612706341</v>
      </c>
      <c r="AH20" s="213">
        <f t="shared" si="10"/>
        <v>0</v>
      </c>
    </row>
    <row r="21" spans="1:34" s="65" customFormat="1">
      <c r="A21" s="265"/>
      <c r="B21" s="49">
        <v>23</v>
      </c>
      <c r="C21" s="116" t="s">
        <v>501</v>
      </c>
      <c r="D21" s="115">
        <f>'Consolidated Cust Cnt'!D49</f>
        <v>2116.0709543315611</v>
      </c>
      <c r="E21" s="73">
        <f>References!$C$11</f>
        <v>4.333333333333333</v>
      </c>
      <c r="F21" s="72">
        <f t="shared" si="4"/>
        <v>9169.6408021034313</v>
      </c>
      <c r="G21" s="122">
        <f>References!C24</f>
        <v>40</v>
      </c>
      <c r="H21" s="122">
        <f t="shared" si="14"/>
        <v>366785.63208413724</v>
      </c>
      <c r="I21" s="48">
        <f t="shared" si="0"/>
        <v>291880.88726911921</v>
      </c>
      <c r="J21" s="71">
        <f>(References!$D$61*I21)</f>
        <v>569.16773017478454</v>
      </c>
      <c r="K21" s="71">
        <f>J21/References!$H$64</f>
        <v>580.84266779751454</v>
      </c>
      <c r="L21" s="71">
        <f>K21/F21*E21</f>
        <v>0.2744911112779746</v>
      </c>
      <c r="M21" s="95">
        <f>'Proposed Rates'!C26</f>
        <v>33.590000000000003</v>
      </c>
      <c r="N21" s="71">
        <f t="shared" ref="N21" si="15">L21+M21</f>
        <v>33.864491111277978</v>
      </c>
      <c r="O21" s="71">
        <f>'Proposed Rates'!E26</f>
        <v>33.860000000000007</v>
      </c>
      <c r="P21" s="71">
        <f t="shared" si="13"/>
        <v>71078.823355997141</v>
      </c>
      <c r="Q21" s="76">
        <f t="shared" si="5"/>
        <v>71659.666023794663</v>
      </c>
      <c r="R21" s="171">
        <f t="shared" si="1"/>
        <v>580.84266779752215</v>
      </c>
      <c r="S21" s="168"/>
      <c r="T21" s="128">
        <f>'Consolidated Cust Cnt'!B49</f>
        <v>1437.4892706736705</v>
      </c>
      <c r="U21" s="128">
        <f t="shared" si="2"/>
        <v>394.57802735738102</v>
      </c>
      <c r="V21" s="128"/>
      <c r="W21" s="128">
        <f>'Consolidated Cust Cnt'!C49</f>
        <v>678.58168365789049</v>
      </c>
      <c r="X21" s="128">
        <f t="shared" si="3"/>
        <v>186.26464044013338</v>
      </c>
      <c r="Y21" s="128"/>
      <c r="Z21" s="128">
        <f t="shared" si="6"/>
        <v>580.84266779751442</v>
      </c>
      <c r="AA21" s="128">
        <f t="shared" si="7"/>
        <v>48285.264601928597</v>
      </c>
      <c r="AB21" s="128"/>
      <c r="AC21" s="128">
        <f t="shared" si="8"/>
        <v>22793.558754068545</v>
      </c>
      <c r="AE21" s="128">
        <f t="shared" si="9"/>
        <v>71078.823355997141</v>
      </c>
      <c r="AF21" s="188"/>
      <c r="AG21" s="177">
        <f>G21*$C$175*E21*(References!$D$61/References!$H$64)</f>
        <v>0.27449111127797465</v>
      </c>
      <c r="AH21" s="213">
        <f t="shared" si="10"/>
        <v>0</v>
      </c>
    </row>
    <row r="22" spans="1:34" s="65" customFormat="1">
      <c r="A22" s="265"/>
      <c r="B22" s="49">
        <v>23</v>
      </c>
      <c r="C22" s="116" t="s">
        <v>502</v>
      </c>
      <c r="D22" s="115">
        <f>'Consolidated Cust Cnt'!D50</f>
        <v>111.50066986473766</v>
      </c>
      <c r="E22" s="73">
        <f>References!D11</f>
        <v>8.6666666666666661</v>
      </c>
      <c r="F22" s="72">
        <f t="shared" si="4"/>
        <v>966.33913882772629</v>
      </c>
      <c r="G22" s="122">
        <f>References!C24</f>
        <v>40</v>
      </c>
      <c r="H22" s="122">
        <f t="shared" si="14"/>
        <v>38653.565553109052</v>
      </c>
      <c r="I22" s="48">
        <f t="shared" si="0"/>
        <v>30759.757261070932</v>
      </c>
      <c r="J22" s="71">
        <f>(References!$D$61*I22)</f>
        <v>59.981526659088544</v>
      </c>
      <c r="K22" s="71">
        <f>J22/References!$H$64</f>
        <v>61.211885558820846</v>
      </c>
      <c r="L22" s="71">
        <f>K22/F22*E22</f>
        <v>0.54898222255594931</v>
      </c>
      <c r="M22" s="95">
        <f>'Proposed Rates'!C28</f>
        <v>67.17</v>
      </c>
      <c r="N22" s="71">
        <f t="shared" si="12"/>
        <v>67.718982222555951</v>
      </c>
      <c r="O22" s="71">
        <f>'Proposed Rates'!E28</f>
        <v>67.72</v>
      </c>
      <c r="P22" s="71">
        <f t="shared" si="13"/>
        <v>7489.4999948144286</v>
      </c>
      <c r="Q22" s="76">
        <f t="shared" si="5"/>
        <v>7550.7118803732492</v>
      </c>
      <c r="R22" s="171">
        <f t="shared" si="1"/>
        <v>61.211885558820541</v>
      </c>
      <c r="S22" s="168"/>
      <c r="T22" s="128">
        <f>'Consolidated Cust Cnt'!B50</f>
        <v>67.748160432616444</v>
      </c>
      <c r="U22" s="128">
        <f t="shared" si="2"/>
        <v>37.192535688374797</v>
      </c>
      <c r="V22" s="128"/>
      <c r="W22" s="128">
        <f>'Consolidated Cust Cnt'!C50</f>
        <v>43.752509432121215</v>
      </c>
      <c r="X22" s="128">
        <f t="shared" si="3"/>
        <v>24.019349870446039</v>
      </c>
      <c r="Y22" s="128"/>
      <c r="Z22" s="128">
        <f t="shared" si="6"/>
        <v>61.211885558820839</v>
      </c>
      <c r="AA22" s="128">
        <f t="shared" si="7"/>
        <v>4550.6439362588471</v>
      </c>
      <c r="AB22" s="128"/>
      <c r="AC22" s="128">
        <f t="shared" si="8"/>
        <v>2938.856058555582</v>
      </c>
      <c r="AE22" s="128">
        <f t="shared" si="9"/>
        <v>7489.4999948144286</v>
      </c>
      <c r="AG22" s="177">
        <f>G22*$C$175*E22*(References!$D$61/References!$H$64)</f>
        <v>0.54898222255594931</v>
      </c>
      <c r="AH22" s="213">
        <f t="shared" si="10"/>
        <v>0</v>
      </c>
    </row>
    <row r="23" spans="1:34" s="65" customFormat="1">
      <c r="A23" s="202"/>
      <c r="B23" s="203"/>
      <c r="C23" s="204" t="s">
        <v>16</v>
      </c>
      <c r="D23" s="181">
        <f>SUM(D7:D22)</f>
        <v>771719.42417047964</v>
      </c>
      <c r="E23" s="182"/>
      <c r="F23" s="183">
        <f>SUM(F7:F22)</f>
        <v>2772302.0013059457</v>
      </c>
      <c r="G23" s="205"/>
      <c r="H23" s="206">
        <f>SUM(H7:H22)</f>
        <v>105169976.1911245</v>
      </c>
      <c r="I23" s="207">
        <f>SUM(I7:I22)</f>
        <v>83692225.86585924</v>
      </c>
      <c r="J23" s="165"/>
      <c r="K23" s="165"/>
      <c r="L23" s="165"/>
      <c r="M23" s="165"/>
      <c r="N23" s="165"/>
      <c r="O23" s="165"/>
      <c r="P23" s="208">
        <f>SUM(P7:P22)</f>
        <v>12435221.12363139</v>
      </c>
      <c r="Q23" s="208">
        <f>SUM(Q7:Q22)</f>
        <v>12601768.56769551</v>
      </c>
      <c r="R23" s="209">
        <f>SUM(R7:R22)</f>
        <v>166547.44406411663</v>
      </c>
      <c r="S23" s="168"/>
      <c r="T23" s="208">
        <f>SUM(T7:T22)</f>
        <v>505736.26307037345</v>
      </c>
      <c r="U23" s="208">
        <f>SUM(U7:U22)</f>
        <v>108703.19424290658</v>
      </c>
      <c r="V23"/>
      <c r="W23" s="208">
        <f>SUM(W7:W22)</f>
        <v>265983.16110010608</v>
      </c>
      <c r="X23" s="208">
        <f>SUM(X7:X22)</f>
        <v>57844.249821208236</v>
      </c>
      <c r="Y23"/>
      <c r="Z23" s="208">
        <f>SUM(Z7:Z22)</f>
        <v>166547.44406411485</v>
      </c>
      <c r="AA23" s="208">
        <f>SUM(AA7:AA22)</f>
        <v>8115640.2696396559</v>
      </c>
      <c r="AB23"/>
      <c r="AC23" s="208">
        <f>SUM(AC7:AC22)</f>
        <v>4319580.8539917329</v>
      </c>
      <c r="AD23"/>
      <c r="AE23" s="208">
        <f>SUM(AE7:AE22)</f>
        <v>12435221.12363139</v>
      </c>
      <c r="AF23" s="180">
        <f>U23/P23</f>
        <v>8.741556998639247E-3</v>
      </c>
    </row>
    <row r="24" spans="1:34" s="65" customFormat="1">
      <c r="A24" s="265" t="s">
        <v>232</v>
      </c>
      <c r="B24" s="49">
        <v>28</v>
      </c>
      <c r="C24" s="116" t="s">
        <v>160</v>
      </c>
      <c r="D24" s="115">
        <f>'Consolidated Cust Cnt'!D58</f>
        <v>6279.3692922171185</v>
      </c>
      <c r="E24" s="73">
        <f>References!$C$14</f>
        <v>1</v>
      </c>
      <c r="F24" s="72">
        <f t="shared" si="4"/>
        <v>6279.3692922171185</v>
      </c>
      <c r="G24" s="72">
        <f>References!C18</f>
        <v>34</v>
      </c>
      <c r="H24" s="72">
        <f t="shared" ref="H24:H36" si="16">F24*G24</f>
        <v>213498.55593538203</v>
      </c>
      <c r="I24" s="48">
        <f t="shared" ref="I24:I56" si="17">$C$175*H24</f>
        <v>169898.00713567817</v>
      </c>
      <c r="J24" s="71">
        <f>(References!$D$61*I24)</f>
        <v>331.30111391457365</v>
      </c>
      <c r="K24" s="71">
        <f>J24/References!$H$64</f>
        <v>338.09686081699527</v>
      </c>
      <c r="L24" s="71">
        <f>K24/F24</f>
        <v>5.3842487212218106E-2</v>
      </c>
      <c r="M24" s="95">
        <f>'Proposed Rates'!C79</f>
        <v>4.29</v>
      </c>
      <c r="N24" s="71">
        <f t="shared" ref="N24:N37" si="18">L24+M24</f>
        <v>4.3438424872122186</v>
      </c>
      <c r="O24" s="71">
        <f>'Proposed Rates'!E45</f>
        <v>4.34</v>
      </c>
      <c r="P24" s="71">
        <f>D24*M24</f>
        <v>26938.494263611439</v>
      </c>
      <c r="Q24" s="78">
        <f>F24*N24</f>
        <v>27276.591124428436</v>
      </c>
      <c r="R24" s="171">
        <f t="shared" ref="R24:R56" si="19">Q24-P24</f>
        <v>338.09686081699692</v>
      </c>
      <c r="S24" s="168"/>
      <c r="T24" s="128">
        <f>'Consolidated Cust Cnt'!B58</f>
        <v>5522.7063466628688</v>
      </c>
      <c r="U24" s="128">
        <f t="shared" ref="U24:U33" si="20">L24*T24</f>
        <v>297.35624584703129</v>
      </c>
      <c r="V24" s="128"/>
      <c r="W24" s="128">
        <f>'Consolidated Cust Cnt'!C58</f>
        <v>756.66294555424997</v>
      </c>
      <c r="X24" s="128">
        <f t="shared" ref="X24:X33" si="21">W24*L24</f>
        <v>40.740614969963985</v>
      </c>
      <c r="Y24" s="128"/>
      <c r="Z24" s="128">
        <f t="shared" si="6"/>
        <v>338.09686081699527</v>
      </c>
      <c r="AA24" s="128">
        <f t="shared" ref="AA24:AA40" si="22">T24*M24</f>
        <v>23692.410227183707</v>
      </c>
      <c r="AB24" s="128"/>
      <c r="AC24" s="128">
        <f t="shared" ref="AC24:AC40" si="23">W24*M24</f>
        <v>3246.0840364277324</v>
      </c>
      <c r="AE24" s="128">
        <f t="shared" ref="AE24:AE56" si="24">AA24+AC24</f>
        <v>26938.494263611439</v>
      </c>
      <c r="AF24" s="213"/>
      <c r="AG24" s="177">
        <f>G24*$C$175*E24*(References!$D$61/References!$H$64)</f>
        <v>5.3842487212218119E-2</v>
      </c>
      <c r="AH24" s="213">
        <f t="shared" ref="AH24:AH56" si="25">L24-AG24</f>
        <v>0</v>
      </c>
    </row>
    <row r="25" spans="1:34" s="65" customFormat="1">
      <c r="A25" s="265"/>
      <c r="B25" s="49">
        <v>34</v>
      </c>
      <c r="C25" s="116" t="s">
        <v>161</v>
      </c>
      <c r="D25" s="115">
        <f>'Consolidated Cust Cnt'!D60</f>
        <v>186.66816749212066</v>
      </c>
      <c r="E25" s="73">
        <f>References!$C$14</f>
        <v>1</v>
      </c>
      <c r="F25" s="72">
        <f t="shared" si="4"/>
        <v>186.66816749212066</v>
      </c>
      <c r="G25" s="72">
        <f>References!C31</f>
        <v>125</v>
      </c>
      <c r="H25" s="72">
        <f t="shared" si="16"/>
        <v>23333.520936515084</v>
      </c>
      <c r="I25" s="48">
        <f t="shared" si="17"/>
        <v>18568.363093623855</v>
      </c>
      <c r="J25" s="71">
        <f>(References!$D$61*I25)</f>
        <v>36.208308032566656</v>
      </c>
      <c r="K25" s="71">
        <f>J25/References!$H$64</f>
        <v>36.951023607068734</v>
      </c>
      <c r="L25" s="71">
        <f>K25/F25</f>
        <v>0.19795032063315482</v>
      </c>
      <c r="M25" s="71">
        <f>'Proposed Rates'!C123</f>
        <v>23.1</v>
      </c>
      <c r="N25" s="71">
        <f t="shared" si="18"/>
        <v>23.297950320633156</v>
      </c>
      <c r="O25" s="71">
        <f>'Proposed Rates'!E123</f>
        <v>23.3</v>
      </c>
      <c r="P25" s="71">
        <f>D25*M25</f>
        <v>4312.0346690679871</v>
      </c>
      <c r="Q25" s="76">
        <f>F25*N25</f>
        <v>4348.9856926750563</v>
      </c>
      <c r="R25" s="171">
        <f t="shared" si="19"/>
        <v>36.951023607069146</v>
      </c>
      <c r="S25" s="168"/>
      <c r="T25" s="128">
        <f>'Consolidated Cust Cnt'!B60</f>
        <v>128</v>
      </c>
      <c r="U25" s="128">
        <f t="shared" si="20"/>
        <v>25.337641041043817</v>
      </c>
      <c r="V25" s="128"/>
      <c r="W25" s="128">
        <f>'Consolidated Cust Cnt'!C60</f>
        <v>58.668167492120666</v>
      </c>
      <c r="X25" s="128">
        <f t="shared" si="21"/>
        <v>11.613382566024917</v>
      </c>
      <c r="Y25" s="128"/>
      <c r="Z25" s="128">
        <f t="shared" si="6"/>
        <v>36.951023607068734</v>
      </c>
      <c r="AA25" s="128">
        <f t="shared" si="22"/>
        <v>2956.8</v>
      </c>
      <c r="AB25" s="128"/>
      <c r="AC25" s="128">
        <f t="shared" si="23"/>
        <v>1355.2346690679874</v>
      </c>
      <c r="AE25" s="128">
        <f t="shared" si="24"/>
        <v>4312.0346690679871</v>
      </c>
      <c r="AF25" s="213"/>
      <c r="AG25" s="177">
        <f>G25*$C$175*E25*(References!$D$61/References!$H$64)</f>
        <v>0.19795032063315482</v>
      </c>
      <c r="AH25" s="213">
        <f t="shared" si="25"/>
        <v>0</v>
      </c>
    </row>
    <row r="26" spans="1:34" s="65" customFormat="1">
      <c r="A26" s="265"/>
      <c r="B26" s="49">
        <v>27</v>
      </c>
      <c r="C26" s="116" t="s">
        <v>162</v>
      </c>
      <c r="D26" s="115">
        <f>'Consolidated Cust Cnt'!D76</f>
        <v>6446.2691828619618</v>
      </c>
      <c r="E26" s="73">
        <f>References!$C$11</f>
        <v>4.333333333333333</v>
      </c>
      <c r="F26" s="72">
        <f t="shared" si="4"/>
        <v>27933.833125735167</v>
      </c>
      <c r="G26" s="72">
        <f>References!C18</f>
        <v>34</v>
      </c>
      <c r="H26" s="72">
        <f t="shared" si="16"/>
        <v>949750.32627499569</v>
      </c>
      <c r="I26" s="48">
        <f t="shared" si="17"/>
        <v>755792.87646057759</v>
      </c>
      <c r="J26" s="71">
        <f>(References!$D$61*I26)</f>
        <v>1473.7961090981319</v>
      </c>
      <c r="K26" s="71">
        <f>J26/References!$H$64</f>
        <v>1504.0270528606306</v>
      </c>
      <c r="L26" s="71">
        <f t="shared" ref="L26:L36" si="26">K26/F26*E26</f>
        <v>0.23331744458627851</v>
      </c>
      <c r="M26" s="95">
        <f>'Proposed Rates'!C54</f>
        <v>18.77</v>
      </c>
      <c r="N26" s="71">
        <f t="shared" si="18"/>
        <v>19.00331744458628</v>
      </c>
      <c r="O26" s="71">
        <f>'Proposed Rates'!E54</f>
        <v>19</v>
      </c>
      <c r="P26" s="71">
        <f>D26*M26</f>
        <v>120996.47256231902</v>
      </c>
      <c r="Q26" s="76">
        <f>D26*N26</f>
        <v>122500.49961517967</v>
      </c>
      <c r="R26" s="171">
        <f t="shared" si="19"/>
        <v>1504.0270528606488</v>
      </c>
      <c r="S26" s="168"/>
      <c r="T26" s="128">
        <f>'Consolidated Cust Cnt'!B76</f>
        <v>5273.5292601673182</v>
      </c>
      <c r="U26" s="128">
        <f t="shared" si="20"/>
        <v>1230.4063709332065</v>
      </c>
      <c r="V26" s="128"/>
      <c r="W26" s="128">
        <f>'Consolidated Cust Cnt'!C76</f>
        <v>1172.7399226946436</v>
      </c>
      <c r="X26" s="128">
        <f t="shared" si="21"/>
        <v>273.62068192742407</v>
      </c>
      <c r="Y26" s="128"/>
      <c r="Z26" s="128">
        <f t="shared" si="6"/>
        <v>1504.0270528606306</v>
      </c>
      <c r="AA26" s="128">
        <f t="shared" si="22"/>
        <v>98984.144213340565</v>
      </c>
      <c r="AB26" s="128"/>
      <c r="AC26" s="128">
        <f t="shared" si="23"/>
        <v>22012.328348978459</v>
      </c>
      <c r="AE26" s="128">
        <f t="shared" si="24"/>
        <v>120996.47256231902</v>
      </c>
      <c r="AF26" s="213"/>
      <c r="AG26" s="177">
        <f>G26*$C$175*E26*(References!$D$61/References!$H$64)</f>
        <v>0.23331744458627848</v>
      </c>
      <c r="AH26" s="213">
        <f t="shared" si="25"/>
        <v>0</v>
      </c>
    </row>
    <row r="27" spans="1:34" s="65" customFormat="1">
      <c r="A27" s="265"/>
      <c r="B27" s="49">
        <v>27</v>
      </c>
      <c r="C27" s="116" t="s">
        <v>163</v>
      </c>
      <c r="D27" s="115">
        <f>'Consolidated Cust Cnt'!D77</f>
        <v>25</v>
      </c>
      <c r="E27" s="73">
        <f>References!$C$11</f>
        <v>4.333333333333333</v>
      </c>
      <c r="F27" s="72">
        <f t="shared" si="4"/>
        <v>108.33333333333333</v>
      </c>
      <c r="G27" s="72">
        <f>References!C18</f>
        <v>34</v>
      </c>
      <c r="H27" s="72">
        <f t="shared" si="16"/>
        <v>3683.333333333333</v>
      </c>
      <c r="I27" s="48">
        <f t="shared" si="17"/>
        <v>2931.1251788473514</v>
      </c>
      <c r="J27" s="71">
        <f>(References!$D$61*I27)</f>
        <v>5.7156940987523566</v>
      </c>
      <c r="K27" s="71">
        <f>J27/References!$H$64</f>
        <v>5.8329361146569614</v>
      </c>
      <c r="L27" s="71">
        <f t="shared" si="26"/>
        <v>0.23331744458627846</v>
      </c>
      <c r="M27" s="95">
        <f>'Proposed Rates'!C55</f>
        <v>19.52</v>
      </c>
      <c r="N27" s="71">
        <f t="shared" si="18"/>
        <v>19.75331744458628</v>
      </c>
      <c r="O27" s="71">
        <f>'Proposed Rates'!E55</f>
        <v>19.75</v>
      </c>
      <c r="P27" s="71">
        <f t="shared" ref="P27:P33" si="27">D27*M27</f>
        <v>488</v>
      </c>
      <c r="Q27" s="76">
        <f>D27*N27</f>
        <v>493.832936114657</v>
      </c>
      <c r="R27" s="171">
        <f t="shared" si="19"/>
        <v>5.8329361146570022</v>
      </c>
      <c r="S27" s="168"/>
      <c r="T27" s="128">
        <f>'Consolidated Cust Cnt'!B77</f>
        <v>25</v>
      </c>
      <c r="U27" s="128">
        <f t="shared" si="20"/>
        <v>5.8329361146569614</v>
      </c>
      <c r="V27" s="128"/>
      <c r="W27" s="128">
        <f>'Consolidated Cust Cnt'!C77</f>
        <v>0</v>
      </c>
      <c r="X27" s="128">
        <f t="shared" si="21"/>
        <v>0</v>
      </c>
      <c r="Y27" s="128"/>
      <c r="Z27" s="128">
        <f t="shared" si="6"/>
        <v>5.8329361146569614</v>
      </c>
      <c r="AA27" s="128">
        <f t="shared" si="22"/>
        <v>488</v>
      </c>
      <c r="AB27" s="128"/>
      <c r="AC27" s="128">
        <f t="shared" si="23"/>
        <v>0</v>
      </c>
      <c r="AE27" s="128">
        <f t="shared" si="24"/>
        <v>488</v>
      </c>
      <c r="AF27" s="213"/>
      <c r="AG27" s="177">
        <f>G27*$C$175*E27*(References!$D$61/References!$H$64)</f>
        <v>0.23331744458627848</v>
      </c>
      <c r="AH27" s="213">
        <f t="shared" si="25"/>
        <v>0</v>
      </c>
    </row>
    <row r="28" spans="1:34" s="65" customFormat="1">
      <c r="A28" s="265"/>
      <c r="B28" s="49">
        <v>27</v>
      </c>
      <c r="C28" s="116" t="s">
        <v>164</v>
      </c>
      <c r="D28" s="115">
        <f>'Consolidated Cust Cnt'!D78</f>
        <v>714.33399478559875</v>
      </c>
      <c r="E28" s="73">
        <f>References!$C$11</f>
        <v>4.333333333333333</v>
      </c>
      <c r="F28" s="72">
        <f t="shared" si="4"/>
        <v>3095.4473107375943</v>
      </c>
      <c r="G28" s="72">
        <f>References!C19</f>
        <v>51</v>
      </c>
      <c r="H28" s="72">
        <f t="shared" si="16"/>
        <v>157867.81284761732</v>
      </c>
      <c r="I28" s="48">
        <f t="shared" si="17"/>
        <v>125628.14149336088</v>
      </c>
      <c r="J28" s="71">
        <f>(References!$D$61*I28)</f>
        <v>244.97487591205461</v>
      </c>
      <c r="K28" s="71">
        <f>J28/References!$H$64</f>
        <v>249.99987336672581</v>
      </c>
      <c r="L28" s="71">
        <f t="shared" si="26"/>
        <v>0.34997616687941774</v>
      </c>
      <c r="M28" s="95">
        <f>'Proposed Rates'!C56</f>
        <v>29.46</v>
      </c>
      <c r="N28" s="71">
        <f t="shared" si="18"/>
        <v>29.809976166879419</v>
      </c>
      <c r="O28" s="71">
        <f>'Proposed Rates'!E56</f>
        <v>29.810000000000002</v>
      </c>
      <c r="P28" s="71">
        <f t="shared" si="27"/>
        <v>21044.279486383741</v>
      </c>
      <c r="Q28" s="76">
        <f>D28*N28</f>
        <v>21294.279359750468</v>
      </c>
      <c r="R28" s="171">
        <f t="shared" si="19"/>
        <v>249.99987336672712</v>
      </c>
      <c r="S28" s="168"/>
      <c r="T28" s="128">
        <f>'Consolidated Cust Cnt'!B78</f>
        <v>670.58381910042658</v>
      </c>
      <c r="U28" s="128">
        <f t="shared" si="20"/>
        <v>234.68835458012816</v>
      </c>
      <c r="V28" s="128"/>
      <c r="W28" s="128">
        <f>'Consolidated Cust Cnt'!C78</f>
        <v>43.750175685172174</v>
      </c>
      <c r="X28" s="128">
        <f t="shared" si="21"/>
        <v>15.311518786597661</v>
      </c>
      <c r="Y28" s="128"/>
      <c r="Z28" s="128">
        <f t="shared" si="6"/>
        <v>249.99987336672584</v>
      </c>
      <c r="AA28" s="128">
        <f t="shared" si="22"/>
        <v>19755.399310698569</v>
      </c>
      <c r="AB28" s="128"/>
      <c r="AC28" s="128">
        <f t="shared" si="23"/>
        <v>1288.8801756851722</v>
      </c>
      <c r="AE28" s="128">
        <f t="shared" si="24"/>
        <v>21044.279486383741</v>
      </c>
      <c r="AF28" s="213"/>
      <c r="AG28" s="177">
        <f>G28*$C$175*E28*(References!$D$61/References!$H$64)</f>
        <v>0.34997616687941768</v>
      </c>
      <c r="AH28" s="213">
        <f t="shared" si="25"/>
        <v>0</v>
      </c>
    </row>
    <row r="29" spans="1:34" s="65" customFormat="1">
      <c r="A29" s="265"/>
      <c r="B29" s="49">
        <v>27</v>
      </c>
      <c r="C29" s="116" t="s">
        <v>165</v>
      </c>
      <c r="D29" s="115">
        <f>'Consolidated Cust Cnt'!D79</f>
        <v>0</v>
      </c>
      <c r="E29" s="73">
        <f>References!$C$11</f>
        <v>4.333333333333333</v>
      </c>
      <c r="F29" s="72">
        <f t="shared" si="4"/>
        <v>0</v>
      </c>
      <c r="G29" s="72">
        <f>References!C19</f>
        <v>51</v>
      </c>
      <c r="H29" s="72">
        <f t="shared" si="16"/>
        <v>0</v>
      </c>
      <c r="I29" s="48">
        <f t="shared" si="17"/>
        <v>0</v>
      </c>
      <c r="J29" s="71">
        <f>(References!$D$61*I29)</f>
        <v>0</v>
      </c>
      <c r="K29" s="71">
        <f>J29/References!$H$64</f>
        <v>0</v>
      </c>
      <c r="L29" s="71">
        <f>L28</f>
        <v>0.34997616687941774</v>
      </c>
      <c r="M29" s="95">
        <f>'Proposed Rates'!C57</f>
        <v>30.21</v>
      </c>
      <c r="N29" s="71">
        <f t="shared" si="18"/>
        <v>30.559976166879419</v>
      </c>
      <c r="O29" s="71">
        <f>'Proposed Rates'!E57</f>
        <v>30.560000000000002</v>
      </c>
      <c r="P29" s="71">
        <f t="shared" ref="P29" si="28">D29*M29*12</f>
        <v>0</v>
      </c>
      <c r="Q29" s="76">
        <f t="shared" ref="Q29" si="29">D29*O29</f>
        <v>0</v>
      </c>
      <c r="R29" s="171">
        <f t="shared" si="19"/>
        <v>0</v>
      </c>
      <c r="S29" s="168"/>
      <c r="T29" s="128">
        <f>'Consolidated Cust Cnt'!B79</f>
        <v>0</v>
      </c>
      <c r="U29" s="128">
        <f t="shared" si="20"/>
        <v>0</v>
      </c>
      <c r="V29" s="128"/>
      <c r="W29" s="128">
        <f>'Consolidated Cust Cnt'!C79</f>
        <v>0</v>
      </c>
      <c r="X29" s="128">
        <f t="shared" si="21"/>
        <v>0</v>
      </c>
      <c r="Y29" s="128"/>
      <c r="Z29" s="128">
        <f t="shared" si="6"/>
        <v>0</v>
      </c>
      <c r="AA29" s="128">
        <f t="shared" si="22"/>
        <v>0</v>
      </c>
      <c r="AB29" s="128"/>
      <c r="AC29" s="128">
        <f t="shared" si="23"/>
        <v>0</v>
      </c>
      <c r="AE29" s="128">
        <f t="shared" si="24"/>
        <v>0</v>
      </c>
      <c r="AF29" s="213"/>
      <c r="AG29" s="177">
        <f>G29*$C$175*E29*(References!$D$61/References!$H$64)</f>
        <v>0.34997616687941768</v>
      </c>
      <c r="AH29" s="213">
        <f t="shared" si="25"/>
        <v>0</v>
      </c>
    </row>
    <row r="30" spans="1:34" s="65" customFormat="1">
      <c r="A30" s="265"/>
      <c r="B30" s="49">
        <v>27</v>
      </c>
      <c r="C30" s="116" t="s">
        <v>166</v>
      </c>
      <c r="D30" s="115">
        <f>'Consolidated Cust Cnt'!D80</f>
        <v>107.49999999999999</v>
      </c>
      <c r="E30" s="73">
        <f>References!$C$11</f>
        <v>4.333333333333333</v>
      </c>
      <c r="F30" s="72">
        <f t="shared" si="4"/>
        <v>465.83333333333326</v>
      </c>
      <c r="G30" s="72">
        <f>References!C20</f>
        <v>77</v>
      </c>
      <c r="H30" s="72">
        <f t="shared" si="16"/>
        <v>35869.166666666664</v>
      </c>
      <c r="I30" s="48">
        <f t="shared" si="17"/>
        <v>28543.986668128178</v>
      </c>
      <c r="J30" s="71">
        <f>(References!$D$61*I30)</f>
        <v>55.660774002850154</v>
      </c>
      <c r="K30" s="71">
        <f>J30/References!$H$64</f>
        <v>56.802504340085882</v>
      </c>
      <c r="L30" s="71">
        <f t="shared" si="26"/>
        <v>0.52839538921010121</v>
      </c>
      <c r="M30" s="95">
        <f>'Proposed Rates'!C58</f>
        <v>43.37</v>
      </c>
      <c r="N30" s="71">
        <f t="shared" si="18"/>
        <v>43.898395389210101</v>
      </c>
      <c r="O30" s="71">
        <f>'Proposed Rates'!E58</f>
        <v>43.9</v>
      </c>
      <c r="P30" s="71">
        <f t="shared" si="27"/>
        <v>4662.2749999999987</v>
      </c>
      <c r="Q30" s="76">
        <f>D30*N30</f>
        <v>4719.0775043400854</v>
      </c>
      <c r="R30" s="171">
        <f t="shared" si="19"/>
        <v>56.802504340086671</v>
      </c>
      <c r="S30" s="168"/>
      <c r="T30" s="128">
        <f>'Consolidated Cust Cnt'!B80</f>
        <v>83.499999999999986</v>
      </c>
      <c r="U30" s="128">
        <f t="shared" si="20"/>
        <v>44.121014999043446</v>
      </c>
      <c r="V30" s="128"/>
      <c r="W30" s="128">
        <f>'Consolidated Cust Cnt'!C80</f>
        <v>24</v>
      </c>
      <c r="X30" s="128">
        <f t="shared" si="21"/>
        <v>12.681489341042429</v>
      </c>
      <c r="Y30" s="128"/>
      <c r="Z30" s="128">
        <f>U30+X30</f>
        <v>56.802504340085875</v>
      </c>
      <c r="AA30" s="128">
        <f t="shared" si="22"/>
        <v>3621.3949999999991</v>
      </c>
      <c r="AB30" s="128"/>
      <c r="AC30" s="128">
        <f t="shared" si="23"/>
        <v>1040.8799999999999</v>
      </c>
      <c r="AE30" s="128">
        <f t="shared" si="24"/>
        <v>4662.2749999999987</v>
      </c>
      <c r="AF30" s="213"/>
      <c r="AG30" s="177">
        <f>G30*$C$175*E30*(References!$D$61/References!$H$64)</f>
        <v>0.52839538921010132</v>
      </c>
      <c r="AH30" s="213">
        <f t="shared" si="25"/>
        <v>0</v>
      </c>
    </row>
    <row r="31" spans="1:34" s="65" customFormat="1">
      <c r="A31" s="265"/>
      <c r="B31" s="49">
        <v>27</v>
      </c>
      <c r="C31" s="116" t="s">
        <v>167</v>
      </c>
      <c r="D31" s="115">
        <f>'Consolidated Cust Cnt'!D81</f>
        <v>12</v>
      </c>
      <c r="E31" s="73">
        <f>References!$C$11</f>
        <v>4.333333333333333</v>
      </c>
      <c r="F31" s="72">
        <f t="shared" si="4"/>
        <v>52</v>
      </c>
      <c r="G31" s="72">
        <f>References!C20</f>
        <v>77</v>
      </c>
      <c r="H31" s="72">
        <f t="shared" si="16"/>
        <v>4004</v>
      </c>
      <c r="I31" s="48">
        <f t="shared" si="17"/>
        <v>3186.305488535239</v>
      </c>
      <c r="J31" s="71">
        <f>(References!$D$61*I31)</f>
        <v>6.2132957026437392</v>
      </c>
      <c r="K31" s="71">
        <f>J31/References!$H$64</f>
        <v>6.3407446705212154</v>
      </c>
      <c r="L31" s="71">
        <f t="shared" si="26"/>
        <v>0.52839538921010121</v>
      </c>
      <c r="M31" s="95">
        <f>'Proposed Rates'!C59</f>
        <v>44.12</v>
      </c>
      <c r="N31" s="71">
        <f t="shared" si="18"/>
        <v>44.648395389210101</v>
      </c>
      <c r="O31" s="71">
        <f>'Proposed Rates'!E59</f>
        <v>44.65</v>
      </c>
      <c r="P31" s="71">
        <f t="shared" si="27"/>
        <v>529.43999999999994</v>
      </c>
      <c r="Q31" s="76">
        <f>D31*N31</f>
        <v>535.78074467052124</v>
      </c>
      <c r="R31" s="171">
        <f t="shared" si="19"/>
        <v>6.3407446705213033</v>
      </c>
      <c r="S31" s="168"/>
      <c r="T31" s="128">
        <f>'Consolidated Cust Cnt'!B81</f>
        <v>12</v>
      </c>
      <c r="U31" s="128">
        <f t="shared" si="20"/>
        <v>6.3407446705212145</v>
      </c>
      <c r="V31" s="128"/>
      <c r="W31" s="128">
        <f>'Consolidated Cust Cnt'!C81</f>
        <v>0</v>
      </c>
      <c r="X31" s="128">
        <f t="shared" si="21"/>
        <v>0</v>
      </c>
      <c r="Y31" s="128"/>
      <c r="Z31" s="128">
        <f t="shared" si="6"/>
        <v>6.3407446705212145</v>
      </c>
      <c r="AA31" s="128">
        <f t="shared" si="22"/>
        <v>529.43999999999994</v>
      </c>
      <c r="AB31" s="128"/>
      <c r="AC31" s="128">
        <f t="shared" si="23"/>
        <v>0</v>
      </c>
      <c r="AE31" s="128">
        <f t="shared" si="24"/>
        <v>529.43999999999994</v>
      </c>
      <c r="AF31" s="213"/>
      <c r="AG31" s="177">
        <f>G31*$C$175*E31*(References!$D$61/References!$H$64)</f>
        <v>0.52839538921010132</v>
      </c>
      <c r="AH31" s="213">
        <f t="shared" si="25"/>
        <v>0</v>
      </c>
    </row>
    <row r="32" spans="1:34" s="65" customFormat="1">
      <c r="A32" s="265"/>
      <c r="B32" s="49">
        <v>27</v>
      </c>
      <c r="C32" s="116" t="s">
        <v>168</v>
      </c>
      <c r="D32" s="115">
        <f>'Consolidated Cust Cnt'!D82</f>
        <v>57</v>
      </c>
      <c r="E32" s="73">
        <f>References!$C$11</f>
        <v>4.333333333333333</v>
      </c>
      <c r="F32" s="72">
        <f t="shared" si="4"/>
        <v>246.99999999999997</v>
      </c>
      <c r="G32" s="72">
        <f>References!C21</f>
        <v>97</v>
      </c>
      <c r="H32" s="72">
        <f t="shared" si="16"/>
        <v>23958.999999999996</v>
      </c>
      <c r="I32" s="48">
        <f t="shared" si="17"/>
        <v>19066.107192761181</v>
      </c>
      <c r="J32" s="71">
        <f>(References!$D$61*I32)</f>
        <v>37.178909025884444</v>
      </c>
      <c r="K32" s="71">
        <f>J32/References!$H$64</f>
        <v>37.941533856398046</v>
      </c>
      <c r="L32" s="71">
        <f t="shared" si="26"/>
        <v>0.66564094484908853</v>
      </c>
      <c r="M32" s="95">
        <f>'Proposed Rates'!C60</f>
        <v>57.29</v>
      </c>
      <c r="N32" s="71">
        <f t="shared" si="18"/>
        <v>57.955640944849087</v>
      </c>
      <c r="O32" s="71">
        <f>'Proposed Rates'!E60</f>
        <v>57.96</v>
      </c>
      <c r="P32" s="71">
        <f t="shared" si="27"/>
        <v>3265.5299999999997</v>
      </c>
      <c r="Q32" s="76">
        <f>D32*N32</f>
        <v>3303.4715338563979</v>
      </c>
      <c r="R32" s="171">
        <f t="shared" si="19"/>
        <v>37.941533856398109</v>
      </c>
      <c r="S32" s="168"/>
      <c r="T32" s="128">
        <f>'Consolidated Cust Cnt'!B82</f>
        <v>45</v>
      </c>
      <c r="U32" s="128">
        <f t="shared" si="20"/>
        <v>29.953842518208983</v>
      </c>
      <c r="V32" s="128"/>
      <c r="W32" s="128">
        <f>'Consolidated Cust Cnt'!C82</f>
        <v>12</v>
      </c>
      <c r="X32" s="128">
        <f t="shared" si="21"/>
        <v>7.9876913381890624</v>
      </c>
      <c r="Y32" s="128"/>
      <c r="Z32" s="128">
        <f t="shared" si="6"/>
        <v>37.941533856398046</v>
      </c>
      <c r="AA32" s="128">
        <f t="shared" si="22"/>
        <v>2578.0500000000002</v>
      </c>
      <c r="AB32" s="128"/>
      <c r="AC32" s="128">
        <f t="shared" si="23"/>
        <v>687.48</v>
      </c>
      <c r="AE32" s="128">
        <f t="shared" si="24"/>
        <v>3265.53</v>
      </c>
      <c r="AF32" s="213"/>
      <c r="AG32" s="177">
        <f>G32*$C$175*E32*(References!$D$61/References!$H$64)</f>
        <v>0.66564094484908864</v>
      </c>
      <c r="AH32" s="213">
        <f t="shared" si="25"/>
        <v>0</v>
      </c>
    </row>
    <row r="33" spans="1:34" s="65" customFormat="1">
      <c r="A33" s="265"/>
      <c r="B33" s="49">
        <v>27</v>
      </c>
      <c r="C33" s="116" t="s">
        <v>169</v>
      </c>
      <c r="D33" s="115">
        <f>'Consolidated Cust Cnt'!D83</f>
        <v>12</v>
      </c>
      <c r="E33" s="73">
        <f>References!$C$11</f>
        <v>4.333333333333333</v>
      </c>
      <c r="F33" s="72">
        <f t="shared" si="4"/>
        <v>52</v>
      </c>
      <c r="G33" s="72">
        <f>References!C21</f>
        <v>97</v>
      </c>
      <c r="H33" s="72">
        <f t="shared" si="16"/>
        <v>5044</v>
      </c>
      <c r="I33" s="48">
        <f t="shared" si="17"/>
        <v>4013.917303739197</v>
      </c>
      <c r="J33" s="71">
        <f>(References!$D$61*I33)</f>
        <v>7.8271387422914636</v>
      </c>
      <c r="K33" s="71">
        <f>J33/References!$H$64</f>
        <v>7.9876913381890642</v>
      </c>
      <c r="L33" s="71">
        <f t="shared" si="26"/>
        <v>0.66564094484908864</v>
      </c>
      <c r="M33" s="95">
        <f>'Proposed Rates'!C61</f>
        <v>58.04</v>
      </c>
      <c r="N33" s="71">
        <f t="shared" si="18"/>
        <v>58.705640944849087</v>
      </c>
      <c r="O33" s="71">
        <f>'Proposed Rates'!E61</f>
        <v>58.71</v>
      </c>
      <c r="P33" s="71">
        <f t="shared" si="27"/>
        <v>696.48</v>
      </c>
      <c r="Q33" s="76">
        <f>D33*N33</f>
        <v>704.46769133818907</v>
      </c>
      <c r="R33" s="171">
        <f t="shared" si="19"/>
        <v>7.9876913381890517</v>
      </c>
      <c r="S33" s="168"/>
      <c r="T33" s="128">
        <f>'Consolidated Cust Cnt'!B83</f>
        <v>12</v>
      </c>
      <c r="U33" s="128">
        <f t="shared" si="20"/>
        <v>7.9876913381890642</v>
      </c>
      <c r="V33" s="128"/>
      <c r="W33" s="128">
        <f>'Consolidated Cust Cnt'!C83</f>
        <v>0</v>
      </c>
      <c r="X33" s="128">
        <f t="shared" si="21"/>
        <v>0</v>
      </c>
      <c r="Y33" s="128"/>
      <c r="Z33" s="128">
        <f t="shared" si="6"/>
        <v>7.9876913381890642</v>
      </c>
      <c r="AA33" s="128">
        <f t="shared" si="22"/>
        <v>696.48</v>
      </c>
      <c r="AB33" s="128"/>
      <c r="AC33" s="128">
        <f t="shared" si="23"/>
        <v>0</v>
      </c>
      <c r="AE33" s="128">
        <f t="shared" si="24"/>
        <v>696.48</v>
      </c>
      <c r="AF33" s="213"/>
      <c r="AG33" s="177">
        <f>G33*$C$175*E33*(References!$D$61/References!$H$64)</f>
        <v>0.66564094484908864</v>
      </c>
      <c r="AH33" s="213">
        <f t="shared" si="25"/>
        <v>0</v>
      </c>
    </row>
    <row r="34" spans="1:34" s="65" customFormat="1">
      <c r="A34" s="265"/>
      <c r="B34" s="49">
        <v>27</v>
      </c>
      <c r="C34" s="116" t="s">
        <v>171</v>
      </c>
      <c r="D34" s="115">
        <f>'Consolidated Cust Cnt'!D85</f>
        <v>11</v>
      </c>
      <c r="E34" s="73">
        <v>1</v>
      </c>
      <c r="F34" s="72">
        <f t="shared" si="4"/>
        <v>11</v>
      </c>
      <c r="G34" s="122">
        <v>40</v>
      </c>
      <c r="H34" s="122">
        <f t="shared" si="16"/>
        <v>440</v>
      </c>
      <c r="I34" s="48">
        <f t="shared" si="17"/>
        <v>350.14346027859767</v>
      </c>
      <c r="J34" s="71">
        <f>(References!$D$61*I34)</f>
        <v>0.68277974754326798</v>
      </c>
      <c r="K34" s="71">
        <f>J34/References!$H$64</f>
        <v>0.69678512862870501</v>
      </c>
      <c r="L34" s="71">
        <f t="shared" ref="L34" si="30">K34/F34</f>
        <v>6.3344102602609545E-2</v>
      </c>
      <c r="M34" s="95">
        <f>'Proposed Rates'!C8</f>
        <v>7.75</v>
      </c>
      <c r="N34" s="71">
        <f t="shared" si="18"/>
        <v>7.8133441026026098</v>
      </c>
      <c r="O34" s="71">
        <f>'Proposed Rates'!E8</f>
        <v>7.8038424872122185</v>
      </c>
      <c r="P34" s="71">
        <f>F34*M34</f>
        <v>85.25</v>
      </c>
      <c r="Q34" s="76">
        <f t="shared" ref="Q34:Q39" si="31">F34*N34</f>
        <v>85.946785128628704</v>
      </c>
      <c r="R34" s="171">
        <f t="shared" si="19"/>
        <v>0.69678512862870434</v>
      </c>
      <c r="S34" s="168"/>
      <c r="T34" s="128">
        <f>'Consolidated Cust Cnt'!B85</f>
        <v>11</v>
      </c>
      <c r="U34" s="128">
        <f>L34*T34*E34</f>
        <v>0.69678512862870501</v>
      </c>
      <c r="V34" s="128"/>
      <c r="W34" s="128">
        <f>'Consolidated Cust Cnt'!C85</f>
        <v>0</v>
      </c>
      <c r="X34" s="128">
        <f>W34*L34*E34</f>
        <v>0</v>
      </c>
      <c r="Y34" s="128"/>
      <c r="Z34" s="128">
        <f t="shared" si="6"/>
        <v>0.69678512862870501</v>
      </c>
      <c r="AA34" s="128">
        <f>T34*M34*References!C$11</f>
        <v>369.41666666666663</v>
      </c>
      <c r="AB34" s="128"/>
      <c r="AC34" s="128">
        <f>W34*M34*References!C$11</f>
        <v>0</v>
      </c>
      <c r="AE34" s="128">
        <f t="shared" si="24"/>
        <v>369.41666666666663</v>
      </c>
      <c r="AF34" s="213"/>
      <c r="AG34" s="177">
        <f>G34*$C$175*E34*(References!$D$61/References!$H$64)</f>
        <v>6.3344102602609545E-2</v>
      </c>
      <c r="AH34" s="213">
        <f t="shared" si="25"/>
        <v>0</v>
      </c>
    </row>
    <row r="35" spans="1:34" s="65" customFormat="1">
      <c r="A35" s="265"/>
      <c r="B35" s="49">
        <v>29</v>
      </c>
      <c r="C35" s="116" t="s">
        <v>172</v>
      </c>
      <c r="D35" s="115">
        <f>'Consolidated Cust Cnt'!D251</f>
        <v>13454.000000000002</v>
      </c>
      <c r="E35" s="73">
        <f>References!$C$14</f>
        <v>1</v>
      </c>
      <c r="F35" s="72">
        <f t="shared" si="4"/>
        <v>13454.000000000002</v>
      </c>
      <c r="G35" s="72">
        <f>References!C28</f>
        <v>34</v>
      </c>
      <c r="H35" s="72">
        <f t="shared" si="16"/>
        <v>457436.00000000006</v>
      </c>
      <c r="I35" s="48">
        <f t="shared" si="17"/>
        <v>364018.6906727287</v>
      </c>
      <c r="J35" s="71">
        <f>(References!$D$61*I35)</f>
        <v>709.83644681182363</v>
      </c>
      <c r="K35" s="71">
        <f>J35/References!$H$64</f>
        <v>724.39682295318266</v>
      </c>
      <c r="L35" s="71">
        <f t="shared" si="26"/>
        <v>5.3842487212218119E-2</v>
      </c>
      <c r="M35" s="95">
        <f>'Proposed Rates'!C89</f>
        <v>3.97</v>
      </c>
      <c r="N35" s="71">
        <f t="shared" si="18"/>
        <v>4.0238424872122183</v>
      </c>
      <c r="O35" s="71">
        <f>'Proposed Rates'!E89</f>
        <v>4.0200000000000005</v>
      </c>
      <c r="P35" s="71">
        <f>F35*M35</f>
        <v>53412.380000000012</v>
      </c>
      <c r="Q35" s="76">
        <f t="shared" si="31"/>
        <v>54136.776822953194</v>
      </c>
      <c r="R35" s="171">
        <f t="shared" si="19"/>
        <v>724.39682295318198</v>
      </c>
      <c r="S35" s="168"/>
      <c r="T35" s="128">
        <f>'Consolidated Cust Cnt'!B251</f>
        <v>11824.000000000002</v>
      </c>
      <c r="U35" s="128">
        <f>L35*T35</f>
        <v>636.63356879726712</v>
      </c>
      <c r="V35" s="128"/>
      <c r="W35" s="128">
        <f>'Consolidated Cust Cnt'!C251</f>
        <v>1629.9999999999998</v>
      </c>
      <c r="X35" s="128">
        <f>W35*L35</f>
        <v>87.763254155915519</v>
      </c>
      <c r="Y35" s="128"/>
      <c r="Z35" s="128">
        <f t="shared" si="6"/>
        <v>724.39682295318266</v>
      </c>
      <c r="AA35" s="128">
        <f t="shared" si="22"/>
        <v>46941.280000000006</v>
      </c>
      <c r="AB35" s="128"/>
      <c r="AC35" s="128">
        <f t="shared" si="23"/>
        <v>6471.0999999999995</v>
      </c>
      <c r="AE35" s="128">
        <f t="shared" si="24"/>
        <v>53412.380000000005</v>
      </c>
      <c r="AF35" s="213"/>
      <c r="AG35" s="177">
        <f>G35*$C$175*E35*(References!$D$61/References!$H$64)</f>
        <v>5.3842487212218119E-2</v>
      </c>
      <c r="AH35" s="213">
        <f t="shared" si="25"/>
        <v>0</v>
      </c>
    </row>
    <row r="36" spans="1:34" s="65" customFormat="1">
      <c r="A36" s="265"/>
      <c r="B36" s="49">
        <v>29</v>
      </c>
      <c r="C36" s="116" t="s">
        <v>173</v>
      </c>
      <c r="D36" s="115">
        <f>'Consolidated Cust Cnt'!D252</f>
        <v>46452.036649214657</v>
      </c>
      <c r="E36" s="73">
        <f>References!$C$14</f>
        <v>1</v>
      </c>
      <c r="F36" s="72">
        <f t="shared" si="4"/>
        <v>46452.036649214657</v>
      </c>
      <c r="G36" s="72">
        <f>References!C28</f>
        <v>34</v>
      </c>
      <c r="H36" s="72">
        <f t="shared" si="16"/>
        <v>1579369.2460732984</v>
      </c>
      <c r="I36" s="48">
        <f t="shared" si="17"/>
        <v>1256831.3929038744</v>
      </c>
      <c r="J36" s="71">
        <f>(References!$D$61*I36)</f>
        <v>2450.8212161625643</v>
      </c>
      <c r="K36" s="71">
        <f>J36/References!$H$64</f>
        <v>2501.0931892668277</v>
      </c>
      <c r="L36" s="71">
        <f t="shared" si="26"/>
        <v>5.3842487212218119E-2</v>
      </c>
      <c r="M36" s="95">
        <f>'Proposed Rates'!C89</f>
        <v>3.97</v>
      </c>
      <c r="N36" s="71">
        <f t="shared" si="18"/>
        <v>4.0238424872122183</v>
      </c>
      <c r="O36" s="71">
        <f>'Proposed Rates'!E89</f>
        <v>4.0200000000000005</v>
      </c>
      <c r="P36" s="71">
        <f>F36*M36</f>
        <v>184414.58549738218</v>
      </c>
      <c r="Q36" s="76">
        <f t="shared" si="31"/>
        <v>186915.67868664901</v>
      </c>
      <c r="R36" s="171">
        <f t="shared" si="19"/>
        <v>2501.0931892668304</v>
      </c>
      <c r="S36" s="168"/>
      <c r="T36" s="128">
        <f>'Consolidated Cust Cnt'!B252</f>
        <v>41547.036649214657</v>
      </c>
      <c r="U36" s="128">
        <f>L36*T36</f>
        <v>2236.9957894908976</v>
      </c>
      <c r="V36" s="128"/>
      <c r="W36" s="128">
        <f>'Consolidated Cust Cnt'!C252</f>
        <v>4905.0000000000009</v>
      </c>
      <c r="X36" s="128">
        <f>W36*L36</f>
        <v>264.09739977592994</v>
      </c>
      <c r="Y36" s="128"/>
      <c r="Z36" s="128">
        <f t="shared" si="6"/>
        <v>2501.0931892668277</v>
      </c>
      <c r="AA36" s="128">
        <f t="shared" si="22"/>
        <v>164941.73549738221</v>
      </c>
      <c r="AB36" s="128"/>
      <c r="AC36" s="128">
        <f t="shared" si="23"/>
        <v>19472.850000000006</v>
      </c>
      <c r="AE36" s="128">
        <f t="shared" si="24"/>
        <v>184414.58549738221</v>
      </c>
      <c r="AF36" s="213"/>
      <c r="AG36" s="177">
        <f>G36*$C$175*E36*(References!$D$61/References!$H$64)</f>
        <v>5.3842487212218119E-2</v>
      </c>
      <c r="AH36" s="213">
        <f t="shared" si="25"/>
        <v>0</v>
      </c>
    </row>
    <row r="37" spans="1:34" s="65" customFormat="1">
      <c r="A37" s="265"/>
      <c r="B37" s="49">
        <v>30</v>
      </c>
      <c r="C37" s="116" t="s">
        <v>174</v>
      </c>
      <c r="D37" s="141">
        <f>'Consolidated Cust Cnt'!D88</f>
        <v>3687.8870791630015</v>
      </c>
      <c r="E37" s="73">
        <f>References!$C$11</f>
        <v>4.333333333333333</v>
      </c>
      <c r="F37" s="72">
        <f t="shared" si="4"/>
        <v>15980.844009706339</v>
      </c>
      <c r="G37" s="72">
        <f>References!$C$32</f>
        <v>175</v>
      </c>
      <c r="H37" s="72">
        <f>F37*G37</f>
        <v>2796647.7016986096</v>
      </c>
      <c r="I37" s="48">
        <f t="shared" si="17"/>
        <v>2225517.9623930422</v>
      </c>
      <c r="J37" s="71">
        <f>(References!$D$61*I37)</f>
        <v>4339.7600266664485</v>
      </c>
      <c r="K37" s="71">
        <f>J37/References!$H$64</f>
        <v>4428.7784739937224</v>
      </c>
      <c r="L37" s="71">
        <f>K37/F37</f>
        <v>0.2771304488864168</v>
      </c>
      <c r="M37" s="71">
        <f>'Proposed Rates'!C97</f>
        <v>25.46</v>
      </c>
      <c r="N37" s="71">
        <f t="shared" si="18"/>
        <v>25.737130448886418</v>
      </c>
      <c r="O37" s="71">
        <f>'Proposed Rates'!E97</f>
        <v>25.740000000000002</v>
      </c>
      <c r="P37" s="71">
        <f>F37*M37</f>
        <v>406872.28848712344</v>
      </c>
      <c r="Q37" s="76">
        <f t="shared" si="31"/>
        <v>411301.06696111715</v>
      </c>
      <c r="R37" s="171">
        <f t="shared" si="19"/>
        <v>4428.7784739937051</v>
      </c>
      <c r="S37" s="168"/>
      <c r="T37" s="128">
        <f>'Consolidated Cust Cnt'!B88</f>
        <v>3119.6526536042479</v>
      </c>
      <c r="U37" s="128">
        <f>L37*T37*E37</f>
        <v>3746.3865411398683</v>
      </c>
      <c r="V37" s="128"/>
      <c r="W37" s="128">
        <f>'Consolidated Cust Cnt'!C88</f>
        <v>568.23442555875363</v>
      </c>
      <c r="X37" s="128">
        <f t="shared" ref="X37:X56" si="32">W37*L37*E37</f>
        <v>682.39193285385454</v>
      </c>
      <c r="Y37" s="128"/>
      <c r="Z37" s="128">
        <f t="shared" si="6"/>
        <v>4428.7784739937233</v>
      </c>
      <c r="AA37" s="128">
        <f>T37*M37*References!C$11</f>
        <v>344180.87842997798</v>
      </c>
      <c r="AB37" s="128"/>
      <c r="AC37" s="128">
        <f>W37*M37*References!C$11</f>
        <v>62691.410057145426</v>
      </c>
      <c r="AE37" s="128">
        <f t="shared" si="24"/>
        <v>406872.28848712338</v>
      </c>
      <c r="AF37" s="213"/>
      <c r="AG37" s="177">
        <f>G37*$C$175*(References!$D$61/References!$H$64)</f>
        <v>0.27713044888641675</v>
      </c>
      <c r="AH37" s="213">
        <f t="shared" si="25"/>
        <v>0</v>
      </c>
    </row>
    <row r="38" spans="1:34" s="65" customFormat="1">
      <c r="A38" s="265"/>
      <c r="B38" s="49">
        <v>30</v>
      </c>
      <c r="C38" s="116" t="s">
        <v>175</v>
      </c>
      <c r="D38" s="141">
        <f>'Consolidated Cust Cnt'!D90</f>
        <v>666.74448442060964</v>
      </c>
      <c r="E38" s="73">
        <f>References!$C$11</f>
        <v>4.333333333333333</v>
      </c>
      <c r="F38" s="72">
        <f t="shared" si="4"/>
        <v>2889.2260991559747</v>
      </c>
      <c r="G38" s="72">
        <f>References!$C$33</f>
        <v>250</v>
      </c>
      <c r="H38" s="72">
        <f t="shared" ref="H38:H56" si="33">F38*G38</f>
        <v>722306.52478899364</v>
      </c>
      <c r="I38" s="48">
        <f t="shared" si="17"/>
        <v>574797.51357142488</v>
      </c>
      <c r="J38" s="71">
        <f>(References!$D$61*I38)</f>
        <v>1120.8551514642827</v>
      </c>
      <c r="K38" s="71">
        <f>J38/References!$H$64</f>
        <v>1143.8464654192087</v>
      </c>
      <c r="L38" s="71">
        <f t="shared" ref="L38:L101" si="34">K38/F38</f>
        <v>0.39590064126630964</v>
      </c>
      <c r="M38" s="71">
        <f>'Proposed Rates'!C98</f>
        <v>35.72</v>
      </c>
      <c r="N38" s="71">
        <f t="shared" ref="N38:N56" si="35">L38+M38</f>
        <v>36.115900641266308</v>
      </c>
      <c r="O38" s="71">
        <f>'Proposed Rates'!E98</f>
        <v>36.119999999999997</v>
      </c>
      <c r="P38" s="71">
        <f t="shared" ref="P38:P56" si="36">F38*M38</f>
        <v>103203.15626185141</v>
      </c>
      <c r="Q38" s="76">
        <f t="shared" si="31"/>
        <v>104347.00272727062</v>
      </c>
      <c r="R38" s="171">
        <f t="shared" si="19"/>
        <v>1143.8464654192067</v>
      </c>
      <c r="S38" s="168"/>
      <c r="T38" s="128">
        <f>'Consolidated Cust Cnt'!B90</f>
        <v>475.49450112179204</v>
      </c>
      <c r="U38" s="128">
        <f>L38*T38*E38</f>
        <v>815.74383762179298</v>
      </c>
      <c r="V38" s="128"/>
      <c r="W38" s="128">
        <f>'Consolidated Cust Cnt'!C90</f>
        <v>191.24998329881757</v>
      </c>
      <c r="X38" s="128">
        <f t="shared" si="32"/>
        <v>328.10262779741583</v>
      </c>
      <c r="Y38" s="128"/>
      <c r="Z38" s="128">
        <f t="shared" si="6"/>
        <v>1143.8464654192089</v>
      </c>
      <c r="AA38" s="128">
        <f>T38*M38*$E38</f>
        <v>73600.208846971771</v>
      </c>
      <c r="AB38" s="128"/>
      <c r="AC38" s="128">
        <f>W38*M38*$E38</f>
        <v>29602.94741487964</v>
      </c>
      <c r="AE38" s="128">
        <f t="shared" si="24"/>
        <v>103203.15626185141</v>
      </c>
      <c r="AF38" s="213"/>
      <c r="AG38" s="177">
        <f>G38*$C$175*(References!$D$61/References!$H$64)</f>
        <v>0.39590064126630964</v>
      </c>
      <c r="AH38" s="213">
        <f t="shared" si="25"/>
        <v>0</v>
      </c>
    </row>
    <row r="39" spans="1:34" s="65" customFormat="1">
      <c r="A39" s="265"/>
      <c r="B39" s="49" t="s">
        <v>234</v>
      </c>
      <c r="C39" s="116" t="s">
        <v>176</v>
      </c>
      <c r="D39" s="141">
        <f>'Consolidated Cust Cnt'!D91</f>
        <v>24.000000000000004</v>
      </c>
      <c r="E39" s="73">
        <f>References!$C$10</f>
        <v>8.6666666666666661</v>
      </c>
      <c r="F39" s="72">
        <f t="shared" si="4"/>
        <v>208.00000000000003</v>
      </c>
      <c r="G39" s="72">
        <f>References!$C$33</f>
        <v>250</v>
      </c>
      <c r="H39" s="72">
        <f t="shared" si="33"/>
        <v>52000.000000000007</v>
      </c>
      <c r="I39" s="48">
        <f t="shared" si="17"/>
        <v>41380.590760197912</v>
      </c>
      <c r="J39" s="71">
        <f>(References!$D$61*I39)</f>
        <v>80.692151982386235</v>
      </c>
      <c r="K39" s="71">
        <f>J39/References!$H$64</f>
        <v>82.347333383392424</v>
      </c>
      <c r="L39" s="71">
        <f t="shared" si="34"/>
        <v>0.39590064126630969</v>
      </c>
      <c r="M39" s="71">
        <f>M38</f>
        <v>35.72</v>
      </c>
      <c r="N39" s="71">
        <f t="shared" si="35"/>
        <v>36.115900641266308</v>
      </c>
      <c r="O39" s="71">
        <f>'Proposed Rates'!E98</f>
        <v>36.119999999999997</v>
      </c>
      <c r="P39" s="71">
        <f t="shared" si="36"/>
        <v>7429.7600000000011</v>
      </c>
      <c r="Q39" s="76">
        <f t="shared" si="31"/>
        <v>7512.1073333833929</v>
      </c>
      <c r="R39" s="171">
        <f t="shared" si="19"/>
        <v>82.347333383391742</v>
      </c>
      <c r="S39" s="168"/>
      <c r="T39" s="128">
        <f>'Consolidated Cust Cnt'!B91</f>
        <v>0</v>
      </c>
      <c r="U39" s="128">
        <f>L39*T39*References!D$11</f>
        <v>0</v>
      </c>
      <c r="V39" s="128"/>
      <c r="W39" s="128">
        <f>'Consolidated Cust Cnt'!C91</f>
        <v>24.000000000000004</v>
      </c>
      <c r="X39" s="128">
        <f t="shared" si="32"/>
        <v>82.347333383392424</v>
      </c>
      <c r="Y39" s="128"/>
      <c r="Z39" s="128">
        <f t="shared" si="6"/>
        <v>82.347333383392424</v>
      </c>
      <c r="AA39" s="128">
        <f>T39*M39*$E39</f>
        <v>0</v>
      </c>
      <c r="AB39" s="128"/>
      <c r="AC39" s="128">
        <f>W39*M39*$E39</f>
        <v>7429.76</v>
      </c>
      <c r="AE39" s="128">
        <f t="shared" si="24"/>
        <v>7429.76</v>
      </c>
      <c r="AF39" s="213"/>
      <c r="AG39" s="177">
        <f>G39*$C$175*(References!$D$61/References!$H$64)</f>
        <v>0.39590064126630964</v>
      </c>
      <c r="AH39" s="213">
        <f t="shared" si="25"/>
        <v>0</v>
      </c>
    </row>
    <row r="40" spans="1:34" s="65" customFormat="1">
      <c r="A40" s="265"/>
      <c r="B40" s="49" t="s">
        <v>234</v>
      </c>
      <c r="C40" s="114" t="s">
        <v>177</v>
      </c>
      <c r="D40" s="141">
        <f>'Consolidated Cust Cnt'!D92</f>
        <v>0</v>
      </c>
      <c r="E40" s="73">
        <f>References!$C$9</f>
        <v>13</v>
      </c>
      <c r="F40" s="72">
        <f t="shared" si="4"/>
        <v>0</v>
      </c>
      <c r="G40" s="72">
        <f>References!$C$33</f>
        <v>250</v>
      </c>
      <c r="H40" s="72">
        <f t="shared" si="33"/>
        <v>0</v>
      </c>
      <c r="I40" s="48">
        <f t="shared" si="17"/>
        <v>0</v>
      </c>
      <c r="J40" s="71">
        <f>(References!$D$61*I40)</f>
        <v>0</v>
      </c>
      <c r="K40" s="71">
        <f>J40/References!$H$64</f>
        <v>0</v>
      </c>
      <c r="L40" s="71">
        <f>L39</f>
        <v>0.39590064126630969</v>
      </c>
      <c r="M40" s="71">
        <f>M38</f>
        <v>35.72</v>
      </c>
      <c r="N40" s="71">
        <f t="shared" si="35"/>
        <v>36.115900641266308</v>
      </c>
      <c r="O40" s="71">
        <f>'Proposed Rates'!E98</f>
        <v>36.119999999999997</v>
      </c>
      <c r="P40" s="71">
        <f t="shared" si="36"/>
        <v>0</v>
      </c>
      <c r="Q40" s="76"/>
      <c r="R40" s="171">
        <f t="shared" si="19"/>
        <v>0</v>
      </c>
      <c r="S40" s="168"/>
      <c r="T40" s="128">
        <f>'Consolidated Cust Cnt'!B92</f>
        <v>0</v>
      </c>
      <c r="U40" s="128">
        <f>L40*T40*References!E$11</f>
        <v>0</v>
      </c>
      <c r="V40" s="128"/>
      <c r="W40" s="128">
        <f>'Consolidated Cust Cnt'!C92</f>
        <v>0</v>
      </c>
      <c r="X40" s="128">
        <f t="shared" si="32"/>
        <v>0</v>
      </c>
      <c r="Y40" s="128"/>
      <c r="Z40" s="128">
        <f t="shared" si="6"/>
        <v>0</v>
      </c>
      <c r="AA40" s="128">
        <f t="shared" si="22"/>
        <v>0</v>
      </c>
      <c r="AB40" s="128"/>
      <c r="AC40" s="128">
        <f t="shared" si="23"/>
        <v>0</v>
      </c>
      <c r="AE40" s="128">
        <f t="shared" si="24"/>
        <v>0</v>
      </c>
      <c r="AF40" s="213"/>
      <c r="AG40" s="177">
        <f>G40*$C$175*(References!$D$61/References!$H$64)</f>
        <v>0.39590064126630964</v>
      </c>
      <c r="AH40" s="213">
        <f t="shared" si="25"/>
        <v>0</v>
      </c>
    </row>
    <row r="41" spans="1:34" s="65" customFormat="1">
      <c r="A41" s="265"/>
      <c r="B41" s="49">
        <v>30</v>
      </c>
      <c r="C41" s="116" t="s">
        <v>178</v>
      </c>
      <c r="D41" s="141">
        <f>'Consolidated Cust Cnt'!D93</f>
        <v>1743.7916726097046</v>
      </c>
      <c r="E41" s="73">
        <f>References!$C$11</f>
        <v>4.333333333333333</v>
      </c>
      <c r="F41" s="72">
        <f t="shared" si="4"/>
        <v>7556.4305813087194</v>
      </c>
      <c r="G41" s="72">
        <f>References!$C$34</f>
        <v>324</v>
      </c>
      <c r="H41" s="72">
        <f t="shared" si="33"/>
        <v>2448283.5083440249</v>
      </c>
      <c r="I41" s="48">
        <f t="shared" si="17"/>
        <v>1948296.498533186</v>
      </c>
      <c r="J41" s="71">
        <f>(References!$D$61*I41)</f>
        <v>3799.1781721397269</v>
      </c>
      <c r="K41" s="71">
        <f>J41/References!$H$64</f>
        <v>3877.1080438205195</v>
      </c>
      <c r="L41" s="71">
        <f t="shared" si="34"/>
        <v>0.5130872310811373</v>
      </c>
      <c r="M41" s="71">
        <f>'Proposed Rates'!C99</f>
        <v>45.07</v>
      </c>
      <c r="N41" s="71">
        <f t="shared" si="35"/>
        <v>45.583087231081137</v>
      </c>
      <c r="O41" s="71">
        <f>'Proposed Rates'!$E$99</f>
        <v>45.58</v>
      </c>
      <c r="P41" s="71">
        <f t="shared" si="36"/>
        <v>340568.32629958401</v>
      </c>
      <c r="Q41" s="76">
        <f t="shared" ref="Q41:Q104" si="37">F41*N41</f>
        <v>344445.43434340449</v>
      </c>
      <c r="R41" s="171">
        <f t="shared" si="19"/>
        <v>3877.1080438204808</v>
      </c>
      <c r="S41" s="168"/>
      <c r="T41" s="128">
        <f>'Consolidated Cust Cnt'!B93</f>
        <v>937.74179118926463</v>
      </c>
      <c r="U41" s="128">
        <f t="shared" ref="U41:U56" si="38">L41*T41*E41</f>
        <v>2084.9544694782517</v>
      </c>
      <c r="V41" s="128"/>
      <c r="W41" s="128">
        <f>'Consolidated Cust Cnt'!C93</f>
        <v>806.0498814204401</v>
      </c>
      <c r="X41" s="128">
        <f t="shared" si="32"/>
        <v>1792.153574342268</v>
      </c>
      <c r="Y41" s="128"/>
      <c r="Z41" s="128">
        <f t="shared" si="6"/>
        <v>3877.1080438205199</v>
      </c>
      <c r="AA41" s="128">
        <f t="shared" ref="AA41:AA48" si="39">T41*M41*$E41</f>
        <v>183144.09762523399</v>
      </c>
      <c r="AB41" s="128"/>
      <c r="AC41" s="128">
        <f t="shared" ref="AC41:AC48" si="40">W41*M41*$E41</f>
        <v>157424.22867435002</v>
      </c>
      <c r="AE41" s="128">
        <f t="shared" si="24"/>
        <v>340568.32629958401</v>
      </c>
      <c r="AF41" s="213"/>
      <c r="AG41" s="177">
        <f>G41*$C$175*(References!$D$61/References!$H$64)</f>
        <v>0.51308723108113741</v>
      </c>
      <c r="AH41" s="213">
        <f t="shared" si="25"/>
        <v>0</v>
      </c>
    </row>
    <row r="42" spans="1:34" s="65" customFormat="1">
      <c r="A42" s="265"/>
      <c r="B42" s="49" t="s">
        <v>234</v>
      </c>
      <c r="C42" s="116" t="s">
        <v>179</v>
      </c>
      <c r="D42" s="141">
        <f>'Consolidated Cust Cnt'!D94</f>
        <v>122.75001346801346</v>
      </c>
      <c r="E42" s="73">
        <f>References!$C$10</f>
        <v>8.6666666666666661</v>
      </c>
      <c r="F42" s="72">
        <f t="shared" si="4"/>
        <v>1063.8334500561166</v>
      </c>
      <c r="G42" s="72">
        <f>References!$C$34</f>
        <v>324</v>
      </c>
      <c r="H42" s="72">
        <f t="shared" si="33"/>
        <v>344682.03781818179</v>
      </c>
      <c r="I42" s="48">
        <f t="shared" si="17"/>
        <v>274291.27594894689</v>
      </c>
      <c r="J42" s="71">
        <f>(References!$D$61*I42)</f>
        <v>534.86798810044843</v>
      </c>
      <c r="K42" s="71">
        <f>J42/References!$H$64</f>
        <v>545.83935922078626</v>
      </c>
      <c r="L42" s="71">
        <f t="shared" si="34"/>
        <v>0.5130872310811373</v>
      </c>
      <c r="M42" s="71">
        <f>M41</f>
        <v>45.07</v>
      </c>
      <c r="N42" s="71">
        <f t="shared" si="35"/>
        <v>45.583087231081137</v>
      </c>
      <c r="O42" s="71">
        <f>'Proposed Rates'!$E$99</f>
        <v>45.58</v>
      </c>
      <c r="P42" s="71">
        <f t="shared" si="36"/>
        <v>47946.973594029172</v>
      </c>
      <c r="Q42" s="76">
        <f t="shared" si="37"/>
        <v>48492.812953249959</v>
      </c>
      <c r="R42" s="171">
        <f t="shared" si="19"/>
        <v>545.83935922078672</v>
      </c>
      <c r="S42" s="168"/>
      <c r="T42" s="128">
        <f>'Consolidated Cust Cnt'!B94</f>
        <v>50.750013468013471</v>
      </c>
      <c r="U42" s="128">
        <f t="shared" si="38"/>
        <v>225.6729270261566</v>
      </c>
      <c r="V42" s="128"/>
      <c r="W42" s="128">
        <f>'Consolidated Cust Cnt'!C94</f>
        <v>72</v>
      </c>
      <c r="X42" s="128">
        <f t="shared" si="32"/>
        <v>320.16643219462964</v>
      </c>
      <c r="Y42" s="128"/>
      <c r="Z42" s="128">
        <f t="shared" si="6"/>
        <v>545.83935922078626</v>
      </c>
      <c r="AA42" s="128">
        <f t="shared" si="39"/>
        <v>19823.293594029179</v>
      </c>
      <c r="AB42" s="128"/>
      <c r="AC42" s="128">
        <f t="shared" si="40"/>
        <v>28123.679999999997</v>
      </c>
      <c r="AE42" s="128">
        <f t="shared" si="24"/>
        <v>47946.973594029172</v>
      </c>
      <c r="AF42" s="213"/>
      <c r="AG42" s="177">
        <f>G42*$C$175*(References!$D$61/References!$H$64)</f>
        <v>0.51308723108113741</v>
      </c>
      <c r="AH42" s="213">
        <f t="shared" si="25"/>
        <v>0</v>
      </c>
    </row>
    <row r="43" spans="1:34" s="65" customFormat="1">
      <c r="A43" s="265"/>
      <c r="B43" s="49" t="s">
        <v>234</v>
      </c>
      <c r="C43" s="116" t="s">
        <v>180</v>
      </c>
      <c r="D43" s="141">
        <f>'Consolidated Cust Cnt'!D95</f>
        <v>22.58066369774458</v>
      </c>
      <c r="E43" s="73">
        <f>References!$C$9</f>
        <v>13</v>
      </c>
      <c r="F43" s="72">
        <f t="shared" si="4"/>
        <v>293.54862807067951</v>
      </c>
      <c r="G43" s="72">
        <f>References!$C$34</f>
        <v>324</v>
      </c>
      <c r="H43" s="72">
        <f t="shared" si="33"/>
        <v>95109.755494900164</v>
      </c>
      <c r="I43" s="48">
        <f t="shared" si="17"/>
        <v>75686.497489172078</v>
      </c>
      <c r="J43" s="71">
        <f>(References!$D$61*I43)</f>
        <v>147.5886701038861</v>
      </c>
      <c r="K43" s="71">
        <f>J43/References!$H$64</f>
        <v>150.61605276445158</v>
      </c>
      <c r="L43" s="71">
        <f t="shared" si="34"/>
        <v>0.5130872310811373</v>
      </c>
      <c r="M43" s="71">
        <f>M41</f>
        <v>45.07</v>
      </c>
      <c r="N43" s="71">
        <f t="shared" si="35"/>
        <v>45.583087231081137</v>
      </c>
      <c r="O43" s="71">
        <f>'Proposed Rates'!$E$99</f>
        <v>45.58</v>
      </c>
      <c r="P43" s="71">
        <f t="shared" si="36"/>
        <v>13230.236667145526</v>
      </c>
      <c r="Q43" s="76">
        <f t="shared" si="37"/>
        <v>13380.852719909977</v>
      </c>
      <c r="R43" s="171">
        <f t="shared" si="19"/>
        <v>150.61605276445152</v>
      </c>
      <c r="S43" s="168"/>
      <c r="T43" s="128">
        <f>'Consolidated Cust Cnt'!B95</f>
        <v>22.58066369774458</v>
      </c>
      <c r="U43" s="128">
        <f t="shared" si="38"/>
        <v>150.61605276445158</v>
      </c>
      <c r="V43" s="128"/>
      <c r="W43" s="128">
        <f>'Consolidated Cust Cnt'!C95</f>
        <v>0</v>
      </c>
      <c r="X43" s="128">
        <f t="shared" si="32"/>
        <v>0</v>
      </c>
      <c r="Y43" s="128"/>
      <c r="Z43" s="128">
        <f t="shared" si="6"/>
        <v>150.61605276445158</v>
      </c>
      <c r="AA43" s="128">
        <f t="shared" si="39"/>
        <v>13230.236667145527</v>
      </c>
      <c r="AB43" s="128"/>
      <c r="AC43" s="128">
        <f t="shared" si="40"/>
        <v>0</v>
      </c>
      <c r="AE43" s="128">
        <f t="shared" si="24"/>
        <v>13230.236667145527</v>
      </c>
      <c r="AF43" s="213"/>
      <c r="AG43" s="177">
        <f>G43*$C$175*(References!$D$61/References!$H$64)</f>
        <v>0.51308723108113741</v>
      </c>
      <c r="AH43" s="213">
        <f t="shared" si="25"/>
        <v>0</v>
      </c>
    </row>
    <row r="44" spans="1:34" s="65" customFormat="1">
      <c r="A44" s="265"/>
      <c r="B44" s="49">
        <v>30</v>
      </c>
      <c r="C44" s="116" t="s">
        <v>181</v>
      </c>
      <c r="D44" s="141">
        <f>'Consolidated Cust Cnt'!D96</f>
        <v>271.49893765724232</v>
      </c>
      <c r="E44" s="73">
        <f>References!$C$11</f>
        <v>4.333333333333333</v>
      </c>
      <c r="F44" s="72">
        <f t="shared" si="4"/>
        <v>1176.4953965147167</v>
      </c>
      <c r="G44" s="72">
        <f>References!$C$36</f>
        <v>613</v>
      </c>
      <c r="H44" s="72">
        <f t="shared" si="33"/>
        <v>721191.67806352139</v>
      </c>
      <c r="I44" s="48">
        <f t="shared" si="17"/>
        <v>573910.34018474957</v>
      </c>
      <c r="J44" s="71">
        <f>(References!$D$61*I44)</f>
        <v>1119.1251633602658</v>
      </c>
      <c r="K44" s="71">
        <f>J44/References!$H$64</f>
        <v>1142.0809912850962</v>
      </c>
      <c r="L44" s="71">
        <f t="shared" si="34"/>
        <v>0.97074837238499123</v>
      </c>
      <c r="M44" s="71">
        <f>'Proposed Rates'!C100</f>
        <v>85.72</v>
      </c>
      <c r="N44" s="71">
        <f t="shared" si="35"/>
        <v>86.690748372384988</v>
      </c>
      <c r="O44" s="71">
        <f>'Proposed Rates'!$E$100</f>
        <v>86.69</v>
      </c>
      <c r="P44" s="71">
        <f t="shared" si="36"/>
        <v>100849.18538924152</v>
      </c>
      <c r="Q44" s="76">
        <f t="shared" si="37"/>
        <v>101991.26638052661</v>
      </c>
      <c r="R44" s="171">
        <f t="shared" si="19"/>
        <v>1142.0809912850818</v>
      </c>
      <c r="S44" s="168"/>
      <c r="T44" s="128">
        <f>'Consolidated Cust Cnt'!B96</f>
        <v>230.49893765724232</v>
      </c>
      <c r="U44" s="128">
        <f t="shared" si="38"/>
        <v>969.61136379136269</v>
      </c>
      <c r="V44" s="128"/>
      <c r="W44" s="128">
        <f>'Consolidated Cust Cnt'!C96</f>
        <v>40.999999999999993</v>
      </c>
      <c r="X44" s="128">
        <f t="shared" si="32"/>
        <v>172.46962749373341</v>
      </c>
      <c r="Y44" s="128"/>
      <c r="Z44" s="128">
        <f t="shared" si="6"/>
        <v>1142.0809912850962</v>
      </c>
      <c r="AA44" s="128">
        <f t="shared" si="39"/>
        <v>85619.598722574839</v>
      </c>
      <c r="AB44" s="128"/>
      <c r="AC44" s="128">
        <f t="shared" si="40"/>
        <v>15229.586666666664</v>
      </c>
      <c r="AE44" s="128">
        <f t="shared" si="24"/>
        <v>100849.18538924151</v>
      </c>
      <c r="AF44" s="213"/>
      <c r="AG44" s="177">
        <f>G44*$C$175*(References!$D$61/References!$H$64)</f>
        <v>0.97074837238499134</v>
      </c>
      <c r="AH44" s="213">
        <f t="shared" si="25"/>
        <v>0</v>
      </c>
    </row>
    <row r="45" spans="1:34" s="65" customFormat="1">
      <c r="A45" s="265"/>
      <c r="B45" s="49" t="s">
        <v>234</v>
      </c>
      <c r="C45" s="116" t="s">
        <v>182</v>
      </c>
      <c r="D45" s="141">
        <f>'Consolidated Cust Cnt'!D97</f>
        <v>23.999971677004559</v>
      </c>
      <c r="E45" s="73">
        <f>References!$C$10</f>
        <v>8.6666666666666661</v>
      </c>
      <c r="F45" s="72">
        <f t="shared" si="4"/>
        <v>207.99975453403951</v>
      </c>
      <c r="G45" s="72">
        <f>References!$C$36</f>
        <v>613</v>
      </c>
      <c r="H45" s="72">
        <f t="shared" si="33"/>
        <v>127503.84952936623</v>
      </c>
      <c r="I45" s="48">
        <f t="shared" si="17"/>
        <v>101465.08880239532</v>
      </c>
      <c r="J45" s="71">
        <f>(References!$D$61*I45)</f>
        <v>197.8569231646716</v>
      </c>
      <c r="K45" s="71">
        <f>J45/References!$H$64</f>
        <v>201.91542317039656</v>
      </c>
      <c r="L45" s="71">
        <f t="shared" si="34"/>
        <v>0.97074837238499123</v>
      </c>
      <c r="M45" s="71">
        <f>M44</f>
        <v>85.72</v>
      </c>
      <c r="N45" s="71">
        <f t="shared" si="35"/>
        <v>86.690748372384988</v>
      </c>
      <c r="O45" s="71">
        <f>'Proposed Rates'!$E$100</f>
        <v>86.69</v>
      </c>
      <c r="P45" s="71">
        <f t="shared" si="36"/>
        <v>17829.738958657868</v>
      </c>
      <c r="Q45" s="76">
        <f t="shared" si="37"/>
        <v>18031.654381828263</v>
      </c>
      <c r="R45" s="171">
        <f t="shared" si="19"/>
        <v>201.91542317039421</v>
      </c>
      <c r="S45" s="168"/>
      <c r="T45" s="128">
        <f>'Consolidated Cust Cnt'!B97</f>
        <v>11.999971677004559</v>
      </c>
      <c r="U45" s="128">
        <f t="shared" si="38"/>
        <v>100.95759244235747</v>
      </c>
      <c r="V45" s="128"/>
      <c r="W45" s="128">
        <f>'Consolidated Cust Cnt'!C97</f>
        <v>12</v>
      </c>
      <c r="X45" s="128">
        <f t="shared" si="32"/>
        <v>100.95783072803908</v>
      </c>
      <c r="Y45" s="128"/>
      <c r="Z45" s="128">
        <f t="shared" si="6"/>
        <v>201.91542317039654</v>
      </c>
      <c r="AA45" s="128">
        <f t="shared" si="39"/>
        <v>8914.8589586578673</v>
      </c>
      <c r="AB45" s="128"/>
      <c r="AC45" s="128">
        <f t="shared" si="40"/>
        <v>8914.8799999999974</v>
      </c>
      <c r="AE45" s="128">
        <f t="shared" si="24"/>
        <v>17829.738958657865</v>
      </c>
      <c r="AF45" s="213"/>
      <c r="AG45" s="177">
        <f>G45*$C$175*(References!$D$61/References!$H$64)</f>
        <v>0.97074837238499134</v>
      </c>
      <c r="AH45" s="213">
        <f t="shared" si="25"/>
        <v>0</v>
      </c>
    </row>
    <row r="46" spans="1:34" s="65" customFormat="1">
      <c r="A46" s="265"/>
      <c r="B46" s="49">
        <v>30</v>
      </c>
      <c r="C46" s="116" t="s">
        <v>184</v>
      </c>
      <c r="D46" s="141">
        <f>'Consolidated Cust Cnt'!D99</f>
        <v>350.99915505263021</v>
      </c>
      <c r="E46" s="73">
        <f>References!$C$11</f>
        <v>4.333333333333333</v>
      </c>
      <c r="F46" s="72">
        <f t="shared" si="4"/>
        <v>1520.9963385613976</v>
      </c>
      <c r="G46" s="72">
        <f>References!$C$37</f>
        <v>840</v>
      </c>
      <c r="H46" s="72">
        <f t="shared" si="33"/>
        <v>1277636.924391574</v>
      </c>
      <c r="I46" s="48">
        <f t="shared" si="17"/>
        <v>1016718.6674685699</v>
      </c>
      <c r="J46" s="71">
        <f>(References!$D$61*I46)</f>
        <v>1982.6014015637188</v>
      </c>
      <c r="K46" s="71">
        <f>J46/References!$H$64</f>
        <v>2023.2691106885588</v>
      </c>
      <c r="L46" s="71">
        <f t="shared" si="34"/>
        <v>1.3302261546548004</v>
      </c>
      <c r="M46" s="71">
        <f>'Proposed Rates'!C101</f>
        <v>120.57</v>
      </c>
      <c r="N46" s="71">
        <f t="shared" si="35"/>
        <v>121.90022615465479</v>
      </c>
      <c r="O46" s="71">
        <f>'Proposed Rates'!$E$101</f>
        <v>121.89999999999999</v>
      </c>
      <c r="P46" s="71">
        <f t="shared" si="36"/>
        <v>183386.5285403477</v>
      </c>
      <c r="Q46" s="76">
        <f t="shared" si="37"/>
        <v>185409.79765103624</v>
      </c>
      <c r="R46" s="171">
        <f t="shared" si="19"/>
        <v>2023.2691106885322</v>
      </c>
      <c r="S46" s="168"/>
      <c r="T46" s="128">
        <f>'Consolidated Cust Cnt'!B99</f>
        <v>266.99915505263021</v>
      </c>
      <c r="U46" s="128">
        <f t="shared" si="38"/>
        <v>1539.0667903942112</v>
      </c>
      <c r="V46" s="128"/>
      <c r="W46" s="128">
        <f>'Consolidated Cust Cnt'!C99</f>
        <v>84</v>
      </c>
      <c r="X46" s="128">
        <f t="shared" si="32"/>
        <v>484.20232029434732</v>
      </c>
      <c r="Y46" s="128"/>
      <c r="Z46" s="128">
        <f t="shared" si="6"/>
        <v>2023.2691106885586</v>
      </c>
      <c r="AA46" s="128">
        <f t="shared" si="39"/>
        <v>139499.04854034769</v>
      </c>
      <c r="AB46" s="128"/>
      <c r="AC46" s="128">
        <f t="shared" si="40"/>
        <v>43887.479999999996</v>
      </c>
      <c r="AE46" s="128">
        <f t="shared" si="24"/>
        <v>183386.5285403477</v>
      </c>
      <c r="AF46" s="213"/>
      <c r="AG46" s="177">
        <f>G46*$C$175*(References!$D$61/References!$H$64)</f>
        <v>1.3302261546548004</v>
      </c>
      <c r="AH46" s="213">
        <f t="shared" si="25"/>
        <v>0</v>
      </c>
    </row>
    <row r="47" spans="1:34" s="65" customFormat="1">
      <c r="A47" s="265"/>
      <c r="B47" s="49" t="s">
        <v>234</v>
      </c>
      <c r="C47" s="116" t="s">
        <v>185</v>
      </c>
      <c r="D47" s="141">
        <f>'Consolidated Cust Cnt'!D100</f>
        <v>222.67744400898127</v>
      </c>
      <c r="E47" s="73">
        <f>References!$C$10</f>
        <v>8.6666666666666661</v>
      </c>
      <c r="F47" s="72">
        <f t="shared" si="4"/>
        <v>1929.8711814111709</v>
      </c>
      <c r="G47" s="72">
        <f>References!$C$37</f>
        <v>840</v>
      </c>
      <c r="H47" s="72">
        <f t="shared" si="33"/>
        <v>1621091.7923853835</v>
      </c>
      <c r="I47" s="48">
        <f t="shared" si="17"/>
        <v>1290033.3854887551</v>
      </c>
      <c r="J47" s="71">
        <f>(References!$D$61*I47)</f>
        <v>2515.5651017030818</v>
      </c>
      <c r="K47" s="71">
        <f>J47/References!$H$64</f>
        <v>2567.1651206276988</v>
      </c>
      <c r="L47" s="71">
        <f t="shared" si="34"/>
        <v>1.3302261546548004</v>
      </c>
      <c r="M47" s="71">
        <f>M46</f>
        <v>120.57</v>
      </c>
      <c r="N47" s="71">
        <f t="shared" si="35"/>
        <v>121.90022615465479</v>
      </c>
      <c r="O47" s="71">
        <f>'Proposed Rates'!$E$101</f>
        <v>121.89999999999999</v>
      </c>
      <c r="P47" s="71">
        <f t="shared" si="36"/>
        <v>232684.56834274487</v>
      </c>
      <c r="Q47" s="76">
        <f t="shared" si="37"/>
        <v>235251.73346337257</v>
      </c>
      <c r="R47" s="171">
        <f t="shared" si="19"/>
        <v>2567.165120627702</v>
      </c>
      <c r="S47" s="168"/>
      <c r="T47" s="128">
        <f>'Consolidated Cust Cnt'!B100</f>
        <v>174.67744400898127</v>
      </c>
      <c r="U47" s="128">
        <f t="shared" si="38"/>
        <v>2013.7910402913017</v>
      </c>
      <c r="V47" s="128"/>
      <c r="W47" s="128">
        <f>'Consolidated Cust Cnt'!C100</f>
        <v>48.000000000000007</v>
      </c>
      <c r="X47" s="128">
        <f t="shared" si="32"/>
        <v>553.37408033639701</v>
      </c>
      <c r="Y47" s="128"/>
      <c r="Z47" s="128">
        <f t="shared" si="6"/>
        <v>2567.1651206276988</v>
      </c>
      <c r="AA47" s="128">
        <f t="shared" si="39"/>
        <v>182527.44834274487</v>
      </c>
      <c r="AB47" s="128"/>
      <c r="AC47" s="128">
        <f t="shared" si="40"/>
        <v>50157.120000000003</v>
      </c>
      <c r="AE47" s="128">
        <f t="shared" si="24"/>
        <v>232684.56834274487</v>
      </c>
      <c r="AF47" s="213"/>
      <c r="AG47" s="177">
        <f>G47*$C$175*(References!$D$61/References!$H$64)</f>
        <v>1.3302261546548004</v>
      </c>
      <c r="AH47" s="213">
        <f t="shared" si="25"/>
        <v>0</v>
      </c>
    </row>
    <row r="48" spans="1:34" s="65" customFormat="1">
      <c r="A48" s="265"/>
      <c r="B48" s="49" t="s">
        <v>234</v>
      </c>
      <c r="C48" s="116" t="s">
        <v>186</v>
      </c>
      <c r="D48" s="141">
        <f>'Consolidated Cust Cnt'!D101</f>
        <v>23.999999999999996</v>
      </c>
      <c r="E48" s="73">
        <f>References!$C$9</f>
        <v>13</v>
      </c>
      <c r="F48" s="72">
        <f t="shared" si="4"/>
        <v>311.99999999999994</v>
      </c>
      <c r="G48" s="72">
        <f>References!$C$37</f>
        <v>840</v>
      </c>
      <c r="H48" s="72">
        <f t="shared" si="33"/>
        <v>262079.99999999994</v>
      </c>
      <c r="I48" s="48">
        <f t="shared" si="17"/>
        <v>208558.1774313974</v>
      </c>
      <c r="J48" s="71">
        <f>(References!$D$61*I48)</f>
        <v>406.68844599122644</v>
      </c>
      <c r="K48" s="71">
        <f>J48/References!$H$64</f>
        <v>415.03056025229762</v>
      </c>
      <c r="L48" s="71">
        <f t="shared" si="34"/>
        <v>1.3302261546548002</v>
      </c>
      <c r="M48" s="71">
        <f>M46</f>
        <v>120.57</v>
      </c>
      <c r="N48" s="71">
        <f t="shared" si="35"/>
        <v>121.90022615465479</v>
      </c>
      <c r="O48" s="71">
        <f>'Proposed Rates'!$E$101</f>
        <v>121.89999999999999</v>
      </c>
      <c r="P48" s="71">
        <f t="shared" si="36"/>
        <v>37617.839999999989</v>
      </c>
      <c r="Q48" s="76">
        <f t="shared" si="37"/>
        <v>38032.87056025229</v>
      </c>
      <c r="R48" s="171">
        <f t="shared" si="19"/>
        <v>415.03056025230035</v>
      </c>
      <c r="S48" s="168"/>
      <c r="T48" s="128">
        <f>'Consolidated Cust Cnt'!B101</f>
        <v>23.999999999999996</v>
      </c>
      <c r="U48" s="128">
        <f t="shared" si="38"/>
        <v>415.03056025229762</v>
      </c>
      <c r="V48" s="128"/>
      <c r="W48" s="128">
        <f>'Consolidated Cust Cnt'!C101</f>
        <v>0</v>
      </c>
      <c r="X48" s="128">
        <f t="shared" si="32"/>
        <v>0</v>
      </c>
      <c r="Y48" s="128"/>
      <c r="Z48" s="128">
        <f t="shared" si="6"/>
        <v>415.03056025229762</v>
      </c>
      <c r="AA48" s="128">
        <f t="shared" si="39"/>
        <v>37617.839999999989</v>
      </c>
      <c r="AB48" s="128"/>
      <c r="AC48" s="128">
        <f t="shared" si="40"/>
        <v>0</v>
      </c>
      <c r="AE48" s="128">
        <f t="shared" si="24"/>
        <v>37617.839999999989</v>
      </c>
      <c r="AF48" s="213"/>
      <c r="AG48" s="177">
        <f>G48*$C$175*(References!$D$61/References!$H$64)</f>
        <v>1.3302261546548004</v>
      </c>
      <c r="AH48" s="213">
        <f t="shared" si="25"/>
        <v>0</v>
      </c>
    </row>
    <row r="49" spans="1:34" s="65" customFormat="1">
      <c r="A49" s="265"/>
      <c r="B49" s="49">
        <v>30</v>
      </c>
      <c r="C49" s="116" t="s">
        <v>188</v>
      </c>
      <c r="D49" s="141">
        <f>'Consolidated Cust Cnt'!D103</f>
        <v>146.6281425891182</v>
      </c>
      <c r="E49" s="73">
        <f>References!$C$14</f>
        <v>1</v>
      </c>
      <c r="F49" s="72">
        <f t="shared" si="4"/>
        <v>146.6281425891182</v>
      </c>
      <c r="G49" s="72">
        <f>References!$C$32</f>
        <v>175</v>
      </c>
      <c r="H49" s="72">
        <f t="shared" si="33"/>
        <v>25659.924953095684</v>
      </c>
      <c r="I49" s="48">
        <f t="shared" si="17"/>
        <v>20419.670258104674</v>
      </c>
      <c r="J49" s="71">
        <f>(References!$D$61*I49)</f>
        <v>39.818357003304264</v>
      </c>
      <c r="K49" s="71">
        <f>J49/References!$H$64</f>
        <v>40.635122975103855</v>
      </c>
      <c r="L49" s="71">
        <f t="shared" si="34"/>
        <v>0.2771304488864168</v>
      </c>
      <c r="M49" s="71">
        <f>'Proposed Rates'!C111</f>
        <v>27.47</v>
      </c>
      <c r="N49" s="71">
        <f t="shared" si="35"/>
        <v>27.747130448886416</v>
      </c>
      <c r="O49" s="71">
        <f>'Proposed Rates'!E111</f>
        <v>27.75</v>
      </c>
      <c r="P49" s="71">
        <f t="shared" si="36"/>
        <v>4027.8750769230769</v>
      </c>
      <c r="Q49" s="76">
        <f t="shared" si="37"/>
        <v>4068.5101998981809</v>
      </c>
      <c r="R49" s="171">
        <f t="shared" si="19"/>
        <v>40.635122975103968</v>
      </c>
      <c r="S49" s="168"/>
      <c r="T49" s="128">
        <f>'Consolidated Cust Cnt'!B103</f>
        <v>101.95609756097561</v>
      </c>
      <c r="U49" s="128">
        <f t="shared" si="38"/>
        <v>28.255139083780474</v>
      </c>
      <c r="V49" s="128"/>
      <c r="W49" s="128">
        <f>'Consolidated Cust Cnt'!C103</f>
        <v>44.672045028142598</v>
      </c>
      <c r="X49" s="128">
        <f t="shared" si="32"/>
        <v>12.379983891323382</v>
      </c>
      <c r="Y49" s="128"/>
      <c r="Z49" s="128">
        <f>U49+X49</f>
        <v>40.635122975103855</v>
      </c>
      <c r="AA49" s="128">
        <f t="shared" ref="AA49:AA56" si="41">T49*M49*$E49</f>
        <v>2800.7339999999999</v>
      </c>
      <c r="AB49" s="128"/>
      <c r="AC49" s="128">
        <f t="shared" ref="AC49:AC56" si="42">W49*M49*$E49</f>
        <v>1227.1410769230772</v>
      </c>
      <c r="AE49" s="128">
        <f t="shared" si="24"/>
        <v>4027.8750769230774</v>
      </c>
      <c r="AF49" s="213"/>
      <c r="AG49" s="177">
        <f>G49*$C$175*E49*(References!$D$61/References!$H$64)</f>
        <v>0.27713044888641675</v>
      </c>
      <c r="AH49" s="213">
        <f t="shared" si="25"/>
        <v>0</v>
      </c>
    </row>
    <row r="50" spans="1:34" s="65" customFormat="1">
      <c r="A50" s="265"/>
      <c r="B50" s="49">
        <v>30</v>
      </c>
      <c r="C50" s="116" t="s">
        <v>189</v>
      </c>
      <c r="D50" s="141">
        <f>'Consolidated Cust Cnt'!D104</f>
        <v>4</v>
      </c>
      <c r="E50" s="73">
        <f>References!$C$14</f>
        <v>1</v>
      </c>
      <c r="F50" s="72">
        <f t="shared" si="4"/>
        <v>4</v>
      </c>
      <c r="G50" s="72">
        <f>References!$C$33</f>
        <v>250</v>
      </c>
      <c r="H50" s="72">
        <f t="shared" ref="H50" si="43">F50*G50</f>
        <v>1000</v>
      </c>
      <c r="I50" s="48">
        <f t="shared" si="17"/>
        <v>795.78059154226742</v>
      </c>
      <c r="J50" s="71">
        <f>(References!$D$61*I50)</f>
        <v>1.5517721535074274</v>
      </c>
      <c r="K50" s="71">
        <f>J50/References!$H$64</f>
        <v>1.5836025650652388</v>
      </c>
      <c r="L50" s="71">
        <f t="shared" si="34"/>
        <v>0.39590064126630969</v>
      </c>
      <c r="M50" s="71">
        <f>'Proposed Rates'!C112</f>
        <v>37.74</v>
      </c>
      <c r="N50" s="71">
        <f t="shared" ref="N50" si="44">L50+M50</f>
        <v>38.135900641266311</v>
      </c>
      <c r="O50" s="71">
        <f>'Proposed Rates'!E112</f>
        <v>38.14</v>
      </c>
      <c r="P50" s="71">
        <f t="shared" si="36"/>
        <v>150.96</v>
      </c>
      <c r="Q50" s="76">
        <f t="shared" si="37"/>
        <v>152.54360256506524</v>
      </c>
      <c r="R50" s="171">
        <f t="shared" si="19"/>
        <v>1.5836025650652346</v>
      </c>
      <c r="S50" s="168"/>
      <c r="T50" s="128">
        <f>'Consolidated Cust Cnt'!B104</f>
        <v>4</v>
      </c>
      <c r="U50" s="128">
        <f t="shared" si="38"/>
        <v>1.5836025650652388</v>
      </c>
      <c r="V50" s="128"/>
      <c r="W50" s="128">
        <f>'Consolidated Cust Cnt'!C104</f>
        <v>0</v>
      </c>
      <c r="X50" s="128">
        <f t="shared" si="32"/>
        <v>0</v>
      </c>
      <c r="Y50" s="128"/>
      <c r="Z50" s="128">
        <f>U50+X50</f>
        <v>1.5836025650652388</v>
      </c>
      <c r="AA50" s="128">
        <f t="shared" si="41"/>
        <v>150.96</v>
      </c>
      <c r="AB50" s="128"/>
      <c r="AC50" s="128">
        <f t="shared" si="42"/>
        <v>0</v>
      </c>
      <c r="AE50" s="128">
        <f t="shared" si="24"/>
        <v>150.96</v>
      </c>
      <c r="AF50" s="213"/>
      <c r="AG50" s="177">
        <f>G50*$C$175*E50*(References!$D$61/References!$H$64)</f>
        <v>0.39590064126630964</v>
      </c>
      <c r="AH50" s="213">
        <f t="shared" si="25"/>
        <v>0</v>
      </c>
    </row>
    <row r="51" spans="1:34" s="65" customFormat="1">
      <c r="A51" s="265"/>
      <c r="B51" s="49">
        <v>30</v>
      </c>
      <c r="C51" s="116" t="s">
        <v>190</v>
      </c>
      <c r="D51" s="141">
        <f>'Consolidated Cust Cnt'!D105</f>
        <v>312.00771963430412</v>
      </c>
      <c r="E51" s="73">
        <f>References!$C$14</f>
        <v>1</v>
      </c>
      <c r="F51" s="72">
        <f t="shared" si="4"/>
        <v>312.00771963430412</v>
      </c>
      <c r="G51" s="72">
        <f>References!$C$34</f>
        <v>324</v>
      </c>
      <c r="H51" s="72">
        <f t="shared" si="33"/>
        <v>101090.50116151453</v>
      </c>
      <c r="I51" s="48">
        <f t="shared" si="17"/>
        <v>80445.858813614308</v>
      </c>
      <c r="J51" s="71">
        <f>(References!$D$61*I51)</f>
        <v>156.86942468654848</v>
      </c>
      <c r="K51" s="71">
        <f>J51/References!$H$64</f>
        <v>160.08717694310491</v>
      </c>
      <c r="L51" s="71">
        <f t="shared" si="34"/>
        <v>0.5130872310811373</v>
      </c>
      <c r="M51" s="71">
        <f>'Proposed Rates'!C113</f>
        <v>47.08</v>
      </c>
      <c r="N51" s="71">
        <f t="shared" si="35"/>
        <v>47.593087231081135</v>
      </c>
      <c r="O51" s="71">
        <f>'Proposed Rates'!E113</f>
        <v>47.589999999999996</v>
      </c>
      <c r="P51" s="71">
        <f t="shared" si="36"/>
        <v>14689.323440383037</v>
      </c>
      <c r="Q51" s="76">
        <f t="shared" si="37"/>
        <v>14849.410617326143</v>
      </c>
      <c r="R51" s="171">
        <f t="shared" si="19"/>
        <v>160.08717694310508</v>
      </c>
      <c r="S51" s="168"/>
      <c r="T51" s="128">
        <f>'Consolidated Cust Cnt'!B105</f>
        <v>240.24221149627033</v>
      </c>
      <c r="U51" s="128">
        <f t="shared" si="38"/>
        <v>123.26521108543031</v>
      </c>
      <c r="V51" s="128"/>
      <c r="W51" s="128">
        <f>'Consolidated Cust Cnt'!C105</f>
        <v>71.765508138033795</v>
      </c>
      <c r="X51" s="128">
        <f t="shared" si="32"/>
        <v>36.821965857674584</v>
      </c>
      <c r="Y51" s="128"/>
      <c r="Z51" s="128">
        <f t="shared" si="6"/>
        <v>160.08717694310491</v>
      </c>
      <c r="AA51" s="128">
        <f t="shared" si="41"/>
        <v>11310.603317244406</v>
      </c>
      <c r="AB51" s="128"/>
      <c r="AC51" s="128">
        <f t="shared" si="42"/>
        <v>3378.7201231386312</v>
      </c>
      <c r="AE51" s="128">
        <f t="shared" si="24"/>
        <v>14689.323440383037</v>
      </c>
      <c r="AF51" s="213"/>
      <c r="AG51" s="177">
        <f>G51*$C$175*E51*(References!$D$61/References!$H$64)</f>
        <v>0.51308723108113741</v>
      </c>
      <c r="AH51" s="213">
        <f t="shared" si="25"/>
        <v>0</v>
      </c>
    </row>
    <row r="52" spans="1:34" s="65" customFormat="1">
      <c r="A52" s="265"/>
      <c r="B52" s="49">
        <v>30</v>
      </c>
      <c r="C52" s="116" t="s">
        <v>191</v>
      </c>
      <c r="D52" s="141">
        <f>'Consolidated Cust Cnt'!D107</f>
        <v>22</v>
      </c>
      <c r="E52" s="73">
        <f>References!$C$14</f>
        <v>1</v>
      </c>
      <c r="F52" s="72">
        <f t="shared" si="4"/>
        <v>22</v>
      </c>
      <c r="G52" s="72">
        <f>References!$C$32</f>
        <v>175</v>
      </c>
      <c r="H52" s="72">
        <f t="shared" si="33"/>
        <v>3850</v>
      </c>
      <c r="I52" s="48">
        <f t="shared" si="17"/>
        <v>3063.7552774377295</v>
      </c>
      <c r="J52" s="71">
        <f>(References!$D$61*I52)</f>
        <v>5.974322791003595</v>
      </c>
      <c r="K52" s="71">
        <f>J52/References!$H$64</f>
        <v>6.0968698755011683</v>
      </c>
      <c r="L52" s="71">
        <f t="shared" si="34"/>
        <v>0.27713044888641675</v>
      </c>
      <c r="M52" s="71">
        <f>'Proposed Rates'!C104</f>
        <v>27.47</v>
      </c>
      <c r="N52" s="71">
        <f t="shared" si="35"/>
        <v>27.747130448886416</v>
      </c>
      <c r="O52" s="71">
        <f>'Proposed Rates'!E104</f>
        <v>27.75</v>
      </c>
      <c r="P52" s="71">
        <f t="shared" si="36"/>
        <v>604.33999999999992</v>
      </c>
      <c r="Q52" s="76">
        <f t="shared" si="37"/>
        <v>610.4368698755012</v>
      </c>
      <c r="R52" s="171">
        <f t="shared" si="19"/>
        <v>6.0968698755012838</v>
      </c>
      <c r="S52" s="168"/>
      <c r="T52" s="128">
        <f>'Consolidated Cust Cnt'!B107</f>
        <v>15</v>
      </c>
      <c r="U52" s="128">
        <f t="shared" si="38"/>
        <v>4.1569567332962514</v>
      </c>
      <c r="V52" s="128"/>
      <c r="W52" s="128">
        <f>'Consolidated Cust Cnt'!C107</f>
        <v>7.0000000000000009</v>
      </c>
      <c r="X52" s="128">
        <f t="shared" si="32"/>
        <v>1.9399131422049174</v>
      </c>
      <c r="Y52" s="128"/>
      <c r="Z52" s="128">
        <f t="shared" si="6"/>
        <v>6.0968698755011683</v>
      </c>
      <c r="AA52" s="128">
        <f t="shared" si="41"/>
        <v>412.04999999999995</v>
      </c>
      <c r="AB52" s="128"/>
      <c r="AC52" s="128">
        <f t="shared" si="42"/>
        <v>192.29000000000002</v>
      </c>
      <c r="AE52" s="128">
        <f t="shared" si="24"/>
        <v>604.33999999999992</v>
      </c>
      <c r="AF52" s="213"/>
      <c r="AG52" s="177">
        <f>G52*$C$175*E52*(References!$D$61/References!$H$64)</f>
        <v>0.27713044888641675</v>
      </c>
      <c r="AH52" s="213">
        <f t="shared" si="25"/>
        <v>0</v>
      </c>
    </row>
    <row r="53" spans="1:34" s="65" customFormat="1">
      <c r="A53" s="265"/>
      <c r="B53" s="49">
        <v>30</v>
      </c>
      <c r="C53" s="116" t="s">
        <v>192</v>
      </c>
      <c r="D53" s="141">
        <f>'Consolidated Cust Cnt'!D108</f>
        <v>1</v>
      </c>
      <c r="E53" s="73">
        <f>References!$C$14</f>
        <v>1</v>
      </c>
      <c r="F53" s="72">
        <f t="shared" si="4"/>
        <v>1</v>
      </c>
      <c r="G53" s="72">
        <f>References!$C$33</f>
        <v>250</v>
      </c>
      <c r="H53" s="72">
        <f t="shared" si="33"/>
        <v>250</v>
      </c>
      <c r="I53" s="48">
        <f t="shared" si="17"/>
        <v>198.94514788556685</v>
      </c>
      <c r="J53" s="71">
        <f>(References!$D$61*I53)</f>
        <v>0.38794303837685684</v>
      </c>
      <c r="K53" s="71">
        <f>J53/References!$H$64</f>
        <v>0.39590064126630969</v>
      </c>
      <c r="L53" s="71">
        <f t="shared" si="34"/>
        <v>0.39590064126630969</v>
      </c>
      <c r="M53" s="71">
        <f>'Proposed Rates'!C105</f>
        <v>37.74</v>
      </c>
      <c r="N53" s="71">
        <f t="shared" si="35"/>
        <v>38.135900641266311</v>
      </c>
      <c r="O53" s="71">
        <f>'Proposed Rates'!E105</f>
        <v>38.14</v>
      </c>
      <c r="P53" s="71">
        <f t="shared" si="36"/>
        <v>37.74</v>
      </c>
      <c r="Q53" s="76">
        <f t="shared" si="37"/>
        <v>38.135900641266311</v>
      </c>
      <c r="R53" s="171">
        <f t="shared" si="19"/>
        <v>0.39590064126630864</v>
      </c>
      <c r="S53" s="168"/>
      <c r="T53" s="128">
        <f>'Consolidated Cust Cnt'!B108</f>
        <v>1</v>
      </c>
      <c r="U53" s="128">
        <f t="shared" si="38"/>
        <v>0.39590064126630969</v>
      </c>
      <c r="V53" s="128"/>
      <c r="W53" s="128">
        <f>'Consolidated Cust Cnt'!C108</f>
        <v>0</v>
      </c>
      <c r="X53" s="128">
        <f t="shared" si="32"/>
        <v>0</v>
      </c>
      <c r="Y53" s="128"/>
      <c r="Z53" s="128">
        <f t="shared" si="6"/>
        <v>0.39590064126630969</v>
      </c>
      <c r="AA53" s="128">
        <f t="shared" si="41"/>
        <v>37.74</v>
      </c>
      <c r="AB53" s="128"/>
      <c r="AC53" s="128">
        <f t="shared" si="42"/>
        <v>0</v>
      </c>
      <c r="AE53" s="128">
        <f t="shared" si="24"/>
        <v>37.74</v>
      </c>
      <c r="AF53" s="213"/>
      <c r="AG53" s="177">
        <f>G53*$C$175*E53*(References!$D$61/References!$H$64)</f>
        <v>0.39590064126630964</v>
      </c>
      <c r="AH53" s="213">
        <f t="shared" si="25"/>
        <v>0</v>
      </c>
    </row>
    <row r="54" spans="1:34" s="65" customFormat="1">
      <c r="A54" s="265"/>
      <c r="B54" s="49">
        <v>30</v>
      </c>
      <c r="C54" s="116" t="s">
        <v>193</v>
      </c>
      <c r="D54" s="141">
        <f>'Consolidated Cust Cnt'!D109</f>
        <v>28.031154014918826</v>
      </c>
      <c r="E54" s="73">
        <f>References!$C$14</f>
        <v>1</v>
      </c>
      <c r="F54" s="72">
        <f t="shared" si="4"/>
        <v>28.031154014918826</v>
      </c>
      <c r="G54" s="72">
        <f>References!$C$34</f>
        <v>324</v>
      </c>
      <c r="H54" s="72">
        <f t="shared" si="33"/>
        <v>9082.0939008336991</v>
      </c>
      <c r="I54" s="48">
        <f t="shared" si="17"/>
        <v>7227.3540568478602</v>
      </c>
      <c r="J54" s="71">
        <f>(References!$D$61*I54)</f>
        <v>14.093340410853379</v>
      </c>
      <c r="K54" s="71">
        <f>J54/References!$H$64</f>
        <v>14.382427197523604</v>
      </c>
      <c r="L54" s="71">
        <f t="shared" si="34"/>
        <v>0.5130872310811373</v>
      </c>
      <c r="M54" s="71">
        <f>'Proposed Rates'!C106</f>
        <v>47.08</v>
      </c>
      <c r="N54" s="71">
        <f t="shared" si="35"/>
        <v>47.593087231081135</v>
      </c>
      <c r="O54" s="71">
        <f>'Proposed Rates'!E106</f>
        <v>47.589999999999996</v>
      </c>
      <c r="P54" s="71">
        <f t="shared" si="36"/>
        <v>1319.7067310223783</v>
      </c>
      <c r="Q54" s="76">
        <f t="shared" si="37"/>
        <v>1334.0891582199019</v>
      </c>
      <c r="R54" s="171">
        <f t="shared" si="19"/>
        <v>14.382427197523612</v>
      </c>
      <c r="S54" s="168"/>
      <c r="T54" s="128">
        <f>'Consolidated Cust Cnt'!B109</f>
        <v>13</v>
      </c>
      <c r="U54" s="128">
        <f t="shared" si="38"/>
        <v>6.670134004054785</v>
      </c>
      <c r="V54" s="128"/>
      <c r="W54" s="128">
        <f>'Consolidated Cust Cnt'!C109</f>
        <v>15.031154014918826</v>
      </c>
      <c r="X54" s="128">
        <f t="shared" si="32"/>
        <v>7.7122931934688204</v>
      </c>
      <c r="Y54" s="128"/>
      <c r="Z54" s="128">
        <f t="shared" si="6"/>
        <v>14.382427197523604</v>
      </c>
      <c r="AA54" s="128">
        <f t="shared" si="41"/>
        <v>612.04</v>
      </c>
      <c r="AB54" s="128"/>
      <c r="AC54" s="128">
        <f t="shared" si="42"/>
        <v>707.66673102237826</v>
      </c>
      <c r="AE54" s="128">
        <f t="shared" si="24"/>
        <v>1319.7067310223783</v>
      </c>
      <c r="AF54" s="213"/>
      <c r="AG54" s="177">
        <f>G54*$C$175*E54*(References!$D$61/References!$H$64)</f>
        <v>0.51308723108113741</v>
      </c>
      <c r="AH54" s="213">
        <f t="shared" si="25"/>
        <v>0</v>
      </c>
    </row>
    <row r="55" spans="1:34" s="65" customFormat="1">
      <c r="A55" s="265"/>
      <c r="B55" s="49">
        <v>30</v>
      </c>
      <c r="C55" s="116" t="s">
        <v>194</v>
      </c>
      <c r="D55" s="141">
        <f>'Consolidated Cust Cnt'!D110</f>
        <v>4</v>
      </c>
      <c r="E55" s="73">
        <f>References!$C$14</f>
        <v>1</v>
      </c>
      <c r="F55" s="72">
        <f t="shared" si="4"/>
        <v>4</v>
      </c>
      <c r="G55" s="72">
        <f>References!$C$36</f>
        <v>613</v>
      </c>
      <c r="H55" s="72">
        <f t="shared" ref="H55" si="45">F55*G55</f>
        <v>2452</v>
      </c>
      <c r="I55" s="48">
        <f t="shared" si="17"/>
        <v>1951.2540104616398</v>
      </c>
      <c r="J55" s="71">
        <f>(References!$D$61*I55)</f>
        <v>3.8049453204002117</v>
      </c>
      <c r="K55" s="71">
        <f>J55/References!$H$64</f>
        <v>3.8829934895399649</v>
      </c>
      <c r="L55" s="71">
        <f t="shared" si="34"/>
        <v>0.97074837238499123</v>
      </c>
      <c r="M55" s="71">
        <f>'Proposed Rates'!C107</f>
        <v>87.73</v>
      </c>
      <c r="N55" s="71">
        <f t="shared" ref="N55" si="46">L55+M55</f>
        <v>88.700748372384993</v>
      </c>
      <c r="O55" s="71">
        <f>'Proposed Rates'!E107</f>
        <v>88.7</v>
      </c>
      <c r="P55" s="71">
        <f t="shared" si="36"/>
        <v>350.92</v>
      </c>
      <c r="Q55" s="76">
        <f t="shared" si="37"/>
        <v>354.80299348953997</v>
      </c>
      <c r="R55" s="171">
        <f t="shared" si="19"/>
        <v>3.882993489539956</v>
      </c>
      <c r="S55" s="168"/>
      <c r="T55" s="128">
        <f>'Consolidated Cust Cnt'!B110</f>
        <v>4</v>
      </c>
      <c r="U55" s="128">
        <f t="shared" si="38"/>
        <v>3.8829934895399649</v>
      </c>
      <c r="V55" s="128"/>
      <c r="W55" s="128">
        <f>'Consolidated Cust Cnt'!C110</f>
        <v>0</v>
      </c>
      <c r="X55" s="128">
        <f t="shared" si="32"/>
        <v>0</v>
      </c>
      <c r="Y55" s="128"/>
      <c r="Z55" s="128">
        <f t="shared" ref="Z55" si="47">U55+X55</f>
        <v>3.8829934895399649</v>
      </c>
      <c r="AA55" s="128">
        <f t="shared" si="41"/>
        <v>350.92</v>
      </c>
      <c r="AB55" s="128"/>
      <c r="AC55" s="128">
        <f t="shared" si="42"/>
        <v>0</v>
      </c>
      <c r="AE55" s="128">
        <f t="shared" si="24"/>
        <v>350.92</v>
      </c>
      <c r="AF55" s="213"/>
      <c r="AG55" s="177">
        <f>G55*$C$175*E55*(References!$D$61/References!$H$64)</f>
        <v>0.97074837238499134</v>
      </c>
      <c r="AH55" s="213">
        <f t="shared" si="25"/>
        <v>0</v>
      </c>
    </row>
    <row r="56" spans="1:34" s="65" customFormat="1">
      <c r="A56" s="265"/>
      <c r="B56" s="49">
        <v>30</v>
      </c>
      <c r="C56" s="116" t="s">
        <v>195</v>
      </c>
      <c r="D56" s="141">
        <f>'Consolidated Cust Cnt'!D111</f>
        <v>5.0000000000000009</v>
      </c>
      <c r="E56" s="73">
        <f>References!$C$14</f>
        <v>1</v>
      </c>
      <c r="F56" s="72">
        <f t="shared" si="4"/>
        <v>5.0000000000000009</v>
      </c>
      <c r="G56" s="72">
        <f>References!$C$37</f>
        <v>840</v>
      </c>
      <c r="H56" s="72">
        <f t="shared" si="33"/>
        <v>4200.0000000000009</v>
      </c>
      <c r="I56" s="48">
        <f t="shared" si="17"/>
        <v>3342.2784844775238</v>
      </c>
      <c r="J56" s="71">
        <f>(References!$D$61*I56)</f>
        <v>6.5174430447311957</v>
      </c>
      <c r="K56" s="71">
        <f>J56/References!$H$64</f>
        <v>6.6511307732740033</v>
      </c>
      <c r="L56" s="71">
        <f t="shared" si="34"/>
        <v>1.3302261546548004</v>
      </c>
      <c r="M56" s="71">
        <f>'Proposed Rates'!C108</f>
        <v>122.59</v>
      </c>
      <c r="N56" s="71">
        <f t="shared" si="35"/>
        <v>123.9202261546548</v>
      </c>
      <c r="O56" s="71">
        <f>'Proposed Rates'!E108</f>
        <v>123.92</v>
      </c>
      <c r="P56" s="71">
        <f t="shared" si="36"/>
        <v>612.95000000000016</v>
      </c>
      <c r="Q56" s="76">
        <f t="shared" si="37"/>
        <v>619.60113077327412</v>
      </c>
      <c r="R56" s="171">
        <f t="shared" si="19"/>
        <v>6.6511307732739624</v>
      </c>
      <c r="S56" s="168"/>
      <c r="T56" s="128">
        <f>'Consolidated Cust Cnt'!B111</f>
        <v>5.0000000000000009</v>
      </c>
      <c r="U56" s="128">
        <f t="shared" si="38"/>
        <v>6.6511307732740033</v>
      </c>
      <c r="V56" s="128"/>
      <c r="W56" s="128">
        <f>'Consolidated Cust Cnt'!C111</f>
        <v>0</v>
      </c>
      <c r="X56" s="128">
        <f t="shared" si="32"/>
        <v>0</v>
      </c>
      <c r="Y56" s="128"/>
      <c r="Z56" s="128">
        <f t="shared" si="6"/>
        <v>6.6511307732740033</v>
      </c>
      <c r="AA56" s="128">
        <f t="shared" si="41"/>
        <v>612.95000000000016</v>
      </c>
      <c r="AB56" s="128"/>
      <c r="AC56" s="128">
        <f t="shared" si="42"/>
        <v>0</v>
      </c>
      <c r="AE56" s="128">
        <f t="shared" si="24"/>
        <v>612.95000000000016</v>
      </c>
      <c r="AF56" s="213"/>
      <c r="AG56" s="177">
        <f>G56*$C$175*E56*(References!$D$61/References!$H$64)</f>
        <v>1.3302261546548004</v>
      </c>
      <c r="AH56" s="213">
        <f t="shared" si="25"/>
        <v>0</v>
      </c>
    </row>
    <row r="57" spans="1:34" s="65" customFormat="1">
      <c r="A57" s="52"/>
      <c r="B57" s="89"/>
      <c r="C57" s="54" t="s">
        <v>16</v>
      </c>
      <c r="D57" s="55">
        <f>SUM(D24:D56)</f>
        <v>81440.773724564744</v>
      </c>
      <c r="E57" s="56"/>
      <c r="F57" s="90">
        <f>SUM(F24:F56)</f>
        <v>131999.43366762082</v>
      </c>
      <c r="G57" s="58"/>
      <c r="H57" s="90">
        <f>SUM(H24:H56)</f>
        <v>14070373.254597807</v>
      </c>
      <c r="I57" s="59">
        <f>SUM(I24:I56)</f>
        <v>11196929.95176434</v>
      </c>
      <c r="J57" s="80"/>
      <c r="K57" s="80"/>
      <c r="L57" s="80"/>
      <c r="M57" s="80"/>
      <c r="N57" s="80"/>
      <c r="O57" s="80"/>
      <c r="P57" s="79">
        <f>SUM(P24:P56)</f>
        <v>1934257.6392678181</v>
      </c>
      <c r="Q57" s="79">
        <f>SUM(Q24:Q56)</f>
        <v>1956539.5184452247</v>
      </c>
      <c r="R57" s="172">
        <f>SUM(R24:R56)</f>
        <v>22281.879177406347</v>
      </c>
      <c r="S57" s="168"/>
      <c r="T57"/>
      <c r="U57" s="172">
        <f>SUM(U24:U56)</f>
        <v>16993.043229036575</v>
      </c>
      <c r="V57"/>
      <c r="W57"/>
      <c r="X57" s="172">
        <f>SUM(X24:X56)</f>
        <v>5288.8359483698378</v>
      </c>
      <c r="Y57"/>
      <c r="Z57" s="172">
        <f>SUM(Z24:Z56)</f>
        <v>22281.879177406416</v>
      </c>
      <c r="AA57" s="172">
        <f>SUM(AA24:AA56)</f>
        <v>1470000.0579601999</v>
      </c>
      <c r="AB57"/>
      <c r="AC57" s="172">
        <f>SUM(AC24:AC56)</f>
        <v>464541.7479742851</v>
      </c>
      <c r="AD57"/>
      <c r="AE57" s="172">
        <f>SUM(AE24:AE56)</f>
        <v>1934541.805934485</v>
      </c>
    </row>
    <row r="58" spans="1:34" s="65" customFormat="1">
      <c r="A58" s="265" t="s">
        <v>14</v>
      </c>
      <c r="B58" s="49">
        <v>42</v>
      </c>
      <c r="C58" s="116" t="s">
        <v>196</v>
      </c>
      <c r="D58" s="141">
        <f>'Consolidated Cust Cnt'!D114</f>
        <v>5940.6654014789601</v>
      </c>
      <c r="E58" s="73">
        <f>References!$C$14</f>
        <v>1</v>
      </c>
      <c r="F58" s="72">
        <f t="shared" si="4"/>
        <v>5940.6654014789601</v>
      </c>
      <c r="G58" s="72">
        <f>References!C30</f>
        <v>29</v>
      </c>
      <c r="H58" s="72">
        <f>F58*G58</f>
        <v>172279.29664288985</v>
      </c>
      <c r="I58" s="48">
        <f>$C$175*H58</f>
        <v>137096.52059296466</v>
      </c>
      <c r="J58" s="71">
        <f>(References!$D$61*I58)</f>
        <v>267.3382151562821</v>
      </c>
      <c r="K58" s="71">
        <f>J58/References!$H$64</f>
        <v>272.82193607131552</v>
      </c>
      <c r="L58" s="71">
        <f t="shared" si="34"/>
        <v>4.5924474386891921E-2</v>
      </c>
      <c r="M58" s="71">
        <f>'Proposed Rates'!C159</f>
        <v>4.26</v>
      </c>
      <c r="N58" s="71">
        <f>ROUND(L58+M58,2)</f>
        <v>4.3099999999999996</v>
      </c>
      <c r="O58" s="71">
        <f>'Proposed Rates'!E159</f>
        <v>4.3099999999999996</v>
      </c>
      <c r="P58" s="71">
        <f>F58*M58</f>
        <v>25307.234610300369</v>
      </c>
      <c r="Q58" s="76">
        <f t="shared" si="37"/>
        <v>25604.267880374315</v>
      </c>
      <c r="R58" s="171">
        <f t="shared" ref="R58:R89" si="48">Q58-P58</f>
        <v>297.03327007394546</v>
      </c>
      <c r="S58" s="168"/>
      <c r="T58" s="128">
        <f>'Consolidated Cust Cnt'!B114</f>
        <v>4373.3961604131091</v>
      </c>
      <c r="U58" s="128">
        <f>T58*L58</f>
        <v>200.84591995262329</v>
      </c>
      <c r="V58" s="128"/>
      <c r="W58" s="128">
        <f>'Consolidated Cust Cnt'!C114</f>
        <v>1567.2692410658515</v>
      </c>
      <c r="X58" s="128">
        <f>W58*L58</f>
        <v>71.976016118692229</v>
      </c>
      <c r="Y58" s="128"/>
      <c r="Z58" s="128">
        <f t="shared" si="6"/>
        <v>272.82193607131552</v>
      </c>
      <c r="AA58" s="128">
        <f t="shared" ref="AA58:AA106" si="49">T58*M58*$E58</f>
        <v>18630.667643359844</v>
      </c>
      <c r="AB58" s="128"/>
      <c r="AC58" s="128">
        <f t="shared" ref="AC58:AC106" si="50">W58*M58*$E58</f>
        <v>6676.566966940527</v>
      </c>
      <c r="AE58" s="128">
        <f t="shared" ref="AE58:AE106" si="51">AA58+AC58</f>
        <v>25307.234610300373</v>
      </c>
      <c r="AF58" s="213"/>
      <c r="AG58" s="177">
        <f>G58*$C$175*E58*(References!$D$61/References!$H$64)</f>
        <v>4.5924474386891921E-2</v>
      </c>
      <c r="AH58" s="213">
        <f t="shared" ref="AH58:AH106" si="52">L58-AG58</f>
        <v>0</v>
      </c>
    </row>
    <row r="59" spans="1:34" s="65" customFormat="1">
      <c r="A59" s="265"/>
      <c r="B59" s="49">
        <v>34</v>
      </c>
      <c r="C59" s="116" t="s">
        <v>197</v>
      </c>
      <c r="D59" s="141">
        <f>'Consolidated Cust Cnt'!D116</f>
        <v>1923.1462872387729</v>
      </c>
      <c r="E59" s="73">
        <f>References!$C$14</f>
        <v>1</v>
      </c>
      <c r="F59" s="72">
        <f t="shared" si="4"/>
        <v>1923.1462872387729</v>
      </c>
      <c r="G59" s="72">
        <f>References!C31</f>
        <v>125</v>
      </c>
      <c r="H59" s="72">
        <f t="shared" ref="H59:H75" si="53">F59*G59</f>
        <v>240393.28590484662</v>
      </c>
      <c r="I59" s="48">
        <f>$C$175*H59</f>
        <v>191300.31126014827</v>
      </c>
      <c r="J59" s="71">
        <f>(References!$D$61*I59)</f>
        <v>373.0356069572905</v>
      </c>
      <c r="K59" s="71">
        <f>J59/References!$H$64</f>
        <v>380.68742418337638</v>
      </c>
      <c r="L59" s="71">
        <f t="shared" si="34"/>
        <v>0.19795032063315485</v>
      </c>
      <c r="M59" s="71">
        <f>'Proposed Rates'!C122</f>
        <v>23.1</v>
      </c>
      <c r="N59" s="71">
        <f t="shared" si="12"/>
        <v>23.297950320633156</v>
      </c>
      <c r="O59" s="71">
        <f>'Proposed Rates'!E123</f>
        <v>23.3</v>
      </c>
      <c r="P59" s="71">
        <f t="shared" ref="P59:P105" si="54">F59*M59</f>
        <v>44424.679235215655</v>
      </c>
      <c r="Q59" s="76">
        <f t="shared" si="37"/>
        <v>44805.366659399035</v>
      </c>
      <c r="R59" s="171">
        <f t="shared" si="48"/>
        <v>380.68742418337933</v>
      </c>
      <c r="S59" s="168"/>
      <c r="T59" s="128">
        <f>'Consolidated Cust Cnt'!B116</f>
        <v>1292.6460649177413</v>
      </c>
      <c r="U59" s="128">
        <f>T59*L59</f>
        <v>255.87970301565278</v>
      </c>
      <c r="V59" s="128"/>
      <c r="W59" s="128">
        <f>'Consolidated Cust Cnt'!C116</f>
        <v>630.50022232103163</v>
      </c>
      <c r="X59" s="128">
        <f>W59*L59</f>
        <v>124.80772116772363</v>
      </c>
      <c r="Y59" s="128"/>
      <c r="Z59" s="128">
        <f t="shared" si="6"/>
        <v>380.68742418337638</v>
      </c>
      <c r="AA59" s="128">
        <f t="shared" si="49"/>
        <v>29860.124099599827</v>
      </c>
      <c r="AB59" s="128"/>
      <c r="AC59" s="128">
        <f t="shared" si="50"/>
        <v>14564.555135615832</v>
      </c>
      <c r="AE59" s="128">
        <f t="shared" si="51"/>
        <v>44424.679235215663</v>
      </c>
      <c r="AF59" s="213"/>
      <c r="AG59" s="177">
        <f>G59*$C$175*E59*(References!$D$61/References!$H$64)</f>
        <v>0.19795032063315482</v>
      </c>
      <c r="AH59" s="213">
        <f t="shared" si="52"/>
        <v>0</v>
      </c>
    </row>
    <row r="60" spans="1:34" s="65" customFormat="1">
      <c r="A60" s="265"/>
      <c r="B60" s="49">
        <v>42</v>
      </c>
      <c r="C60" s="114" t="s">
        <v>429</v>
      </c>
      <c r="D60" s="113">
        <f>'Consolidated Cust Cnt'!D129</f>
        <v>1514.4773874801747</v>
      </c>
      <c r="E60" s="73">
        <f>References!$C$11</f>
        <v>4.333333333333333</v>
      </c>
      <c r="F60" s="72">
        <f t="shared" si="4"/>
        <v>6562.7353457474228</v>
      </c>
      <c r="G60" s="72">
        <f>References!$C$30</f>
        <v>29</v>
      </c>
      <c r="H60" s="72">
        <f t="shared" si="53"/>
        <v>190319.32502667527</v>
      </c>
      <c r="I60" s="48">
        <f t="shared" ref="I60" si="55">$C$175*H60</f>
        <v>151452.42505165271</v>
      </c>
      <c r="J60" s="71">
        <f>(References!$D$61*I60)</f>
        <v>295.33222885072388</v>
      </c>
      <c r="K60" s="71">
        <f>J60/References!$H$64</f>
        <v>301.3901712937278</v>
      </c>
      <c r="L60" s="71">
        <f>K60/F60*E60</f>
        <v>0.19900605567653165</v>
      </c>
      <c r="M60" s="71">
        <f>'Proposed Rates'!C158</f>
        <v>17.510000000000002</v>
      </c>
      <c r="N60" s="71">
        <f t="shared" si="12"/>
        <v>17.709006055676532</v>
      </c>
      <c r="O60" s="71">
        <f>'Proposed Rates'!$E$158</f>
        <v>17.71</v>
      </c>
      <c r="P60" s="71">
        <f t="shared" ref="P60" si="56">D60*M60</f>
        <v>26518.499054777862</v>
      </c>
      <c r="Q60" s="76">
        <f>D60*N60</f>
        <v>26819.889226071587</v>
      </c>
      <c r="R60" s="171">
        <f t="shared" si="48"/>
        <v>301.39017129372587</v>
      </c>
      <c r="S60" s="168"/>
      <c r="T60" s="128">
        <f>'Consolidated Cust Cnt'!B129</f>
        <v>848.97596111742132</v>
      </c>
      <c r="U60" s="128">
        <f t="shared" ref="U60" si="57">T60*L60</f>
        <v>168.95135738617051</v>
      </c>
      <c r="V60" s="128"/>
      <c r="W60" s="128">
        <f>'Consolidated Cust Cnt'!C129</f>
        <v>665.50142636275336</v>
      </c>
      <c r="X60" s="128">
        <f>W60*L60</f>
        <v>132.43881390755732</v>
      </c>
      <c r="Y60" s="128"/>
      <c r="Z60" s="128">
        <f t="shared" si="6"/>
        <v>301.3901712937278</v>
      </c>
      <c r="AA60" s="128">
        <f>T60*M60</f>
        <v>14865.569079166049</v>
      </c>
      <c r="AB60" s="128"/>
      <c r="AC60" s="128">
        <f>W60*M60</f>
        <v>11652.929975611813</v>
      </c>
      <c r="AE60" s="128">
        <f t="shared" si="51"/>
        <v>26518.499054777862</v>
      </c>
      <c r="AF60" s="213"/>
      <c r="AG60" s="177">
        <f>G60*$C$175*E60*(References!$D$61/References!$H$64)</f>
        <v>0.19900605567653165</v>
      </c>
      <c r="AH60" s="213">
        <f t="shared" si="52"/>
        <v>0</v>
      </c>
    </row>
    <row r="61" spans="1:34" s="65" customFormat="1">
      <c r="A61" s="265"/>
      <c r="B61" s="49" t="s">
        <v>234</v>
      </c>
      <c r="C61" s="114" t="s">
        <v>198</v>
      </c>
      <c r="D61" s="113">
        <f>'Consolidated Cust Cnt'!D130</f>
        <v>605.47460590575338</v>
      </c>
      <c r="E61" s="73">
        <f>References!$C$10</f>
        <v>8.6666666666666661</v>
      </c>
      <c r="F61" s="72">
        <f t="shared" si="4"/>
        <v>5247.4465845165287</v>
      </c>
      <c r="G61" s="72">
        <f>References!$C$30</f>
        <v>29</v>
      </c>
      <c r="H61" s="72">
        <f t="shared" ref="H61:H63" si="58">F61*G61</f>
        <v>152175.95095097934</v>
      </c>
      <c r="I61" s="48">
        <f t="shared" ref="I61:I106" si="59">$C$175*H61</f>
        <v>121098.66826627741</v>
      </c>
      <c r="J61" s="71">
        <f>(References!$D$61*I61)</f>
        <v>236.14240311924183</v>
      </c>
      <c r="K61" s="71">
        <f>J61/References!$H$64</f>
        <v>240.9862262672128</v>
      </c>
      <c r="L61" s="71">
        <f t="shared" si="34"/>
        <v>4.5924474386891921E-2</v>
      </c>
      <c r="M61" s="71">
        <f>'Proposed Rates'!C155</f>
        <v>4.04</v>
      </c>
      <c r="N61" s="71">
        <f t="shared" ref="N61:N63" si="60">L61+M61</f>
        <v>4.0859244743868919</v>
      </c>
      <c r="O61" s="71">
        <f>'Proposed Rates'!$E$155</f>
        <v>4.09</v>
      </c>
      <c r="P61" s="71">
        <f t="shared" ref="P61:P63" si="61">F61*M61</f>
        <v>21199.684201446777</v>
      </c>
      <c r="Q61" s="76">
        <f t="shared" si="37"/>
        <v>21440.670427713987</v>
      </c>
      <c r="R61" s="171">
        <f t="shared" si="48"/>
        <v>240.98622626721044</v>
      </c>
      <c r="S61" s="168"/>
      <c r="T61" s="128">
        <f>'Consolidated Cust Cnt'!B130</f>
        <v>331.23951795583002</v>
      </c>
      <c r="U61" s="128">
        <f t="shared" ref="U61:U88" si="62">L61*T61*E61</f>
        <v>131.83733990517084</v>
      </c>
      <c r="V61" s="128"/>
      <c r="W61" s="128">
        <f>'Consolidated Cust Cnt'!C130</f>
        <v>274.23508794992335</v>
      </c>
      <c r="X61" s="128">
        <f t="shared" ref="X61:X106" si="63">W61*L61*E61</f>
        <v>109.14888636204199</v>
      </c>
      <c r="Y61" s="128"/>
      <c r="Z61" s="128">
        <f t="shared" si="6"/>
        <v>240.98622626721283</v>
      </c>
      <c r="AA61" s="128">
        <f t="shared" si="49"/>
        <v>11597.799655360128</v>
      </c>
      <c r="AB61" s="128"/>
      <c r="AC61" s="128">
        <f t="shared" si="50"/>
        <v>9601.8845460866487</v>
      </c>
      <c r="AE61" s="128">
        <f t="shared" si="51"/>
        <v>21199.684201446777</v>
      </c>
      <c r="AF61" s="213"/>
      <c r="AG61" s="177">
        <f>G61*$C$175*(References!$D$61/References!$H$64)</f>
        <v>4.5924474386891921E-2</v>
      </c>
      <c r="AH61" s="213">
        <f t="shared" si="52"/>
        <v>0</v>
      </c>
    </row>
    <row r="62" spans="1:34" s="65" customFormat="1">
      <c r="A62" s="265"/>
      <c r="B62" s="49" t="s">
        <v>234</v>
      </c>
      <c r="C62" s="114" t="s">
        <v>199</v>
      </c>
      <c r="D62" s="113">
        <f>'Consolidated Cust Cnt'!D131</f>
        <v>105.25004922228786</v>
      </c>
      <c r="E62" s="73">
        <f>References!$C$9</f>
        <v>13</v>
      </c>
      <c r="F62" s="72">
        <f t="shared" si="4"/>
        <v>1368.2506398897422</v>
      </c>
      <c r="G62" s="72">
        <f>References!$C$30</f>
        <v>29</v>
      </c>
      <c r="H62" s="72">
        <f t="shared" si="58"/>
        <v>39679.268556802519</v>
      </c>
      <c r="I62" s="48">
        <f t="shared" si="59"/>
        <v>31575.9918040968</v>
      </c>
      <c r="J62" s="71">
        <f>(References!$D$61*I62)</f>
        <v>61.573184017988993</v>
      </c>
      <c r="K62" s="71">
        <f>J62/References!$H$64</f>
        <v>62.836191466464939</v>
      </c>
      <c r="L62" s="71">
        <f t="shared" si="34"/>
        <v>4.5924474386891914E-2</v>
      </c>
      <c r="M62" s="71">
        <f>'Proposed Rates'!C155</f>
        <v>4.04</v>
      </c>
      <c r="N62" s="71">
        <f t="shared" si="60"/>
        <v>4.0859244743868919</v>
      </c>
      <c r="O62" s="71">
        <f>'Proposed Rates'!$E$155</f>
        <v>4.09</v>
      </c>
      <c r="P62" s="71">
        <f t="shared" si="61"/>
        <v>5527.7325851545584</v>
      </c>
      <c r="Q62" s="76">
        <f t="shared" si="37"/>
        <v>5590.5687766210231</v>
      </c>
      <c r="R62" s="171">
        <f t="shared" si="48"/>
        <v>62.836191466464697</v>
      </c>
      <c r="S62" s="168"/>
      <c r="T62" s="128">
        <f>'Consolidated Cust Cnt'!B131</f>
        <v>57</v>
      </c>
      <c r="U62" s="128">
        <f t="shared" si="62"/>
        <v>34.030035520686909</v>
      </c>
      <c r="V62" s="128"/>
      <c r="W62" s="128">
        <f>'Consolidated Cust Cnt'!C131</f>
        <v>48.250049222287856</v>
      </c>
      <c r="X62" s="128">
        <f t="shared" si="63"/>
        <v>28.806155945778031</v>
      </c>
      <c r="Y62" s="128"/>
      <c r="Z62" s="128">
        <f t="shared" si="6"/>
        <v>62.836191466464939</v>
      </c>
      <c r="AA62" s="128">
        <f t="shared" si="49"/>
        <v>2993.64</v>
      </c>
      <c r="AB62" s="128"/>
      <c r="AC62" s="128">
        <f t="shared" si="50"/>
        <v>2534.092585154558</v>
      </c>
      <c r="AE62" s="128">
        <f t="shared" si="51"/>
        <v>5527.7325851545575</v>
      </c>
      <c r="AF62" s="213"/>
      <c r="AG62" s="177">
        <f>G62*$C$175*(References!$D$61/References!$H$64)</f>
        <v>4.5924474386891921E-2</v>
      </c>
      <c r="AH62" s="213">
        <f t="shared" si="52"/>
        <v>0</v>
      </c>
    </row>
    <row r="63" spans="1:34" s="65" customFormat="1">
      <c r="A63" s="265"/>
      <c r="B63" s="49" t="s">
        <v>234</v>
      </c>
      <c r="C63" s="114" t="s">
        <v>200</v>
      </c>
      <c r="D63" s="113">
        <f>'Consolidated Cust Cnt'!D132</f>
        <v>12.000000000000002</v>
      </c>
      <c r="E63" s="73">
        <f>References!C$8</f>
        <v>17.333333333333332</v>
      </c>
      <c r="F63" s="72">
        <f t="shared" si="4"/>
        <v>208.00000000000003</v>
      </c>
      <c r="G63" s="72">
        <v>29</v>
      </c>
      <c r="H63" s="72">
        <f t="shared" si="58"/>
        <v>6032.0000000000009</v>
      </c>
      <c r="I63" s="48">
        <f t="shared" si="59"/>
        <v>4800.1485281829582</v>
      </c>
      <c r="J63" s="71">
        <f>(References!$D$61*I63)</f>
        <v>9.360289629956803</v>
      </c>
      <c r="K63" s="71">
        <f>J63/References!$H$64</f>
        <v>9.5522906724735215</v>
      </c>
      <c r="L63" s="71">
        <f t="shared" si="34"/>
        <v>4.5924474386891921E-2</v>
      </c>
      <c r="M63" s="71">
        <f>'Proposed Rates'!C155</f>
        <v>4.04</v>
      </c>
      <c r="N63" s="71">
        <f t="shared" si="60"/>
        <v>4.0859244743868919</v>
      </c>
      <c r="O63" s="71">
        <f>'Proposed Rates'!$E$155</f>
        <v>4.09</v>
      </c>
      <c r="P63" s="71">
        <f t="shared" si="61"/>
        <v>840.32000000000016</v>
      </c>
      <c r="Q63" s="76">
        <f t="shared" si="37"/>
        <v>849.87229067247358</v>
      </c>
      <c r="R63" s="171">
        <f t="shared" si="48"/>
        <v>9.5522906724734185</v>
      </c>
      <c r="S63" s="168"/>
      <c r="T63" s="128">
        <f>'Consolidated Cust Cnt'!B132</f>
        <v>0</v>
      </c>
      <c r="U63" s="128">
        <f t="shared" si="62"/>
        <v>0</v>
      </c>
      <c r="V63" s="128"/>
      <c r="W63" s="128">
        <f>'Consolidated Cust Cnt'!C132</f>
        <v>12.000000000000002</v>
      </c>
      <c r="X63" s="128">
        <f t="shared" si="63"/>
        <v>9.5522906724735197</v>
      </c>
      <c r="Y63" s="128"/>
      <c r="Z63" s="128">
        <f t="shared" si="6"/>
        <v>9.5522906724735197</v>
      </c>
      <c r="AA63" s="128">
        <f t="shared" si="49"/>
        <v>0</v>
      </c>
      <c r="AB63" s="128"/>
      <c r="AC63" s="128">
        <f t="shared" si="50"/>
        <v>840.32000000000016</v>
      </c>
      <c r="AE63" s="128">
        <f t="shared" si="51"/>
        <v>840.32000000000016</v>
      </c>
      <c r="AF63" s="213"/>
      <c r="AG63" s="177">
        <f>G63*$C$175*(References!$D$61/References!$H$64)</f>
        <v>4.5924474386891921E-2</v>
      </c>
      <c r="AH63" s="213">
        <f t="shared" si="52"/>
        <v>0</v>
      </c>
    </row>
    <row r="64" spans="1:34" s="65" customFormat="1">
      <c r="A64" s="265"/>
      <c r="B64" s="49">
        <v>41</v>
      </c>
      <c r="C64" s="116" t="s">
        <v>91</v>
      </c>
      <c r="D64" s="141">
        <f>'Consolidated Cust Cnt'!D136</f>
        <v>136.49997152943854</v>
      </c>
      <c r="E64" s="73">
        <f>References!$C$11</f>
        <v>4.333333333333333</v>
      </c>
      <c r="F64" s="72">
        <f t="shared" si="4"/>
        <v>591.49987662756701</v>
      </c>
      <c r="G64" s="72">
        <f>References!C32</f>
        <v>175</v>
      </c>
      <c r="H64" s="72">
        <f t="shared" si="53"/>
        <v>103512.47840982422</v>
      </c>
      <c r="I64" s="48">
        <f t="shared" si="59"/>
        <v>82373.221300976104</v>
      </c>
      <c r="J64" s="71">
        <f>(References!$D$61*I64)</f>
        <v>160.627781536904</v>
      </c>
      <c r="K64" s="71">
        <f>J64/References!$H$64</f>
        <v>163.92262632605775</v>
      </c>
      <c r="L64" s="71">
        <f t="shared" si="34"/>
        <v>0.27713044888641669</v>
      </c>
      <c r="M64" s="71">
        <f>'Proposed Rates'!C134</f>
        <v>21.05</v>
      </c>
      <c r="N64" s="71">
        <f t="shared" si="12"/>
        <v>21.327130448886418</v>
      </c>
      <c r="O64" s="71">
        <f>'Proposed Rates'!E134</f>
        <v>21.330000000000002</v>
      </c>
      <c r="P64" s="71">
        <f t="shared" si="54"/>
        <v>12451.072403010287</v>
      </c>
      <c r="Q64" s="76">
        <f t="shared" si="37"/>
        <v>12614.995029336344</v>
      </c>
      <c r="R64" s="171">
        <f t="shared" si="48"/>
        <v>163.92262632605707</v>
      </c>
      <c r="S64" s="168"/>
      <c r="T64" s="128">
        <f>'Consolidated Cust Cnt'!B136</f>
        <v>100.49997152943854</v>
      </c>
      <c r="U64" s="128">
        <f t="shared" si="62"/>
        <v>120.69027629977673</v>
      </c>
      <c r="V64" s="128"/>
      <c r="W64" s="128">
        <f>'Consolidated Cust Cnt'!C136</f>
        <v>36</v>
      </c>
      <c r="X64" s="128">
        <f t="shared" si="63"/>
        <v>43.232350026280997</v>
      </c>
      <c r="Y64" s="128"/>
      <c r="Z64" s="128">
        <f t="shared" si="6"/>
        <v>163.92262632605772</v>
      </c>
      <c r="AA64" s="128">
        <f t="shared" si="49"/>
        <v>9167.2724030102854</v>
      </c>
      <c r="AB64" s="128"/>
      <c r="AC64" s="128">
        <f t="shared" si="50"/>
        <v>3283.8</v>
      </c>
      <c r="AE64" s="128">
        <f t="shared" si="51"/>
        <v>12451.072403010287</v>
      </c>
      <c r="AF64" s="213"/>
      <c r="AG64" s="177">
        <f>G64*$C$175*(References!$D$61/References!$H$64)</f>
        <v>0.27713044888641675</v>
      </c>
      <c r="AH64" s="213">
        <f t="shared" si="52"/>
        <v>0</v>
      </c>
    </row>
    <row r="65" spans="1:34" s="65" customFormat="1">
      <c r="A65" s="265"/>
      <c r="B65" s="49">
        <v>41</v>
      </c>
      <c r="C65" s="116" t="s">
        <v>92</v>
      </c>
      <c r="D65" s="141">
        <f>'Consolidated Cust Cnt'!D137</f>
        <v>37.242659188386668</v>
      </c>
      <c r="E65" s="73">
        <f>References!$C$11</f>
        <v>4.333333333333333</v>
      </c>
      <c r="F65" s="72">
        <f t="shared" si="4"/>
        <v>161.38485648300889</v>
      </c>
      <c r="G65" s="72">
        <f>References!C33</f>
        <v>250</v>
      </c>
      <c r="H65" s="72">
        <f t="shared" si="53"/>
        <v>40346.214120752222</v>
      </c>
      <c r="I65" s="48">
        <f t="shared" si="59"/>
        <v>32106.734139503187</v>
      </c>
      <c r="J65" s="71">
        <f>(References!$D$61*I65)</f>
        <v>62.608131572031446</v>
      </c>
      <c r="K65" s="71">
        <f>J65/References!$H$64</f>
        <v>63.892368172294567</v>
      </c>
      <c r="L65" s="71">
        <f t="shared" si="34"/>
        <v>0.39590064126630964</v>
      </c>
      <c r="M65" s="71">
        <f>'Proposed Rates'!C135</f>
        <v>29.1</v>
      </c>
      <c r="N65" s="71">
        <f t="shared" si="12"/>
        <v>29.49590064126631</v>
      </c>
      <c r="O65" s="71">
        <f>'Proposed Rates'!E135</f>
        <v>29.5</v>
      </c>
      <c r="P65" s="71">
        <f t="shared" si="54"/>
        <v>4696.2993236555585</v>
      </c>
      <c r="Q65" s="76">
        <f t="shared" si="37"/>
        <v>4760.191691827853</v>
      </c>
      <c r="R65" s="171">
        <f t="shared" si="48"/>
        <v>63.892368172294482</v>
      </c>
      <c r="S65" s="168"/>
      <c r="T65" s="128">
        <f>'Consolidated Cust Cnt'!B137</f>
        <v>25.242659188386668</v>
      </c>
      <c r="U65" s="128">
        <f t="shared" si="62"/>
        <v>43.305534826446468</v>
      </c>
      <c r="V65" s="128"/>
      <c r="W65" s="128">
        <f>'Consolidated Cust Cnt'!C137</f>
        <v>12</v>
      </c>
      <c r="X65" s="128">
        <f t="shared" si="63"/>
        <v>20.586833345848103</v>
      </c>
      <c r="Y65" s="128"/>
      <c r="Z65" s="128">
        <f t="shared" si="6"/>
        <v>63.892368172294567</v>
      </c>
      <c r="AA65" s="128">
        <f t="shared" si="49"/>
        <v>3183.0993236555587</v>
      </c>
      <c r="AB65" s="128"/>
      <c r="AC65" s="128">
        <f t="shared" si="50"/>
        <v>1513.2</v>
      </c>
      <c r="AE65" s="128">
        <f t="shared" si="51"/>
        <v>4696.2993236555585</v>
      </c>
      <c r="AF65" s="213"/>
      <c r="AG65" s="177">
        <f>G65*$C$175*(References!$D$61/References!$H$64)</f>
        <v>0.39590064126630964</v>
      </c>
      <c r="AH65" s="213">
        <f t="shared" si="52"/>
        <v>0</v>
      </c>
    </row>
    <row r="66" spans="1:34" s="65" customFormat="1">
      <c r="A66" s="265"/>
      <c r="B66" s="49">
        <v>41</v>
      </c>
      <c r="C66" s="116" t="s">
        <v>93</v>
      </c>
      <c r="D66" s="141">
        <f>'Consolidated Cust Cnt'!D139</f>
        <v>507.41441420699459</v>
      </c>
      <c r="E66" s="73">
        <f>References!$C$11</f>
        <v>4.333333333333333</v>
      </c>
      <c r="F66" s="72">
        <f t="shared" si="4"/>
        <v>2198.7957948969765</v>
      </c>
      <c r="G66" s="72">
        <f>References!$C$34</f>
        <v>324</v>
      </c>
      <c r="H66" s="72">
        <f t="shared" si="53"/>
        <v>712409.8375466204</v>
      </c>
      <c r="I66" s="48">
        <f t="shared" si="59"/>
        <v>566921.92194338026</v>
      </c>
      <c r="J66" s="71">
        <f>(References!$D$61*I66)</f>
        <v>1105.4977477895957</v>
      </c>
      <c r="K66" s="71">
        <f>J66/References!$H$64</f>
        <v>1128.1740461165382</v>
      </c>
      <c r="L66" s="71">
        <f t="shared" si="34"/>
        <v>0.51308723108113741</v>
      </c>
      <c r="M66" s="71">
        <f>'Proposed Rates'!C136</f>
        <v>36.25</v>
      </c>
      <c r="N66" s="71">
        <f t="shared" si="12"/>
        <v>36.763087231081137</v>
      </c>
      <c r="O66" s="71">
        <f>'Proposed Rates'!$E$136</f>
        <v>36.76</v>
      </c>
      <c r="P66" s="71">
        <f t="shared" si="54"/>
        <v>79706.3475650154</v>
      </c>
      <c r="Q66" s="76">
        <f t="shared" si="37"/>
        <v>80834.521611131931</v>
      </c>
      <c r="R66" s="171">
        <f t="shared" si="48"/>
        <v>1128.1740461165318</v>
      </c>
      <c r="S66" s="168"/>
      <c r="T66" s="128">
        <f>'Consolidated Cust Cnt'!B139</f>
        <v>398.91441420699459</v>
      </c>
      <c r="U66" s="128">
        <f t="shared" si="62"/>
        <v>886.93753296989007</v>
      </c>
      <c r="V66" s="128"/>
      <c r="W66" s="128">
        <f>'Consolidated Cust Cnt'!C139</f>
        <v>108.5</v>
      </c>
      <c r="X66" s="128">
        <f t="shared" si="63"/>
        <v>241.23651314664809</v>
      </c>
      <c r="Y66" s="128"/>
      <c r="Z66" s="128">
        <f t="shared" si="6"/>
        <v>1128.1740461165382</v>
      </c>
      <c r="AA66" s="128">
        <f t="shared" si="49"/>
        <v>62662.805898348735</v>
      </c>
      <c r="AB66" s="128"/>
      <c r="AC66" s="128">
        <f t="shared" si="50"/>
        <v>17043.541666666664</v>
      </c>
      <c r="AE66" s="128">
        <f t="shared" si="51"/>
        <v>79706.3475650154</v>
      </c>
      <c r="AF66" s="213"/>
      <c r="AG66" s="177">
        <f>G66*$C$175*(References!$D$61/References!$H$64)</f>
        <v>0.51308723108113741</v>
      </c>
      <c r="AH66" s="213">
        <f t="shared" si="52"/>
        <v>0</v>
      </c>
    </row>
    <row r="67" spans="1:34" s="65" customFormat="1">
      <c r="A67" s="265"/>
      <c r="B67" s="49" t="s">
        <v>234</v>
      </c>
      <c r="C67" s="116" t="s">
        <v>94</v>
      </c>
      <c r="D67" s="141">
        <f>'Consolidated Cust Cnt'!D140</f>
        <v>40.375033479152137</v>
      </c>
      <c r="E67" s="73">
        <f>References!$C$10</f>
        <v>8.6666666666666661</v>
      </c>
      <c r="F67" s="72">
        <f t="shared" si="4"/>
        <v>349.9169568193185</v>
      </c>
      <c r="G67" s="72">
        <f>References!$C$34</f>
        <v>324</v>
      </c>
      <c r="H67" s="72">
        <f t="shared" si="53"/>
        <v>113373.09400945919</v>
      </c>
      <c r="I67" s="48">
        <f t="shared" si="59"/>
        <v>90220.107815824536</v>
      </c>
      <c r="J67" s="71">
        <f>(References!$D$61*I67)</f>
        <v>175.92921024085851</v>
      </c>
      <c r="K67" s="71">
        <f>J67/References!$H$64</f>
        <v>179.53792248276201</v>
      </c>
      <c r="L67" s="71">
        <f t="shared" si="34"/>
        <v>0.5130872310811373</v>
      </c>
      <c r="M67" s="71">
        <f>M66</f>
        <v>36.25</v>
      </c>
      <c r="N67" s="71">
        <f t="shared" si="12"/>
        <v>36.763087231081137</v>
      </c>
      <c r="O67" s="71">
        <f>'Proposed Rates'!$E$136</f>
        <v>36.76</v>
      </c>
      <c r="P67" s="71">
        <f t="shared" si="54"/>
        <v>12684.489684700296</v>
      </c>
      <c r="Q67" s="76">
        <f t="shared" si="37"/>
        <v>12864.027607183058</v>
      </c>
      <c r="R67" s="171">
        <f t="shared" si="48"/>
        <v>179.53792248276113</v>
      </c>
      <c r="S67" s="168"/>
      <c r="T67" s="128">
        <f>'Consolidated Cust Cnt'!B140</f>
        <v>40.375033479152137</v>
      </c>
      <c r="U67" s="128">
        <f t="shared" si="62"/>
        <v>179.53792248276201</v>
      </c>
      <c r="V67" s="128"/>
      <c r="W67" s="128">
        <f>'Consolidated Cust Cnt'!C140</f>
        <v>0</v>
      </c>
      <c r="X67" s="128">
        <f t="shared" si="63"/>
        <v>0</v>
      </c>
      <c r="Y67" s="128"/>
      <c r="Z67" s="128">
        <f t="shared" si="6"/>
        <v>179.53792248276201</v>
      </c>
      <c r="AA67" s="128">
        <f t="shared" si="49"/>
        <v>12684.489684700295</v>
      </c>
      <c r="AB67" s="128"/>
      <c r="AC67" s="128">
        <f t="shared" si="50"/>
        <v>0</v>
      </c>
      <c r="AE67" s="128">
        <f t="shared" si="51"/>
        <v>12684.489684700295</v>
      </c>
      <c r="AF67" s="213"/>
      <c r="AG67" s="177">
        <f>G67*$C$175*(References!$D$61/References!$H$64)</f>
        <v>0.51308723108113741</v>
      </c>
      <c r="AH67" s="213">
        <f t="shared" si="52"/>
        <v>0</v>
      </c>
    </row>
    <row r="68" spans="1:34" s="65" customFormat="1">
      <c r="A68" s="265"/>
      <c r="B68" s="49" t="s">
        <v>234</v>
      </c>
      <c r="C68" s="116" t="s">
        <v>202</v>
      </c>
      <c r="D68" s="141">
        <f>'Consolidated Cust Cnt'!D141</f>
        <v>23.999999999999996</v>
      </c>
      <c r="E68" s="73">
        <f>References!$C$9</f>
        <v>13</v>
      </c>
      <c r="F68" s="72">
        <f t="shared" si="4"/>
        <v>311.99999999999994</v>
      </c>
      <c r="G68" s="72">
        <f>References!$C$34</f>
        <v>324</v>
      </c>
      <c r="H68" s="72">
        <f t="shared" si="53"/>
        <v>101087.99999999999</v>
      </c>
      <c r="I68" s="48">
        <f t="shared" si="59"/>
        <v>80443.868437824713</v>
      </c>
      <c r="J68" s="71">
        <f>(References!$D$61*I68)</f>
        <v>156.86554345375879</v>
      </c>
      <c r="K68" s="71">
        <f>J68/References!$H$64</f>
        <v>160.08321609731482</v>
      </c>
      <c r="L68" s="71">
        <f t="shared" si="34"/>
        <v>0.5130872310811373</v>
      </c>
      <c r="M68" s="71">
        <f>M66</f>
        <v>36.25</v>
      </c>
      <c r="N68" s="71">
        <f t="shared" si="12"/>
        <v>36.763087231081137</v>
      </c>
      <c r="O68" s="71">
        <f>'Proposed Rates'!$E$136</f>
        <v>36.76</v>
      </c>
      <c r="P68" s="71">
        <f t="shared" si="54"/>
        <v>11309.999999999998</v>
      </c>
      <c r="Q68" s="76">
        <f t="shared" si="37"/>
        <v>11470.083216097313</v>
      </c>
      <c r="R68" s="171">
        <f t="shared" si="48"/>
        <v>160.08321609731502</v>
      </c>
      <c r="S68" s="168"/>
      <c r="T68" s="128">
        <f>'Consolidated Cust Cnt'!B141</f>
        <v>23.999999999999996</v>
      </c>
      <c r="U68" s="128">
        <f t="shared" si="62"/>
        <v>160.08321609731479</v>
      </c>
      <c r="V68" s="128"/>
      <c r="W68" s="128">
        <f>'Consolidated Cust Cnt'!C141</f>
        <v>0</v>
      </c>
      <c r="X68" s="128">
        <f t="shared" si="63"/>
        <v>0</v>
      </c>
      <c r="Y68" s="128"/>
      <c r="Z68" s="128">
        <f t="shared" si="6"/>
        <v>160.08321609731479</v>
      </c>
      <c r="AA68" s="128">
        <f t="shared" si="49"/>
        <v>11309.999999999998</v>
      </c>
      <c r="AB68" s="128"/>
      <c r="AC68" s="128">
        <f t="shared" si="50"/>
        <v>0</v>
      </c>
      <c r="AE68" s="128">
        <f t="shared" si="51"/>
        <v>11309.999999999998</v>
      </c>
      <c r="AF68" s="213"/>
      <c r="AG68" s="177">
        <f>G68*$C$175*(References!$D$61/References!$H$64)</f>
        <v>0.51308723108113741</v>
      </c>
      <c r="AH68" s="213">
        <f t="shared" si="52"/>
        <v>0</v>
      </c>
    </row>
    <row r="69" spans="1:34" s="65" customFormat="1">
      <c r="A69" s="265"/>
      <c r="B69" s="49">
        <v>41</v>
      </c>
      <c r="C69" s="116" t="s">
        <v>203</v>
      </c>
      <c r="D69" s="141">
        <f>'Consolidated Cust Cnt'!D142</f>
        <v>2255.7347605910081</v>
      </c>
      <c r="E69" s="73">
        <f>References!$C$11</f>
        <v>4.333333333333333</v>
      </c>
      <c r="F69" s="72">
        <f t="shared" si="4"/>
        <v>9774.8506292277016</v>
      </c>
      <c r="G69" s="72">
        <f>References!$C$36</f>
        <v>613</v>
      </c>
      <c r="H69" s="72">
        <f t="shared" si="53"/>
        <v>5991983.4357165806</v>
      </c>
      <c r="I69" s="48">
        <f t="shared" si="59"/>
        <v>4768304.1229860084</v>
      </c>
      <c r="J69" s="71">
        <f>(References!$D$61*I69)</f>
        <v>9298.1930398227505</v>
      </c>
      <c r="K69" s="71">
        <f>J69/References!$H$64</f>
        <v>9488.9203386291974</v>
      </c>
      <c r="L69" s="71">
        <f t="shared" si="34"/>
        <v>0.97074837238499112</v>
      </c>
      <c r="M69" s="71">
        <f>'Proposed Rates'!C137</f>
        <v>68.08</v>
      </c>
      <c r="N69" s="71">
        <f t="shared" si="12"/>
        <v>69.050748372384987</v>
      </c>
      <c r="O69" s="71">
        <f>'Proposed Rates'!$E$137</f>
        <v>69.05</v>
      </c>
      <c r="P69" s="71">
        <f t="shared" si="54"/>
        <v>665471.83083782194</v>
      </c>
      <c r="Q69" s="76">
        <f t="shared" si="37"/>
        <v>674960.7511764511</v>
      </c>
      <c r="R69" s="171">
        <f t="shared" si="48"/>
        <v>9488.9203386291629</v>
      </c>
      <c r="S69" s="168"/>
      <c r="T69" s="128">
        <f>'Consolidated Cust Cnt'!B142</f>
        <v>1687.0002140453096</v>
      </c>
      <c r="U69" s="128">
        <f t="shared" si="62"/>
        <v>7096.4950853230011</v>
      </c>
      <c r="V69" s="128"/>
      <c r="W69" s="128">
        <f>'Consolidated Cust Cnt'!C142</f>
        <v>568.73454654569855</v>
      </c>
      <c r="X69" s="128">
        <f t="shared" si="63"/>
        <v>2392.4252533061954</v>
      </c>
      <c r="Y69" s="128"/>
      <c r="Z69" s="128">
        <f t="shared" si="6"/>
        <v>9488.9203386291956</v>
      </c>
      <c r="AA69" s="128">
        <f t="shared" si="49"/>
        <v>497687.55647955358</v>
      </c>
      <c r="AB69" s="128"/>
      <c r="AC69" s="128">
        <f t="shared" si="50"/>
        <v>167784.27435826833</v>
      </c>
      <c r="AE69" s="128">
        <f t="shared" si="51"/>
        <v>665471.83083782194</v>
      </c>
      <c r="AF69" s="213"/>
      <c r="AG69" s="177">
        <f>G69*$C$175*(References!$D$61/References!$H$64)</f>
        <v>0.97074837238499134</v>
      </c>
      <c r="AH69" s="213">
        <f t="shared" si="52"/>
        <v>0</v>
      </c>
    </row>
    <row r="70" spans="1:34" s="65" customFormat="1">
      <c r="A70" s="265"/>
      <c r="B70" s="49" t="s">
        <v>234</v>
      </c>
      <c r="C70" s="116" t="s">
        <v>204</v>
      </c>
      <c r="D70" s="141">
        <f>'Consolidated Cust Cnt'!D143</f>
        <v>392.59725703392519</v>
      </c>
      <c r="E70" s="73">
        <f>References!$C$10</f>
        <v>8.6666666666666661</v>
      </c>
      <c r="F70" s="72">
        <f t="shared" si="4"/>
        <v>3402.5095609606847</v>
      </c>
      <c r="G70" s="72">
        <f>References!$C$36</f>
        <v>613</v>
      </c>
      <c r="H70" s="72">
        <f t="shared" si="53"/>
        <v>2085738.3608688996</v>
      </c>
      <c r="I70" s="48">
        <f t="shared" si="59"/>
        <v>1659790.1066146521</v>
      </c>
      <c r="J70" s="71">
        <f>(References!$D$61*I70)</f>
        <v>3236.5907078985838</v>
      </c>
      <c r="K70" s="71">
        <f>J70/References!$H$64</f>
        <v>3302.9806183269557</v>
      </c>
      <c r="L70" s="71">
        <f t="shared" si="34"/>
        <v>0.97074837238499123</v>
      </c>
      <c r="M70" s="71">
        <f>'Proposed Rates'!C137</f>
        <v>68.08</v>
      </c>
      <c r="N70" s="71">
        <f t="shared" si="12"/>
        <v>69.050748372384987</v>
      </c>
      <c r="O70" s="71">
        <f>'Proposed Rates'!$E$137</f>
        <v>69.05</v>
      </c>
      <c r="P70" s="71">
        <f t="shared" si="54"/>
        <v>231642.85091020341</v>
      </c>
      <c r="Q70" s="76">
        <f t="shared" si="37"/>
        <v>234945.83152853037</v>
      </c>
      <c r="R70" s="171">
        <f t="shared" si="48"/>
        <v>3302.9806183269538</v>
      </c>
      <c r="S70" s="168"/>
      <c r="T70" s="128">
        <f>'Consolidated Cust Cnt'!B143</f>
        <v>262.22224379567194</v>
      </c>
      <c r="U70" s="128">
        <f t="shared" si="62"/>
        <v>2206.1157418541707</v>
      </c>
      <c r="V70" s="128"/>
      <c r="W70" s="128">
        <f>'Consolidated Cust Cnt'!C143</f>
        <v>130.37501323825325</v>
      </c>
      <c r="X70" s="128">
        <f t="shared" si="63"/>
        <v>1096.8648764727855</v>
      </c>
      <c r="Y70" s="128"/>
      <c r="Z70" s="128">
        <f t="shared" si="6"/>
        <v>3302.9806183269561</v>
      </c>
      <c r="AA70" s="128">
        <f t="shared" si="49"/>
        <v>154718.1164326143</v>
      </c>
      <c r="AB70" s="128"/>
      <c r="AC70" s="128">
        <f t="shared" si="50"/>
        <v>76924.734477589096</v>
      </c>
      <c r="AE70" s="128">
        <f t="shared" si="51"/>
        <v>231642.85091020341</v>
      </c>
      <c r="AF70" s="213"/>
      <c r="AG70" s="177">
        <f>G70*$C$175*(References!$D$61/References!$H$64)</f>
        <v>0.97074837238499134</v>
      </c>
      <c r="AH70" s="213">
        <f t="shared" si="52"/>
        <v>0</v>
      </c>
    </row>
    <row r="71" spans="1:34" s="65" customFormat="1">
      <c r="A71" s="265"/>
      <c r="B71" s="49" t="s">
        <v>234</v>
      </c>
      <c r="C71" s="116" t="s">
        <v>205</v>
      </c>
      <c r="D71" s="141">
        <f>'Consolidated Cust Cnt'!D144</f>
        <v>37.16667849600173</v>
      </c>
      <c r="E71" s="73">
        <f>References!$C$9</f>
        <v>13</v>
      </c>
      <c r="F71" s="72">
        <f t="shared" si="4"/>
        <v>483.16682044802246</v>
      </c>
      <c r="G71" s="72">
        <f>References!$C$36</f>
        <v>613</v>
      </c>
      <c r="H71" s="72">
        <f t="shared" si="53"/>
        <v>296181.26093463774</v>
      </c>
      <c r="I71" s="48">
        <f t="shared" si="59"/>
        <v>235695.2990303007</v>
      </c>
      <c r="J71" s="71">
        <f>(References!$D$61*I71)</f>
        <v>459.60583310908805</v>
      </c>
      <c r="K71" s="71">
        <f>J71/References!$H$64</f>
        <v>469.03340454034907</v>
      </c>
      <c r="L71" s="71">
        <f t="shared" si="34"/>
        <v>0.97074837238499112</v>
      </c>
      <c r="M71" s="71">
        <f>'Proposed Rates'!C137</f>
        <v>68.08</v>
      </c>
      <c r="N71" s="71">
        <f t="shared" si="12"/>
        <v>69.050748372384987</v>
      </c>
      <c r="O71" s="71">
        <f>'Proposed Rates'!$E$137</f>
        <v>69.05</v>
      </c>
      <c r="P71" s="71">
        <f t="shared" si="54"/>
        <v>32893.997136101367</v>
      </c>
      <c r="Q71" s="76">
        <f t="shared" si="37"/>
        <v>33363.030540641717</v>
      </c>
      <c r="R71" s="171">
        <f t="shared" si="48"/>
        <v>469.0334045403506</v>
      </c>
      <c r="S71" s="168"/>
      <c r="T71" s="128">
        <f>'Consolidated Cust Cnt'!B144</f>
        <v>37.16667849600173</v>
      </c>
      <c r="U71" s="128">
        <f t="shared" si="62"/>
        <v>469.03340454034912</v>
      </c>
      <c r="V71" s="128"/>
      <c r="W71" s="128">
        <f>'Consolidated Cust Cnt'!C144</f>
        <v>0</v>
      </c>
      <c r="X71" s="128">
        <f t="shared" si="63"/>
        <v>0</v>
      </c>
      <c r="Y71" s="128"/>
      <c r="Z71" s="128">
        <f t="shared" si="6"/>
        <v>469.03340454034912</v>
      </c>
      <c r="AA71" s="128">
        <f t="shared" si="49"/>
        <v>32893.997136101367</v>
      </c>
      <c r="AB71" s="128"/>
      <c r="AC71" s="128">
        <f t="shared" si="50"/>
        <v>0</v>
      </c>
      <c r="AE71" s="128">
        <f t="shared" si="51"/>
        <v>32893.997136101367</v>
      </c>
      <c r="AF71" s="213"/>
      <c r="AG71" s="177">
        <f>G71*$C$175*(References!$D$61/References!$H$64)</f>
        <v>0.97074837238499134</v>
      </c>
      <c r="AH71" s="213">
        <f t="shared" si="52"/>
        <v>0</v>
      </c>
    </row>
    <row r="72" spans="1:34" s="65" customFormat="1">
      <c r="A72" s="265"/>
      <c r="B72" s="49" t="s">
        <v>234</v>
      </c>
      <c r="C72" s="116" t="s">
        <v>409</v>
      </c>
      <c r="D72" s="141">
        <f>'Consolidated Cust Cnt'!D145</f>
        <v>11.750002252881435</v>
      </c>
      <c r="E72" s="73">
        <f>References!C$8</f>
        <v>17.333333333333332</v>
      </c>
      <c r="F72" s="72">
        <f t="shared" ref="F72:F106" si="64">D72*E72</f>
        <v>203.66670571661152</v>
      </c>
      <c r="G72" s="72">
        <f>References!$C$36</f>
        <v>613</v>
      </c>
      <c r="H72" s="72">
        <f t="shared" ref="H72" si="65">F72*G72</f>
        <v>124847.69060428286</v>
      </c>
      <c r="I72" s="48">
        <f t="shared" si="59"/>
        <v>99351.369081762197</v>
      </c>
      <c r="J72" s="71">
        <f>(References!$D$61*I72)</f>
        <v>193.735169709437</v>
      </c>
      <c r="K72" s="71">
        <f>J72/References!$H$64</f>
        <v>197.70912308341363</v>
      </c>
      <c r="L72" s="71">
        <f t="shared" si="34"/>
        <v>0.97074837238499123</v>
      </c>
      <c r="M72" s="71">
        <f>'Proposed Rates'!C137</f>
        <v>68.08</v>
      </c>
      <c r="N72" s="71">
        <f t="shared" ref="N72" si="66">L72+M72</f>
        <v>69.050748372384987</v>
      </c>
      <c r="O72" s="71">
        <f>'Proposed Rates'!$E$137</f>
        <v>69.05</v>
      </c>
      <c r="P72" s="71">
        <f t="shared" ref="P72" si="67">F72*M72</f>
        <v>13865.629325186912</v>
      </c>
      <c r="Q72" s="76">
        <f t="shared" si="37"/>
        <v>14063.338448270324</v>
      </c>
      <c r="R72" s="171">
        <f t="shared" si="48"/>
        <v>197.70912308341212</v>
      </c>
      <c r="S72" s="168"/>
      <c r="T72" s="128">
        <f>'Consolidated Cust Cnt'!B145</f>
        <v>11.750002252881435</v>
      </c>
      <c r="U72" s="128">
        <f t="shared" si="62"/>
        <v>197.70912308341363</v>
      </c>
      <c r="V72" s="128"/>
      <c r="W72" s="128">
        <f>'Consolidated Cust Cnt'!C145</f>
        <v>0</v>
      </c>
      <c r="X72" s="128">
        <f t="shared" si="63"/>
        <v>0</v>
      </c>
      <c r="Y72" s="128"/>
      <c r="Z72" s="128">
        <f t="shared" ref="Z72" si="68">U72+X72</f>
        <v>197.70912308341363</v>
      </c>
      <c r="AA72" s="128">
        <f t="shared" si="49"/>
        <v>13865.629325186912</v>
      </c>
      <c r="AB72" s="128"/>
      <c r="AC72" s="128">
        <f t="shared" si="50"/>
        <v>0</v>
      </c>
      <c r="AE72" s="128">
        <f t="shared" si="51"/>
        <v>13865.629325186912</v>
      </c>
      <c r="AF72" s="213"/>
      <c r="AG72" s="177">
        <f>G72*$C$175*(References!$D$61/References!$H$64)</f>
        <v>0.97074837238499134</v>
      </c>
      <c r="AH72" s="213">
        <f t="shared" si="52"/>
        <v>0</v>
      </c>
    </row>
    <row r="73" spans="1:34" s="65" customFormat="1">
      <c r="A73" s="265"/>
      <c r="B73" s="49">
        <v>41</v>
      </c>
      <c r="C73" s="116" t="s">
        <v>206</v>
      </c>
      <c r="D73" s="141">
        <f>'Consolidated Cust Cnt'!D146</f>
        <v>1589.9588247306888</v>
      </c>
      <c r="E73" s="73">
        <f>References!$C$11</f>
        <v>4.333333333333333</v>
      </c>
      <c r="F73" s="72">
        <f t="shared" si="64"/>
        <v>6889.8215738329845</v>
      </c>
      <c r="G73" s="72">
        <f>References!$C$37</f>
        <v>840</v>
      </c>
      <c r="H73" s="72">
        <f t="shared" si="53"/>
        <v>5787450.1220197072</v>
      </c>
      <c r="I73" s="48">
        <f t="shared" si="59"/>
        <v>4605540.4816222107</v>
      </c>
      <c r="J73" s="71">
        <f>(References!$D$61*I73)</f>
        <v>8980.8039391633447</v>
      </c>
      <c r="K73" s="71">
        <f>J73/References!$H$64</f>
        <v>9165.020858417538</v>
      </c>
      <c r="L73" s="71">
        <f t="shared" si="34"/>
        <v>1.3302261546548007</v>
      </c>
      <c r="M73" s="71">
        <f>'Proposed Rates'!C138</f>
        <v>94.11</v>
      </c>
      <c r="N73" s="71">
        <f t="shared" si="12"/>
        <v>95.440226154654795</v>
      </c>
      <c r="O73" s="71">
        <f>'Proposed Rates'!$E$138</f>
        <v>95.44</v>
      </c>
      <c r="P73" s="71">
        <f t="shared" si="54"/>
        <v>648401.10831342218</v>
      </c>
      <c r="Q73" s="76">
        <f t="shared" si="37"/>
        <v>657566.12917183968</v>
      </c>
      <c r="R73" s="171">
        <f t="shared" si="48"/>
        <v>9165.0208584174979</v>
      </c>
      <c r="S73" s="168"/>
      <c r="T73" s="128">
        <f>'Consolidated Cust Cnt'!B146</f>
        <v>1099.1254531066525</v>
      </c>
      <c r="U73" s="128">
        <f t="shared" si="62"/>
        <v>6335.703508200203</v>
      </c>
      <c r="V73" s="128"/>
      <c r="W73" s="128">
        <f>'Consolidated Cust Cnt'!C146</f>
        <v>490.83337162403637</v>
      </c>
      <c r="X73" s="128">
        <f t="shared" si="63"/>
        <v>2829.3173502173345</v>
      </c>
      <c r="Y73" s="128"/>
      <c r="Z73" s="128">
        <f t="shared" si="6"/>
        <v>9165.020858417538</v>
      </c>
      <c r="AA73" s="128">
        <f t="shared" si="49"/>
        <v>448234.3510314239</v>
      </c>
      <c r="AB73" s="128"/>
      <c r="AC73" s="128">
        <f t="shared" si="50"/>
        <v>200166.75728199826</v>
      </c>
      <c r="AE73" s="128">
        <f t="shared" si="51"/>
        <v>648401.10831342218</v>
      </c>
      <c r="AF73" s="213"/>
      <c r="AG73" s="177">
        <f>G73*$C$175*(References!$D$61/References!$H$64)</f>
        <v>1.3302261546548004</v>
      </c>
      <c r="AH73" s="213">
        <f t="shared" si="52"/>
        <v>0</v>
      </c>
    </row>
    <row r="74" spans="1:34" s="65" customFormat="1">
      <c r="A74" s="265"/>
      <c r="B74" s="49" t="s">
        <v>234</v>
      </c>
      <c r="C74" s="116" t="s">
        <v>207</v>
      </c>
      <c r="D74" s="141">
        <f>'Consolidated Cust Cnt'!D147</f>
        <v>1091.4445354751851</v>
      </c>
      <c r="E74" s="73">
        <f>References!$C$10</f>
        <v>8.6666666666666661</v>
      </c>
      <c r="F74" s="72">
        <f t="shared" si="64"/>
        <v>9459.1859741182707</v>
      </c>
      <c r="G74" s="72">
        <f>References!$C$37</f>
        <v>840</v>
      </c>
      <c r="H74" s="72">
        <f t="shared" si="53"/>
        <v>7945716.2182593476</v>
      </c>
      <c r="I74" s="48">
        <f t="shared" si="59"/>
        <v>6323046.7523934115</v>
      </c>
      <c r="J74" s="71">
        <f>(References!$D$61*I74)</f>
        <v>12329.941167167199</v>
      </c>
      <c r="K74" s="71">
        <f>J74/References!$H$64</f>
        <v>12582.85658451597</v>
      </c>
      <c r="L74" s="71">
        <f t="shared" si="34"/>
        <v>1.3302261546548004</v>
      </c>
      <c r="M74" s="71">
        <f>'Proposed Rates'!C138</f>
        <v>94.11</v>
      </c>
      <c r="N74" s="71">
        <f t="shared" si="12"/>
        <v>95.440226154654795</v>
      </c>
      <c r="O74" s="71">
        <f>'Proposed Rates'!$E$138</f>
        <v>95.44</v>
      </c>
      <c r="P74" s="71">
        <f t="shared" si="54"/>
        <v>890203.99202427047</v>
      </c>
      <c r="Q74" s="76">
        <f t="shared" si="37"/>
        <v>902786.84860878636</v>
      </c>
      <c r="R74" s="171">
        <f t="shared" si="48"/>
        <v>12582.856584515888</v>
      </c>
      <c r="S74" s="168"/>
      <c r="T74" s="128">
        <f>'Consolidated Cust Cnt'!B147</f>
        <v>689.69451313865659</v>
      </c>
      <c r="U74" s="128">
        <f t="shared" si="62"/>
        <v>7951.2305608575653</v>
      </c>
      <c r="V74" s="128"/>
      <c r="W74" s="128">
        <f>'Consolidated Cust Cnt'!C147</f>
        <v>401.75002233652845</v>
      </c>
      <c r="X74" s="128">
        <f t="shared" si="63"/>
        <v>4631.6260236584039</v>
      </c>
      <c r="Y74" s="128"/>
      <c r="Z74" s="128">
        <f t="shared" si="6"/>
        <v>12582.856584515968</v>
      </c>
      <c r="AA74" s="128">
        <f t="shared" si="49"/>
        <v>562528.63880615111</v>
      </c>
      <c r="AB74" s="128"/>
      <c r="AC74" s="128">
        <f t="shared" si="50"/>
        <v>327675.3532181193</v>
      </c>
      <c r="AE74" s="128">
        <f t="shared" si="51"/>
        <v>890203.99202427035</v>
      </c>
      <c r="AF74" s="213"/>
      <c r="AG74" s="177">
        <f>G74*$C$175*(References!$D$61/References!$H$64)</f>
        <v>1.3302261546548004</v>
      </c>
      <c r="AH74" s="213">
        <f t="shared" si="52"/>
        <v>0</v>
      </c>
    </row>
    <row r="75" spans="1:34" s="65" customFormat="1">
      <c r="A75" s="265"/>
      <c r="B75" s="49" t="s">
        <v>234</v>
      </c>
      <c r="C75" s="116" t="s">
        <v>208</v>
      </c>
      <c r="D75" s="141">
        <f>'Consolidated Cust Cnt'!D148</f>
        <v>167.4935883799491</v>
      </c>
      <c r="E75" s="73">
        <f>References!$C$9</f>
        <v>13</v>
      </c>
      <c r="F75" s="72">
        <f t="shared" si="64"/>
        <v>2177.4166489393383</v>
      </c>
      <c r="G75" s="72">
        <f>References!$C$37</f>
        <v>840</v>
      </c>
      <c r="H75" s="72">
        <f t="shared" si="53"/>
        <v>1829029.9851090442</v>
      </c>
      <c r="I75" s="48">
        <f t="shared" si="59"/>
        <v>1455506.5634986197</v>
      </c>
      <c r="J75" s="71">
        <f>(References!$D$61*I75)</f>
        <v>2838.2377988223188</v>
      </c>
      <c r="K75" s="71">
        <f>J75/References!$H$64</f>
        <v>2896.4565759999173</v>
      </c>
      <c r="L75" s="71">
        <f t="shared" si="34"/>
        <v>1.3302261546548002</v>
      </c>
      <c r="M75" s="71">
        <f>'Proposed Rates'!C138</f>
        <v>94.11</v>
      </c>
      <c r="N75" s="71">
        <f t="shared" si="12"/>
        <v>95.440226154654795</v>
      </c>
      <c r="O75" s="71">
        <f>'Proposed Rates'!$E$138</f>
        <v>95.44</v>
      </c>
      <c r="P75" s="71">
        <f t="shared" si="54"/>
        <v>204916.68083168112</v>
      </c>
      <c r="Q75" s="76">
        <f t="shared" si="37"/>
        <v>207813.13740768103</v>
      </c>
      <c r="R75" s="171">
        <f t="shared" si="48"/>
        <v>2896.4565759999095</v>
      </c>
      <c r="S75" s="168"/>
      <c r="T75" s="128">
        <f>'Consolidated Cust Cnt'!B148</f>
        <v>167.4935883799491</v>
      </c>
      <c r="U75" s="128">
        <f t="shared" si="62"/>
        <v>2896.4565759999173</v>
      </c>
      <c r="V75" s="128"/>
      <c r="W75" s="128">
        <f>'Consolidated Cust Cnt'!C148</f>
        <v>0</v>
      </c>
      <c r="X75" s="128">
        <f t="shared" si="63"/>
        <v>0</v>
      </c>
      <c r="Y75" s="128"/>
      <c r="Z75" s="128">
        <f t="shared" ref="Z75:Z106" si="69">U75+X75</f>
        <v>2896.4565759999173</v>
      </c>
      <c r="AA75" s="128">
        <f t="shared" si="49"/>
        <v>204916.68083168112</v>
      </c>
      <c r="AB75" s="128"/>
      <c r="AC75" s="128">
        <f t="shared" si="50"/>
        <v>0</v>
      </c>
      <c r="AE75" s="128">
        <f t="shared" si="51"/>
        <v>204916.68083168112</v>
      </c>
      <c r="AF75" s="213"/>
      <c r="AG75" s="177">
        <f>G75*$C$175*(References!$D$61/References!$H$64)</f>
        <v>1.3302261546548004</v>
      </c>
      <c r="AH75" s="213">
        <f t="shared" si="52"/>
        <v>0</v>
      </c>
    </row>
    <row r="76" spans="1:34" s="65" customFormat="1">
      <c r="A76" s="265"/>
      <c r="B76" s="49" t="s">
        <v>234</v>
      </c>
      <c r="C76" s="116" t="s">
        <v>209</v>
      </c>
      <c r="D76" s="141">
        <f>'Consolidated Cust Cnt'!D149</f>
        <v>47.375004853007525</v>
      </c>
      <c r="E76" s="73">
        <f>References!C$8</f>
        <v>17.333333333333332</v>
      </c>
      <c r="F76" s="72">
        <f t="shared" si="64"/>
        <v>821.16675078546371</v>
      </c>
      <c r="G76" s="72">
        <f>References!$C$37</f>
        <v>840</v>
      </c>
      <c r="H76" s="72">
        <f t="shared" ref="H76:H105" si="70">F76*G76</f>
        <v>689780.07065978949</v>
      </c>
      <c r="I76" s="48">
        <f t="shared" si="59"/>
        <v>548913.59266371431</v>
      </c>
      <c r="J76" s="71">
        <f>(References!$D$61*I76)</f>
        <v>1070.3815056942469</v>
      </c>
      <c r="K76" s="71">
        <f>J76/References!$H$64</f>
        <v>1092.3374892277243</v>
      </c>
      <c r="L76" s="71">
        <f t="shared" si="34"/>
        <v>1.3302261546548004</v>
      </c>
      <c r="M76" s="71">
        <f>'Proposed Rates'!C138</f>
        <v>94.11</v>
      </c>
      <c r="N76" s="71">
        <f t="shared" si="12"/>
        <v>95.440226154654795</v>
      </c>
      <c r="O76" s="71">
        <f>'Proposed Rates'!$E$138</f>
        <v>95.44</v>
      </c>
      <c r="P76" s="71">
        <f t="shared" si="54"/>
        <v>77280.002916419995</v>
      </c>
      <c r="Q76" s="76">
        <f t="shared" si="37"/>
        <v>78372.340405647716</v>
      </c>
      <c r="R76" s="171">
        <f t="shared" si="48"/>
        <v>1092.3374892277207</v>
      </c>
      <c r="S76" s="168"/>
      <c r="T76" s="128">
        <f>'Consolidated Cust Cnt'!B149</f>
        <v>47.375004853007525</v>
      </c>
      <c r="U76" s="128">
        <f t="shared" si="62"/>
        <v>1092.3374892277243</v>
      </c>
      <c r="V76" s="128"/>
      <c r="W76" s="128">
        <f>'Consolidated Cust Cnt'!C149</f>
        <v>0</v>
      </c>
      <c r="X76" s="128">
        <f t="shared" si="63"/>
        <v>0</v>
      </c>
      <c r="Y76" s="128"/>
      <c r="Z76" s="128">
        <f t="shared" si="69"/>
        <v>1092.3374892277243</v>
      </c>
      <c r="AA76" s="128">
        <f t="shared" si="49"/>
        <v>77280.002916419995</v>
      </c>
      <c r="AB76" s="128"/>
      <c r="AC76" s="128">
        <f t="shared" si="50"/>
        <v>0</v>
      </c>
      <c r="AE76" s="128">
        <f t="shared" si="51"/>
        <v>77280.002916419995</v>
      </c>
      <c r="AF76" s="213"/>
      <c r="AG76" s="177">
        <f>G76*$C$175*(References!$D$61/References!$H$64)</f>
        <v>1.3302261546548004</v>
      </c>
      <c r="AH76" s="213">
        <f t="shared" si="52"/>
        <v>0</v>
      </c>
    </row>
    <row r="77" spans="1:34" s="65" customFormat="1">
      <c r="A77" s="265"/>
      <c r="B77" s="49" t="s">
        <v>234</v>
      </c>
      <c r="C77" s="116" t="s">
        <v>210</v>
      </c>
      <c r="D77" s="141">
        <f>'Consolidated Cust Cnt'!D150</f>
        <v>39.649998978904165</v>
      </c>
      <c r="E77" s="73">
        <f>References!C$7</f>
        <v>21.666666666666668</v>
      </c>
      <c r="F77" s="72">
        <f t="shared" si="64"/>
        <v>859.08331120959031</v>
      </c>
      <c r="G77" s="72">
        <f>References!$C$37</f>
        <v>840</v>
      </c>
      <c r="H77" s="72">
        <f t="shared" si="70"/>
        <v>721629.98141605582</v>
      </c>
      <c r="I77" s="48">
        <f t="shared" si="59"/>
        <v>574259.13348590431</v>
      </c>
      <c r="J77" s="71">
        <f>(References!$D$61*I77)</f>
        <v>1119.8053102975175</v>
      </c>
      <c r="K77" s="71">
        <f>J77/References!$H$64</f>
        <v>1142.7750895984464</v>
      </c>
      <c r="L77" s="71">
        <f t="shared" si="34"/>
        <v>1.3302261546548002</v>
      </c>
      <c r="M77" s="71">
        <f>'Proposed Rates'!C138</f>
        <v>94.11</v>
      </c>
      <c r="N77" s="71">
        <f t="shared" si="12"/>
        <v>95.440226154654795</v>
      </c>
      <c r="O77" s="71">
        <f>'Proposed Rates'!$E$138</f>
        <v>95.44</v>
      </c>
      <c r="P77" s="71">
        <f t="shared" si="54"/>
        <v>80848.330417934543</v>
      </c>
      <c r="Q77" s="76">
        <f t="shared" si="37"/>
        <v>81991.105507532979</v>
      </c>
      <c r="R77" s="171">
        <f t="shared" si="48"/>
        <v>1142.7750895984354</v>
      </c>
      <c r="S77" s="168"/>
      <c r="T77" s="128">
        <f>'Consolidated Cust Cnt'!B150</f>
        <v>39.649998978904165</v>
      </c>
      <c r="U77" s="128">
        <f t="shared" si="62"/>
        <v>1142.7750895984464</v>
      </c>
      <c r="V77" s="128"/>
      <c r="W77" s="128">
        <f>'Consolidated Cust Cnt'!C150</f>
        <v>0</v>
      </c>
      <c r="X77" s="128">
        <f t="shared" si="63"/>
        <v>0</v>
      </c>
      <c r="Y77" s="128"/>
      <c r="Z77" s="128">
        <f t="shared" si="69"/>
        <v>1142.7750895984464</v>
      </c>
      <c r="AA77" s="128">
        <f t="shared" si="49"/>
        <v>80848.330417934543</v>
      </c>
      <c r="AB77" s="128"/>
      <c r="AC77" s="128">
        <f t="shared" si="50"/>
        <v>0</v>
      </c>
      <c r="AE77" s="128">
        <f t="shared" si="51"/>
        <v>80848.330417934543</v>
      </c>
      <c r="AF77" s="213"/>
      <c r="AG77" s="177">
        <f>G77*$C$175*(References!$D$61/References!$H$64)</f>
        <v>1.3302261546548004</v>
      </c>
      <c r="AH77" s="213">
        <f t="shared" si="52"/>
        <v>0</v>
      </c>
    </row>
    <row r="78" spans="1:34" s="65" customFormat="1">
      <c r="A78" s="265"/>
      <c r="B78" s="49">
        <v>44</v>
      </c>
      <c r="C78" s="114" t="s">
        <v>211</v>
      </c>
      <c r="D78" s="141">
        <f>'Consolidated Cust Cnt'!D151</f>
        <v>11.999999999999998</v>
      </c>
      <c r="E78" s="73">
        <f>References!$C$11</f>
        <v>4.333333333333333</v>
      </c>
      <c r="F78" s="72">
        <f t="shared" si="64"/>
        <v>51.999999999999986</v>
      </c>
      <c r="G78" s="122">
        <f>References!C40</f>
        <v>729</v>
      </c>
      <c r="H78" s="122">
        <f t="shared" si="70"/>
        <v>37907.999999999993</v>
      </c>
      <c r="I78" s="48">
        <f t="shared" si="59"/>
        <v>30166.450664184267</v>
      </c>
      <c r="J78" s="71">
        <f>(References!$D$61*I78)</f>
        <v>58.824578795159539</v>
      </c>
      <c r="K78" s="71">
        <f>J78/References!$H$64</f>
        <v>60.031206036493053</v>
      </c>
      <c r="L78" s="71">
        <f t="shared" si="34"/>
        <v>1.1544462699325591</v>
      </c>
      <c r="M78" s="71">
        <f>'Proposed Rates'!C171</f>
        <v>77.180000000000007</v>
      </c>
      <c r="N78" s="71">
        <f t="shared" si="12"/>
        <v>78.33444626993257</v>
      </c>
      <c r="O78" s="71">
        <f>'Proposed Rates'!E171</f>
        <v>78.330000000000013</v>
      </c>
      <c r="P78" s="71">
        <f t="shared" si="54"/>
        <v>4013.3599999999992</v>
      </c>
      <c r="Q78" s="76">
        <f t="shared" si="37"/>
        <v>4073.3912060364923</v>
      </c>
      <c r="R78" s="171">
        <f t="shared" si="48"/>
        <v>60.031206036493131</v>
      </c>
      <c r="S78" s="168"/>
      <c r="T78" s="128">
        <f>'Consolidated Cust Cnt'!B151</f>
        <v>11.999999999999998</v>
      </c>
      <c r="U78" s="128">
        <f t="shared" si="62"/>
        <v>60.03120603649306</v>
      </c>
      <c r="V78" s="128"/>
      <c r="W78" s="128">
        <f>'Consolidated Cust Cnt'!C151</f>
        <v>0</v>
      </c>
      <c r="X78" s="128">
        <f t="shared" si="63"/>
        <v>0</v>
      </c>
      <c r="Y78" s="128"/>
      <c r="Z78" s="128">
        <f t="shared" si="69"/>
        <v>60.03120603649306</v>
      </c>
      <c r="AA78" s="128">
        <f t="shared" si="49"/>
        <v>4013.3599999999997</v>
      </c>
      <c r="AB78" s="128"/>
      <c r="AC78" s="128">
        <f t="shared" si="50"/>
        <v>0</v>
      </c>
      <c r="AE78" s="128">
        <f t="shared" si="51"/>
        <v>4013.3599999999997</v>
      </c>
      <c r="AF78" s="213"/>
      <c r="AG78" s="177">
        <f>G78*$C$175*(References!$D$61/References!$H$64)</f>
        <v>1.1544462699325591</v>
      </c>
      <c r="AH78" s="213">
        <f t="shared" si="52"/>
        <v>0</v>
      </c>
    </row>
    <row r="79" spans="1:34" s="65" customFormat="1">
      <c r="A79" s="265"/>
      <c r="B79" s="49">
        <v>44</v>
      </c>
      <c r="C79" s="114" t="s">
        <v>410</v>
      </c>
      <c r="D79" s="141">
        <f>'Consolidated Cust Cnt'!D153</f>
        <v>12.241522137619855</v>
      </c>
      <c r="E79" s="73">
        <f>References!$C$11</f>
        <v>4.333333333333333</v>
      </c>
      <c r="F79" s="72">
        <f t="shared" si="64"/>
        <v>53.046595929686035</v>
      </c>
      <c r="G79" s="122">
        <f>References!C41</f>
        <v>1379.25</v>
      </c>
      <c r="H79" s="122">
        <f t="shared" si="70"/>
        <v>73164.517436019465</v>
      </c>
      <c r="I79" s="48">
        <f t="shared" si="59"/>
        <v>58222.902965140107</v>
      </c>
      <c r="J79" s="71">
        <f>(References!$D$61*I79)</f>
        <v>113.53466078202364</v>
      </c>
      <c r="K79" s="71">
        <f>J79/References!$H$64</f>
        <v>115.8635174834408</v>
      </c>
      <c r="L79" s="71">
        <f t="shared" si="34"/>
        <v>2.1841838378662306</v>
      </c>
      <c r="M79" s="71">
        <f>'Proposed Rates'!C172</f>
        <v>139.94</v>
      </c>
      <c r="N79" s="71">
        <f t="shared" si="12"/>
        <v>142.12418383786624</v>
      </c>
      <c r="O79" s="71">
        <f>'Proposed Rates'!E172</f>
        <v>142.12</v>
      </c>
      <c r="P79" s="71">
        <f t="shared" si="54"/>
        <v>7423.3406344002633</v>
      </c>
      <c r="Q79" s="76">
        <f t="shared" si="37"/>
        <v>7539.204151883705</v>
      </c>
      <c r="R79" s="171">
        <f t="shared" si="48"/>
        <v>115.86351748344168</v>
      </c>
      <c r="S79" s="168"/>
      <c r="T79" s="128">
        <f>'Consolidated Cust Cnt'!B153</f>
        <v>12.241522137619855</v>
      </c>
      <c r="U79" s="128">
        <f t="shared" si="62"/>
        <v>115.8635174834408</v>
      </c>
      <c r="V79" s="128"/>
      <c r="W79" s="128">
        <f>'Consolidated Cust Cnt'!C153</f>
        <v>0</v>
      </c>
      <c r="X79" s="128">
        <f t="shared" si="63"/>
        <v>0</v>
      </c>
      <c r="Y79" s="128"/>
      <c r="Z79" s="128">
        <f t="shared" si="69"/>
        <v>115.8635174834408</v>
      </c>
      <c r="AA79" s="128">
        <f t="shared" si="49"/>
        <v>7423.3406344002633</v>
      </c>
      <c r="AB79" s="128"/>
      <c r="AC79" s="128">
        <f t="shared" si="50"/>
        <v>0</v>
      </c>
      <c r="AE79" s="128">
        <f t="shared" si="51"/>
        <v>7423.3406344002633</v>
      </c>
      <c r="AF79" s="213"/>
      <c r="AG79" s="177">
        <f>G79*$C$175*(References!$D$61/References!$H$64)</f>
        <v>2.1841838378662306</v>
      </c>
      <c r="AH79" s="213">
        <f t="shared" si="52"/>
        <v>0</v>
      </c>
    </row>
    <row r="80" spans="1:34" s="65" customFormat="1">
      <c r="A80" s="265"/>
      <c r="B80" s="49">
        <v>46</v>
      </c>
      <c r="C80" s="114" t="s">
        <v>419</v>
      </c>
      <c r="D80" s="141">
        <f>'Consolidated Cust Cnt'!D154</f>
        <v>11.999999999999998</v>
      </c>
      <c r="E80" s="73">
        <f>References!$C$11</f>
        <v>4.333333333333333</v>
      </c>
      <c r="F80" s="72">
        <f t="shared" si="64"/>
        <v>51.999999999999986</v>
      </c>
      <c r="G80" s="122">
        <f>References!C50</f>
        <v>2452</v>
      </c>
      <c r="H80" s="122">
        <f t="shared" ref="H80" si="71">F80*G80</f>
        <v>127503.99999999997</v>
      </c>
      <c r="I80" s="48">
        <f t="shared" si="59"/>
        <v>101465.20854400525</v>
      </c>
      <c r="J80" s="71">
        <f>(References!$D$61*I80)</f>
        <v>197.85715666081097</v>
      </c>
      <c r="K80" s="71">
        <f>J80/References!$H$64</f>
        <v>201.91566145607814</v>
      </c>
      <c r="L80" s="71">
        <f t="shared" si="34"/>
        <v>3.8829934895399654</v>
      </c>
      <c r="M80" s="71">
        <f>'Proposed Rates'!C192</f>
        <v>223.17</v>
      </c>
      <c r="N80" s="71">
        <f t="shared" ref="N80" si="72">L80+M80</f>
        <v>227.05299348953994</v>
      </c>
      <c r="O80" s="71">
        <f>'Proposed Rates'!E192</f>
        <v>227.04999999999998</v>
      </c>
      <c r="P80" s="71">
        <f t="shared" ref="P80" si="73">F80*M80</f>
        <v>11604.839999999997</v>
      </c>
      <c r="Q80" s="76">
        <f t="shared" si="37"/>
        <v>11806.755661456074</v>
      </c>
      <c r="R80" s="171">
        <f t="shared" si="48"/>
        <v>201.91566145607794</v>
      </c>
      <c r="S80" s="168"/>
      <c r="T80" s="128">
        <f>'Consolidated Cust Cnt'!B154</f>
        <v>11.999999999999998</v>
      </c>
      <c r="U80" s="128">
        <f t="shared" si="62"/>
        <v>201.91566145607817</v>
      </c>
      <c r="V80" s="128"/>
      <c r="W80" s="128">
        <f>'Consolidated Cust Cnt'!C154</f>
        <v>0</v>
      </c>
      <c r="X80" s="128">
        <f t="shared" si="63"/>
        <v>0</v>
      </c>
      <c r="Y80" s="128"/>
      <c r="Z80" s="128">
        <f t="shared" si="69"/>
        <v>201.91566145607817</v>
      </c>
      <c r="AA80" s="128">
        <f t="shared" si="49"/>
        <v>11604.839999999997</v>
      </c>
      <c r="AB80" s="128"/>
      <c r="AC80" s="128">
        <f t="shared" si="50"/>
        <v>0</v>
      </c>
      <c r="AE80" s="128">
        <f t="shared" si="51"/>
        <v>11604.839999999997</v>
      </c>
      <c r="AF80" s="213"/>
      <c r="AG80" s="177">
        <f>G80*$C$175*(References!$D$61/References!$H$64)</f>
        <v>3.8829934895399654</v>
      </c>
      <c r="AH80" s="213">
        <f t="shared" si="52"/>
        <v>0</v>
      </c>
    </row>
    <row r="81" spans="1:34" s="65" customFormat="1">
      <c r="A81" s="265"/>
      <c r="B81" s="49">
        <v>47</v>
      </c>
      <c r="C81" s="114" t="s">
        <v>420</v>
      </c>
      <c r="D81" s="141">
        <f>'Consolidated Cust Cnt'!D155</f>
        <v>13</v>
      </c>
      <c r="E81" s="73">
        <f>References!$C$11</f>
        <v>4.333333333333333</v>
      </c>
      <c r="F81" s="72">
        <f t="shared" si="64"/>
        <v>56.333333333333329</v>
      </c>
      <c r="G81" s="122">
        <f>References!C53</f>
        <v>3065</v>
      </c>
      <c r="H81" s="122">
        <f t="shared" si="70"/>
        <v>172661.66666666666</v>
      </c>
      <c r="I81" s="48">
        <f t="shared" si="59"/>
        <v>137400.80323667379</v>
      </c>
      <c r="J81" s="71">
        <f>(References!$D$61*I81)</f>
        <v>267.93156631151487</v>
      </c>
      <c r="K81" s="71">
        <f>J81/References!$H$64</f>
        <v>273.4274582217725</v>
      </c>
      <c r="L81" s="71">
        <f t="shared" si="34"/>
        <v>4.8537418619249557</v>
      </c>
      <c r="M81" s="71">
        <f>'Proposed Rates'!C200</f>
        <v>241.51</v>
      </c>
      <c r="N81" s="71">
        <f t="shared" si="12"/>
        <v>246.36374186192495</v>
      </c>
      <c r="O81" s="71">
        <f>'Proposed Rates'!$E$200</f>
        <v>246.35999999999999</v>
      </c>
      <c r="P81" s="71">
        <f t="shared" si="54"/>
        <v>13605.063333333332</v>
      </c>
      <c r="Q81" s="76">
        <f t="shared" si="37"/>
        <v>13878.490791555105</v>
      </c>
      <c r="R81" s="171">
        <f t="shared" si="48"/>
        <v>273.42745822177312</v>
      </c>
      <c r="S81" s="168"/>
      <c r="T81" s="128">
        <f>'Consolidated Cust Cnt'!B155</f>
        <v>13</v>
      </c>
      <c r="U81" s="128">
        <f t="shared" si="62"/>
        <v>273.4274582217725</v>
      </c>
      <c r="V81" s="128"/>
      <c r="W81" s="128">
        <f>'Consolidated Cust Cnt'!C155</f>
        <v>0</v>
      </c>
      <c r="X81" s="128">
        <f t="shared" si="63"/>
        <v>0</v>
      </c>
      <c r="Y81" s="128"/>
      <c r="Z81" s="128">
        <f t="shared" si="69"/>
        <v>273.4274582217725</v>
      </c>
      <c r="AA81" s="128">
        <f t="shared" si="49"/>
        <v>13605.063333333334</v>
      </c>
      <c r="AB81" s="128"/>
      <c r="AC81" s="128">
        <f t="shared" si="50"/>
        <v>0</v>
      </c>
      <c r="AE81" s="128">
        <f t="shared" si="51"/>
        <v>13605.063333333334</v>
      </c>
      <c r="AF81" s="213"/>
      <c r="AG81" s="177">
        <f>G81*$C$175*(References!$D$61/References!$H$64)</f>
        <v>4.8537418619249566</v>
      </c>
      <c r="AH81" s="213">
        <f t="shared" si="52"/>
        <v>0</v>
      </c>
    </row>
    <row r="82" spans="1:34" s="65" customFormat="1">
      <c r="A82" s="265"/>
      <c r="B82" s="49" t="s">
        <v>234</v>
      </c>
      <c r="C82" s="114" t="s">
        <v>423</v>
      </c>
      <c r="D82" s="141">
        <f>'Consolidated Cust Cnt'!D167</f>
        <v>11.999999999999998</v>
      </c>
      <c r="E82" s="73">
        <f>References!$C$12</f>
        <v>2.1666666666666665</v>
      </c>
      <c r="F82" s="72">
        <f t="shared" si="64"/>
        <v>25.999999999999993</v>
      </c>
      <c r="G82" s="122">
        <f>References!C53</f>
        <v>3065</v>
      </c>
      <c r="H82" s="122">
        <f t="shared" ref="H82" si="74">F82*G82</f>
        <v>79689.999999999985</v>
      </c>
      <c r="I82" s="48">
        <f t="shared" si="59"/>
        <v>63415.755340003278</v>
      </c>
      <c r="J82" s="71">
        <f>(References!$D$61*I82)</f>
        <v>123.66072291300685</v>
      </c>
      <c r="K82" s="71">
        <f>J82/References!$H$64</f>
        <v>126.19728841004883</v>
      </c>
      <c r="L82" s="71">
        <f t="shared" si="34"/>
        <v>4.8537418619249566</v>
      </c>
      <c r="M82" s="71">
        <f>'Proposed Rates'!C200</f>
        <v>241.51</v>
      </c>
      <c r="N82" s="71">
        <f t="shared" ref="N82" si="75">L82+M82</f>
        <v>246.36374186192495</v>
      </c>
      <c r="O82" s="71">
        <f>'Proposed Rates'!$E$200</f>
        <v>246.35999999999999</v>
      </c>
      <c r="P82" s="71">
        <f t="shared" ref="P82" si="76">F82*M82</f>
        <v>6279.2599999999984</v>
      </c>
      <c r="Q82" s="76">
        <f t="shared" si="37"/>
        <v>6405.4572884100471</v>
      </c>
      <c r="R82" s="171">
        <f t="shared" si="48"/>
        <v>126.19728841004871</v>
      </c>
      <c r="S82" s="168"/>
      <c r="T82" s="128">
        <f>'Consolidated Cust Cnt'!B167</f>
        <v>0</v>
      </c>
      <c r="U82" s="128">
        <f t="shared" si="62"/>
        <v>0</v>
      </c>
      <c r="V82" s="128"/>
      <c r="W82" s="128">
        <f>'Consolidated Cust Cnt'!C167</f>
        <v>11.999999999999998</v>
      </c>
      <c r="X82" s="128">
        <f t="shared" si="63"/>
        <v>126.19728841004884</v>
      </c>
      <c r="Y82" s="128"/>
      <c r="Z82" s="128">
        <f t="shared" ref="Z82:Z83" si="77">U82+X82</f>
        <v>126.19728841004884</v>
      </c>
      <c r="AA82" s="128">
        <f t="shared" si="49"/>
        <v>0</v>
      </c>
      <c r="AB82" s="128"/>
      <c r="AC82" s="128">
        <f t="shared" si="50"/>
        <v>6279.2599999999984</v>
      </c>
      <c r="AE82" s="128">
        <f t="shared" si="51"/>
        <v>6279.2599999999984</v>
      </c>
      <c r="AF82" s="213"/>
      <c r="AG82" s="177">
        <f>G82*$C$175*(References!$D$61/References!$H$64)</f>
        <v>4.8537418619249566</v>
      </c>
      <c r="AH82" s="213">
        <f t="shared" si="52"/>
        <v>0</v>
      </c>
    </row>
    <row r="83" spans="1:34" s="65" customFormat="1">
      <c r="A83" s="265"/>
      <c r="B83" s="49">
        <v>47</v>
      </c>
      <c r="C83" s="114" t="s">
        <v>411</v>
      </c>
      <c r="D83" s="167">
        <f>'Consolidated Cust Cnt'!D166</f>
        <v>17.779278142352343</v>
      </c>
      <c r="E83" s="73">
        <f>References!$C$14</f>
        <v>1</v>
      </c>
      <c r="F83" s="72">
        <f t="shared" si="64"/>
        <v>17.779278142352343</v>
      </c>
      <c r="G83" s="122">
        <f>References!C53</f>
        <v>3065</v>
      </c>
      <c r="H83" s="122">
        <f t="shared" ref="H83" si="78">F83*G83</f>
        <v>54493.487506309932</v>
      </c>
      <c r="I83" s="48">
        <f t="shared" si="59"/>
        <v>43364.859722972476</v>
      </c>
      <c r="J83" s="71">
        <f>(References!$D$61*I83)</f>
        <v>84.561476459796651</v>
      </c>
      <c r="K83" s="71">
        <f>J83/References!$H$64</f>
        <v>86.296026594342948</v>
      </c>
      <c r="L83" s="71">
        <f t="shared" si="34"/>
        <v>4.8537418619249566</v>
      </c>
      <c r="M83" s="71">
        <f>'Proposed Rates'!C203</f>
        <v>247.56</v>
      </c>
      <c r="N83" s="71">
        <f t="shared" ref="N83" si="79">L83+M83</f>
        <v>252.41374186192496</v>
      </c>
      <c r="O83" s="71">
        <f>'Proposed Rates'!$E$203</f>
        <v>252.41</v>
      </c>
      <c r="P83" s="71">
        <f t="shared" ref="P83" si="80">F83*M83</f>
        <v>4401.4380969207459</v>
      </c>
      <c r="Q83" s="76">
        <f t="shared" si="37"/>
        <v>4487.7341235150889</v>
      </c>
      <c r="R83" s="171">
        <f t="shared" si="48"/>
        <v>86.296026594342948</v>
      </c>
      <c r="S83" s="168"/>
      <c r="T83" s="128">
        <f>'Consolidated Cust Cnt'!B166</f>
        <v>17.779278142352343</v>
      </c>
      <c r="U83" s="128">
        <f t="shared" si="62"/>
        <v>86.296026594342948</v>
      </c>
      <c r="V83" s="128"/>
      <c r="W83" s="128">
        <f>'Consolidated Cust Cnt'!C166</f>
        <v>0</v>
      </c>
      <c r="X83" s="128">
        <f t="shared" si="63"/>
        <v>0</v>
      </c>
      <c r="Y83" s="128"/>
      <c r="Z83" s="128">
        <f t="shared" si="77"/>
        <v>86.296026594342948</v>
      </c>
      <c r="AA83" s="128">
        <f t="shared" si="49"/>
        <v>4401.4380969207459</v>
      </c>
      <c r="AB83" s="128"/>
      <c r="AC83" s="128">
        <f t="shared" si="50"/>
        <v>0</v>
      </c>
      <c r="AE83" s="128">
        <f t="shared" si="51"/>
        <v>4401.4380969207459</v>
      </c>
      <c r="AF83" s="213"/>
      <c r="AG83" s="177">
        <f>G83*$C$175*E83*(References!$D$61/References!$H$64)</f>
        <v>4.8537418619249566</v>
      </c>
      <c r="AH83" s="213">
        <f t="shared" si="52"/>
        <v>0</v>
      </c>
    </row>
    <row r="84" spans="1:34" s="65" customFormat="1">
      <c r="A84" s="265"/>
      <c r="B84" s="49" t="s">
        <v>234</v>
      </c>
      <c r="C84" s="114" t="s">
        <v>212</v>
      </c>
      <c r="D84" s="141">
        <f>'Consolidated Cust Cnt'!D158</f>
        <v>12</v>
      </c>
      <c r="E84" s="73">
        <f>References!$C$10</f>
        <v>8.6666666666666661</v>
      </c>
      <c r="F84" s="72">
        <f t="shared" si="64"/>
        <v>104</v>
      </c>
      <c r="G84" s="122">
        <f>References!C47</f>
        <v>2520</v>
      </c>
      <c r="H84" s="122">
        <f t="shared" si="70"/>
        <v>262080</v>
      </c>
      <c r="I84" s="48">
        <f t="shared" si="59"/>
        <v>208558.17743139746</v>
      </c>
      <c r="J84" s="71">
        <f>(References!$D$61*I84)</f>
        <v>406.68844599122656</v>
      </c>
      <c r="K84" s="71">
        <f>J84/References!$H$64</f>
        <v>415.03056025229773</v>
      </c>
      <c r="L84" s="71">
        <f t="shared" si="34"/>
        <v>3.9906784639644011</v>
      </c>
      <c r="M84" s="71">
        <f>'Proposed Rates'!C183</f>
        <v>247.11</v>
      </c>
      <c r="N84" s="71">
        <f t="shared" si="12"/>
        <v>251.10067846396441</v>
      </c>
      <c r="O84" s="71">
        <f>'Proposed Rates'!E183</f>
        <v>251.10000000000002</v>
      </c>
      <c r="P84" s="71">
        <f t="shared" si="54"/>
        <v>25699.440000000002</v>
      </c>
      <c r="Q84" s="76">
        <f t="shared" si="37"/>
        <v>26114.470560252299</v>
      </c>
      <c r="R84" s="171">
        <f t="shared" si="48"/>
        <v>415.03056025229671</v>
      </c>
      <c r="S84" s="168"/>
      <c r="T84" s="128">
        <f>'Consolidated Cust Cnt'!B158</f>
        <v>0</v>
      </c>
      <c r="U84" s="128">
        <f t="shared" si="62"/>
        <v>0</v>
      </c>
      <c r="V84" s="128"/>
      <c r="W84" s="128">
        <f>'Consolidated Cust Cnt'!C158</f>
        <v>12</v>
      </c>
      <c r="X84" s="128">
        <f t="shared" si="63"/>
        <v>415.03056025229773</v>
      </c>
      <c r="Y84" s="128"/>
      <c r="Z84" s="128">
        <f t="shared" si="69"/>
        <v>415.03056025229773</v>
      </c>
      <c r="AA84" s="128">
        <f t="shared" si="49"/>
        <v>0</v>
      </c>
      <c r="AB84" s="128"/>
      <c r="AC84" s="128">
        <f t="shared" si="50"/>
        <v>25699.439999999999</v>
      </c>
      <c r="AE84" s="128">
        <f t="shared" si="51"/>
        <v>25699.439999999999</v>
      </c>
      <c r="AF84" s="213"/>
      <c r="AG84" s="177">
        <f>G84*$C$175*(References!$D$61/References!$H$64)</f>
        <v>3.9906784639644011</v>
      </c>
      <c r="AH84" s="213">
        <f t="shared" si="52"/>
        <v>0</v>
      </c>
    </row>
    <row r="85" spans="1:34" s="65" customFormat="1">
      <c r="A85" s="265"/>
      <c r="B85" s="49">
        <v>46</v>
      </c>
      <c r="C85" s="114" t="s">
        <v>424</v>
      </c>
      <c r="D85" s="141">
        <f>'Consolidated Cust Cnt'!D168</f>
        <v>2</v>
      </c>
      <c r="E85" s="73">
        <f>References!$C$11</f>
        <v>4.333333333333333</v>
      </c>
      <c r="F85" s="72">
        <f t="shared" si="64"/>
        <v>8.6666666666666661</v>
      </c>
      <c r="G85" s="122">
        <f>References!C51</f>
        <v>3360</v>
      </c>
      <c r="H85" s="122">
        <f t="shared" si="70"/>
        <v>29119.999999999996</v>
      </c>
      <c r="I85" s="48">
        <f t="shared" si="59"/>
        <v>23173.130825710825</v>
      </c>
      <c r="J85" s="71">
        <f>(References!$D$61*I85)</f>
        <v>45.187605110136275</v>
      </c>
      <c r="K85" s="71">
        <f>J85/References!$H$64</f>
        <v>46.114506694699742</v>
      </c>
      <c r="L85" s="71">
        <f t="shared" si="34"/>
        <v>5.3209046186192017</v>
      </c>
      <c r="M85" s="71">
        <f>'Proposed Rates'!C193</f>
        <v>318.14</v>
      </c>
      <c r="N85" s="71">
        <f t="shared" si="12"/>
        <v>323.46090461861917</v>
      </c>
      <c r="O85" s="71">
        <f>'Proposed Rates'!E193</f>
        <v>323.45999999999998</v>
      </c>
      <c r="P85" s="71">
        <f t="shared" ref="P85" si="81">F85*M85</f>
        <v>2757.2133333333331</v>
      </c>
      <c r="Q85" s="76">
        <f t="shared" si="37"/>
        <v>2803.3278400280324</v>
      </c>
      <c r="R85" s="171">
        <f t="shared" si="48"/>
        <v>46.11450669469923</v>
      </c>
      <c r="S85" s="168"/>
      <c r="T85" s="128">
        <f>'Consolidated Cust Cnt'!B168</f>
        <v>2</v>
      </c>
      <c r="U85" s="128">
        <f t="shared" si="62"/>
        <v>46.114506694699742</v>
      </c>
      <c r="V85" s="128"/>
      <c r="W85" s="128">
        <f>'Consolidated Cust Cnt'!C159</f>
        <v>0</v>
      </c>
      <c r="X85" s="128">
        <f t="shared" si="63"/>
        <v>0</v>
      </c>
      <c r="Y85" s="128"/>
      <c r="Z85" s="128">
        <f t="shared" si="69"/>
        <v>46.114506694699742</v>
      </c>
      <c r="AA85" s="128">
        <f t="shared" si="49"/>
        <v>2757.2133333333331</v>
      </c>
      <c r="AB85" s="128"/>
      <c r="AC85" s="128">
        <f t="shared" si="50"/>
        <v>0</v>
      </c>
      <c r="AE85" s="128">
        <f t="shared" si="51"/>
        <v>2757.2133333333331</v>
      </c>
      <c r="AF85" s="213"/>
      <c r="AG85" s="177">
        <f>G85*$C$175*(References!$D$61/References!$H$64)</f>
        <v>5.3209046186192017</v>
      </c>
      <c r="AH85" s="213">
        <f t="shared" si="52"/>
        <v>0</v>
      </c>
    </row>
    <row r="86" spans="1:34" s="65" customFormat="1">
      <c r="A86" s="265"/>
      <c r="B86" s="49" t="s">
        <v>234</v>
      </c>
      <c r="C86" s="114" t="s">
        <v>421</v>
      </c>
      <c r="D86" s="141">
        <f>'Consolidated Cust Cnt'!D160</f>
        <v>9.250001946418978</v>
      </c>
      <c r="E86" s="73">
        <f>References!$C$10</f>
        <v>8.6666666666666661</v>
      </c>
      <c r="F86" s="72">
        <f t="shared" si="64"/>
        <v>80.166683535631137</v>
      </c>
      <c r="G86" s="122">
        <f>References!C51</f>
        <v>3360</v>
      </c>
      <c r="H86" s="122">
        <f t="shared" si="70"/>
        <v>269360.05667972064</v>
      </c>
      <c r="I86" s="48">
        <f t="shared" si="59"/>
        <v>214351.50524244679</v>
      </c>
      <c r="J86" s="71">
        <f>(References!$D$61*I86)</f>
        <v>417.98543522277282</v>
      </c>
      <c r="K86" s="71">
        <f>J86/References!$H$64</f>
        <v>426.55927668412369</v>
      </c>
      <c r="L86" s="71">
        <f t="shared" si="34"/>
        <v>5.3209046186192026</v>
      </c>
      <c r="M86" s="71">
        <f>'Proposed Rates'!C193</f>
        <v>318.14</v>
      </c>
      <c r="N86" s="71">
        <f t="shared" ref="N86:N105" si="82">L86+M86</f>
        <v>323.46090461861917</v>
      </c>
      <c r="O86" s="71">
        <f>'Proposed Rates'!E193</f>
        <v>323.45999999999998</v>
      </c>
      <c r="P86" s="71">
        <f t="shared" si="54"/>
        <v>25504.228700025687</v>
      </c>
      <c r="Q86" s="76">
        <f t="shared" si="37"/>
        <v>25930.787976709809</v>
      </c>
      <c r="R86" s="171">
        <f t="shared" si="48"/>
        <v>426.55927668412187</v>
      </c>
      <c r="S86" s="168"/>
      <c r="T86" s="128">
        <f>'Consolidated Cust Cnt'!B160</f>
        <v>9.250001946418978</v>
      </c>
      <c r="U86" s="128">
        <f t="shared" si="62"/>
        <v>426.55927668412374</v>
      </c>
      <c r="V86" s="128"/>
      <c r="W86" s="128">
        <f>'Consolidated Cust Cnt'!C160</f>
        <v>0</v>
      </c>
      <c r="X86" s="128">
        <f t="shared" si="63"/>
        <v>0</v>
      </c>
      <c r="Y86" s="128"/>
      <c r="Z86" s="128">
        <f t="shared" si="69"/>
        <v>426.55927668412374</v>
      </c>
      <c r="AA86" s="128">
        <f t="shared" si="49"/>
        <v>25504.228700025691</v>
      </c>
      <c r="AB86" s="128"/>
      <c r="AC86" s="128">
        <f t="shared" si="50"/>
        <v>0</v>
      </c>
      <c r="AE86" s="128">
        <f t="shared" si="51"/>
        <v>25504.228700025691</v>
      </c>
      <c r="AF86" s="213"/>
      <c r="AG86" s="177">
        <f>G86*$C$175*(References!$D$61/References!$H$64)</f>
        <v>5.3209046186192017</v>
      </c>
      <c r="AH86" s="213">
        <f t="shared" si="52"/>
        <v>0</v>
      </c>
    </row>
    <row r="87" spans="1:34" s="65" customFormat="1">
      <c r="A87" s="265"/>
      <c r="B87" s="49" t="s">
        <v>234</v>
      </c>
      <c r="C87" s="114" t="s">
        <v>422</v>
      </c>
      <c r="D87" s="141">
        <f>'Consolidated Cust Cnt'!D164</f>
        <v>12</v>
      </c>
      <c r="E87" s="73">
        <f>References!$C$10</f>
        <v>8.6666666666666661</v>
      </c>
      <c r="F87" s="72">
        <f t="shared" si="64"/>
        <v>104</v>
      </c>
      <c r="G87" s="122">
        <f>References!C45</f>
        <v>1419</v>
      </c>
      <c r="H87" s="122">
        <f t="shared" si="70"/>
        <v>147576</v>
      </c>
      <c r="I87" s="48">
        <f t="shared" si="59"/>
        <v>117438.11657744166</v>
      </c>
      <c r="J87" s="71">
        <f>(References!$D$61*I87)</f>
        <v>229.00432732601209</v>
      </c>
      <c r="K87" s="71">
        <f>J87/References!$H$64</f>
        <v>233.70173214206764</v>
      </c>
      <c r="L87" s="71">
        <f t="shared" si="34"/>
        <v>2.2471320398275734</v>
      </c>
      <c r="M87" s="71">
        <f>'Proposed Rates'!C181</f>
        <v>133.79</v>
      </c>
      <c r="N87" s="71">
        <f t="shared" si="82"/>
        <v>136.03713203982755</v>
      </c>
      <c r="O87" s="71">
        <f>'Proposed Rates'!E181</f>
        <v>136.04</v>
      </c>
      <c r="P87" s="71">
        <f t="shared" si="54"/>
        <v>13914.16</v>
      </c>
      <c r="Q87" s="76">
        <f t="shared" si="37"/>
        <v>14147.861732142066</v>
      </c>
      <c r="R87" s="171">
        <f t="shared" si="48"/>
        <v>233.70173214206625</v>
      </c>
      <c r="S87" s="168"/>
      <c r="T87" s="128">
        <f>'Consolidated Cust Cnt'!B164</f>
        <v>0</v>
      </c>
      <c r="U87" s="128">
        <f t="shared" si="62"/>
        <v>0</v>
      </c>
      <c r="V87" s="128"/>
      <c r="W87" s="128">
        <f>'Consolidated Cust Cnt'!C164</f>
        <v>12</v>
      </c>
      <c r="X87" s="128">
        <f t="shared" si="63"/>
        <v>233.70173214206764</v>
      </c>
      <c r="Y87" s="128"/>
      <c r="Z87" s="128">
        <f t="shared" si="69"/>
        <v>233.70173214206764</v>
      </c>
      <c r="AA87" s="128">
        <f t="shared" si="49"/>
        <v>0</v>
      </c>
      <c r="AB87" s="128"/>
      <c r="AC87" s="128">
        <f t="shared" si="50"/>
        <v>13914.16</v>
      </c>
      <c r="AE87" s="128">
        <f t="shared" si="51"/>
        <v>13914.16</v>
      </c>
      <c r="AF87" s="213"/>
      <c r="AG87" s="177">
        <f>G87*$C$175*(References!$D$61/References!$H$64)</f>
        <v>2.2471320398275734</v>
      </c>
      <c r="AH87" s="213">
        <f t="shared" si="52"/>
        <v>0</v>
      </c>
    </row>
    <row r="88" spans="1:34" s="65" customFormat="1">
      <c r="A88" s="265"/>
      <c r="B88" s="49">
        <v>45</v>
      </c>
      <c r="C88" s="114" t="s">
        <v>213</v>
      </c>
      <c r="D88" s="141">
        <f>'Consolidated Cust Cnt'!D165</f>
        <v>0</v>
      </c>
      <c r="E88" s="73">
        <f>References!$C$14</f>
        <v>1</v>
      </c>
      <c r="F88" s="72">
        <f t="shared" si="64"/>
        <v>0</v>
      </c>
      <c r="G88" s="122">
        <f>References!C45</f>
        <v>1419</v>
      </c>
      <c r="H88" s="122">
        <f t="shared" si="70"/>
        <v>0</v>
      </c>
      <c r="I88" s="48">
        <f t="shared" si="59"/>
        <v>0</v>
      </c>
      <c r="J88" s="71">
        <f>(References!$D$61*I88)</f>
        <v>0</v>
      </c>
      <c r="K88" s="71">
        <f>J88/References!$H$64</f>
        <v>0</v>
      </c>
      <c r="L88" s="71">
        <f>L87</f>
        <v>2.2471320398275734</v>
      </c>
      <c r="M88" s="71">
        <f>'Proposed Rates'!C186</f>
        <v>139.84</v>
      </c>
      <c r="N88" s="71">
        <f t="shared" si="82"/>
        <v>142.08713203982757</v>
      </c>
      <c r="O88" s="71">
        <f>'Proposed Rates'!E186</f>
        <v>142.09</v>
      </c>
      <c r="P88" s="71">
        <f t="shared" si="54"/>
        <v>0</v>
      </c>
      <c r="Q88" s="76"/>
      <c r="R88" s="171">
        <f t="shared" si="48"/>
        <v>0</v>
      </c>
      <c r="S88" s="168"/>
      <c r="T88" s="128">
        <f>'Consolidated Cust Cnt'!B165</f>
        <v>0</v>
      </c>
      <c r="U88" s="128">
        <f t="shared" si="62"/>
        <v>0</v>
      </c>
      <c r="V88" s="128"/>
      <c r="W88" s="128">
        <f>'Consolidated Cust Cnt'!C165</f>
        <v>0</v>
      </c>
      <c r="X88" s="128">
        <f t="shared" si="63"/>
        <v>0</v>
      </c>
      <c r="Y88" s="128"/>
      <c r="Z88" s="128">
        <f t="shared" si="69"/>
        <v>0</v>
      </c>
      <c r="AA88" s="128">
        <f t="shared" si="49"/>
        <v>0</v>
      </c>
      <c r="AB88" s="128"/>
      <c r="AC88" s="128">
        <f t="shared" si="50"/>
        <v>0</v>
      </c>
      <c r="AE88" s="128">
        <f t="shared" si="51"/>
        <v>0</v>
      </c>
      <c r="AF88" s="213"/>
      <c r="AG88" s="177">
        <f>G88*$C$175*E88*(References!$D$61/References!$H$64)</f>
        <v>2.2471320398275734</v>
      </c>
      <c r="AH88" s="213">
        <f t="shared" si="52"/>
        <v>0</v>
      </c>
    </row>
    <row r="89" spans="1:34" s="65" customFormat="1">
      <c r="A89" s="265"/>
      <c r="B89" s="49">
        <v>41</v>
      </c>
      <c r="C89" s="116" t="s">
        <v>214</v>
      </c>
      <c r="D89" s="141">
        <f>'Consolidated Cust Cnt'!D170</f>
        <v>4885.7260744007044</v>
      </c>
      <c r="E89" s="73">
        <f>References!$C$11</f>
        <v>4.333333333333333</v>
      </c>
      <c r="F89" s="72">
        <f t="shared" si="64"/>
        <v>21171.479655736384</v>
      </c>
      <c r="G89" s="72">
        <f>References!$C$32</f>
        <v>175</v>
      </c>
      <c r="H89" s="72">
        <f t="shared" si="70"/>
        <v>3705008.9397538672</v>
      </c>
      <c r="I89" s="48">
        <f t="shared" si="59"/>
        <v>2948374.2057467215</v>
      </c>
      <c r="J89" s="71">
        <f>(References!$D$61*I89)</f>
        <v>5749.3297012061284</v>
      </c>
      <c r="K89" s="71">
        <f>J89/References!$H$64</f>
        <v>5867.2616605838639</v>
      </c>
      <c r="L89" s="71">
        <f t="shared" si="34"/>
        <v>0.27713044888641675</v>
      </c>
      <c r="M89" s="71">
        <f>'Proposed Rates'!C134</f>
        <v>21.05</v>
      </c>
      <c r="N89" s="71">
        <f t="shared" si="82"/>
        <v>21.327130448886418</v>
      </c>
      <c r="O89" s="71">
        <f>'Proposed Rates'!$E$134</f>
        <v>21.330000000000002</v>
      </c>
      <c r="P89" s="71">
        <f t="shared" si="54"/>
        <v>445659.64675325091</v>
      </c>
      <c r="Q89" s="76">
        <f t="shared" si="37"/>
        <v>451526.90841383481</v>
      </c>
      <c r="R89" s="171">
        <f t="shared" si="48"/>
        <v>5867.2616605838994</v>
      </c>
      <c r="S89" s="168"/>
      <c r="T89" s="128">
        <f>'Consolidated Cust Cnt'!B170</f>
        <v>3371.9789602550964</v>
      </c>
      <c r="U89" s="128">
        <f>$L89*T89*References!$C$11</f>
        <v>4049.4048525278731</v>
      </c>
      <c r="V89" s="128"/>
      <c r="W89" s="128">
        <f>'Consolidated Cust Cnt'!C170</f>
        <v>1513.7471141456083</v>
      </c>
      <c r="X89" s="128">
        <f t="shared" si="63"/>
        <v>1817.8568080559915</v>
      </c>
      <c r="Y89" s="128"/>
      <c r="Z89" s="128">
        <f t="shared" si="69"/>
        <v>5867.2616605838648</v>
      </c>
      <c r="AA89" s="128">
        <f t="shared" si="49"/>
        <v>307580.68082460237</v>
      </c>
      <c r="AB89" s="128"/>
      <c r="AC89" s="128">
        <f t="shared" si="50"/>
        <v>138078.96592864857</v>
      </c>
      <c r="AE89" s="128">
        <f t="shared" si="51"/>
        <v>445659.64675325097</v>
      </c>
      <c r="AF89" s="213"/>
      <c r="AG89" s="177">
        <f>G89*$C$175*(References!$D$61/References!$H$64)</f>
        <v>0.27713044888641675</v>
      </c>
      <c r="AH89" s="213">
        <f t="shared" si="52"/>
        <v>0</v>
      </c>
    </row>
    <row r="90" spans="1:34" s="65" customFormat="1">
      <c r="A90" s="265"/>
      <c r="B90" s="49" t="s">
        <v>234</v>
      </c>
      <c r="C90" s="116" t="s">
        <v>215</v>
      </c>
      <c r="D90" s="141">
        <f>'Consolidated Cust Cnt'!D171</f>
        <v>68</v>
      </c>
      <c r="E90" s="73">
        <f>References!$C$10</f>
        <v>8.6666666666666661</v>
      </c>
      <c r="F90" s="72">
        <f t="shared" si="64"/>
        <v>589.33333333333326</v>
      </c>
      <c r="G90" s="72">
        <f>References!$C$32</f>
        <v>175</v>
      </c>
      <c r="H90" s="72">
        <f t="shared" si="70"/>
        <v>103133.33333333331</v>
      </c>
      <c r="I90" s="48">
        <f t="shared" si="59"/>
        <v>82071.505007725835</v>
      </c>
      <c r="J90" s="71">
        <f>(References!$D$61*I90)</f>
        <v>160.03943476506598</v>
      </c>
      <c r="K90" s="71">
        <f>J90/References!$H$64</f>
        <v>163.32221121039493</v>
      </c>
      <c r="L90" s="71">
        <f t="shared" si="34"/>
        <v>0.27713044888641675</v>
      </c>
      <c r="M90" s="71">
        <f>'Proposed Rates'!C134</f>
        <v>21.05</v>
      </c>
      <c r="N90" s="71">
        <f t="shared" si="82"/>
        <v>21.327130448886418</v>
      </c>
      <c r="O90" s="71">
        <f>'Proposed Rates'!$E$134</f>
        <v>21.330000000000002</v>
      </c>
      <c r="P90" s="71">
        <f t="shared" si="54"/>
        <v>12405.466666666665</v>
      </c>
      <c r="Q90" s="76">
        <f t="shared" si="37"/>
        <v>12568.788877877061</v>
      </c>
      <c r="R90" s="171">
        <f t="shared" ref="R90:R106" si="83">Q90-P90</f>
        <v>163.32221121039584</v>
      </c>
      <c r="S90" s="168"/>
      <c r="T90" s="128">
        <f>'Consolidated Cust Cnt'!B171</f>
        <v>11</v>
      </c>
      <c r="U90" s="128">
        <f>$L90*T90*References!$D$11</f>
        <v>26.419769460505062</v>
      </c>
      <c r="V90" s="128"/>
      <c r="W90" s="128">
        <f>'Consolidated Cust Cnt'!C171</f>
        <v>57.000000000000007</v>
      </c>
      <c r="X90" s="128">
        <f t="shared" si="63"/>
        <v>136.90244174988987</v>
      </c>
      <c r="Y90" s="128"/>
      <c r="Z90" s="128">
        <f t="shared" si="69"/>
        <v>163.32221121039493</v>
      </c>
      <c r="AA90" s="128">
        <f t="shared" si="49"/>
        <v>2006.7666666666667</v>
      </c>
      <c r="AB90" s="128"/>
      <c r="AC90" s="128">
        <f t="shared" si="50"/>
        <v>10398.700000000001</v>
      </c>
      <c r="AE90" s="128">
        <f t="shared" si="51"/>
        <v>12405.466666666667</v>
      </c>
      <c r="AF90" s="213"/>
      <c r="AG90" s="177">
        <f>G90*$C$175*(References!$D$61/References!$H$64)</f>
        <v>0.27713044888641675</v>
      </c>
      <c r="AH90" s="213">
        <f t="shared" si="52"/>
        <v>0</v>
      </c>
    </row>
    <row r="91" spans="1:34" s="65" customFormat="1">
      <c r="A91" s="265"/>
      <c r="B91" s="49" t="s">
        <v>234</v>
      </c>
      <c r="C91" s="116" t="s">
        <v>216</v>
      </c>
      <c r="D91" s="141">
        <f>'Consolidated Cust Cnt'!D172</f>
        <v>72</v>
      </c>
      <c r="E91" s="73">
        <f>References!$C$9</f>
        <v>13</v>
      </c>
      <c r="F91" s="72">
        <f t="shared" si="64"/>
        <v>936</v>
      </c>
      <c r="G91" s="72">
        <f>References!$C$32</f>
        <v>175</v>
      </c>
      <c r="H91" s="72">
        <f t="shared" si="70"/>
        <v>163800</v>
      </c>
      <c r="I91" s="48">
        <f t="shared" si="59"/>
        <v>130348.8608946234</v>
      </c>
      <c r="J91" s="71">
        <f>(References!$D$61*I91)</f>
        <v>254.18027874451658</v>
      </c>
      <c r="K91" s="71">
        <f>J91/References!$H$64</f>
        <v>259.39410015768607</v>
      </c>
      <c r="L91" s="71">
        <f t="shared" si="34"/>
        <v>0.27713044888641675</v>
      </c>
      <c r="M91" s="71">
        <f>'Proposed Rates'!C134</f>
        <v>21.05</v>
      </c>
      <c r="N91" s="71">
        <f t="shared" si="82"/>
        <v>21.327130448886418</v>
      </c>
      <c r="O91" s="71">
        <f>'Proposed Rates'!$E$134</f>
        <v>21.330000000000002</v>
      </c>
      <c r="P91" s="71">
        <f t="shared" si="54"/>
        <v>19702.8</v>
      </c>
      <c r="Q91" s="76">
        <f t="shared" si="37"/>
        <v>19962.194100157689</v>
      </c>
      <c r="R91" s="171">
        <f t="shared" si="83"/>
        <v>259.39410015768954</v>
      </c>
      <c r="S91" s="168"/>
      <c r="T91" s="128">
        <f>'Consolidated Cust Cnt'!B172</f>
        <v>0</v>
      </c>
      <c r="U91" s="128">
        <f>$L91*T91*References!$E$11</f>
        <v>0</v>
      </c>
      <c r="V91" s="128"/>
      <c r="W91" s="128">
        <f>'Consolidated Cust Cnt'!C172</f>
        <v>72</v>
      </c>
      <c r="X91" s="128">
        <f t="shared" si="63"/>
        <v>259.39410015768607</v>
      </c>
      <c r="Y91" s="128"/>
      <c r="Z91" s="128">
        <f t="shared" si="69"/>
        <v>259.39410015768607</v>
      </c>
      <c r="AA91" s="128">
        <f t="shared" si="49"/>
        <v>0</v>
      </c>
      <c r="AB91" s="128"/>
      <c r="AC91" s="128">
        <f t="shared" si="50"/>
        <v>19702.800000000003</v>
      </c>
      <c r="AE91" s="128">
        <f t="shared" si="51"/>
        <v>19702.800000000003</v>
      </c>
      <c r="AF91" s="213"/>
      <c r="AG91" s="177">
        <f>G91*$C$175*(References!$D$61/References!$H$64)</f>
        <v>0.27713044888641675</v>
      </c>
      <c r="AH91" s="213">
        <f t="shared" si="52"/>
        <v>0</v>
      </c>
    </row>
    <row r="92" spans="1:34" s="65" customFormat="1">
      <c r="A92" s="265"/>
      <c r="B92" s="49">
        <v>41</v>
      </c>
      <c r="C92" s="116" t="s">
        <v>217</v>
      </c>
      <c r="D92" s="141">
        <f>'Consolidated Cust Cnt'!D173</f>
        <v>858.78619906820734</v>
      </c>
      <c r="E92" s="73">
        <f>References!$C$11</f>
        <v>4.333333333333333</v>
      </c>
      <c r="F92" s="72">
        <f t="shared" si="64"/>
        <v>3721.4068626288981</v>
      </c>
      <c r="G92" s="72">
        <f>References!C33</f>
        <v>250</v>
      </c>
      <c r="H92" s="72">
        <f t="shared" si="70"/>
        <v>930351.71565722453</v>
      </c>
      <c r="I92" s="48">
        <f t="shared" si="59"/>
        <v>740355.8386280695</v>
      </c>
      <c r="J92" s="71">
        <f>(References!$D$61*I92)</f>
        <v>1443.6938853247409</v>
      </c>
      <c r="K92" s="71">
        <f>J92/References!$H$64</f>
        <v>1473.3073633276263</v>
      </c>
      <c r="L92" s="71">
        <f t="shared" si="34"/>
        <v>0.39590064126630964</v>
      </c>
      <c r="M92" s="71">
        <f>'Proposed Rates'!C135</f>
        <v>29.1</v>
      </c>
      <c r="N92" s="71">
        <f t="shared" si="82"/>
        <v>29.49590064126631</v>
      </c>
      <c r="O92" s="71">
        <f>'Proposed Rates'!$E$135</f>
        <v>29.5</v>
      </c>
      <c r="P92" s="71">
        <f t="shared" si="54"/>
        <v>108292.93970250094</v>
      </c>
      <c r="Q92" s="76">
        <f t="shared" si="37"/>
        <v>109766.24706582856</v>
      </c>
      <c r="R92" s="171">
        <f t="shared" si="83"/>
        <v>1473.3073633276217</v>
      </c>
      <c r="S92" s="168"/>
      <c r="T92" s="128">
        <f>'Consolidated Cust Cnt'!B173</f>
        <v>634.53619906820734</v>
      </c>
      <c r="U92" s="128">
        <f>$L92*T92*References!$C$11</f>
        <v>1088.59091517709</v>
      </c>
      <c r="V92" s="128"/>
      <c r="W92" s="128">
        <f>'Consolidated Cust Cnt'!C173</f>
        <v>224.25000000000003</v>
      </c>
      <c r="X92" s="128">
        <f t="shared" si="63"/>
        <v>384.71644815053639</v>
      </c>
      <c r="Y92" s="128"/>
      <c r="Z92" s="128">
        <f t="shared" si="69"/>
        <v>1473.3073633276263</v>
      </c>
      <c r="AA92" s="128">
        <f t="shared" si="49"/>
        <v>80015.01470250095</v>
      </c>
      <c r="AB92" s="128"/>
      <c r="AC92" s="128">
        <f t="shared" si="50"/>
        <v>28277.925000000003</v>
      </c>
      <c r="AE92" s="128">
        <f t="shared" si="51"/>
        <v>108292.93970250095</v>
      </c>
      <c r="AF92" s="213"/>
      <c r="AG92" s="177">
        <f>G92*$C$175*(References!$D$61/References!$H$64)</f>
        <v>0.39590064126630964</v>
      </c>
      <c r="AH92" s="213">
        <f t="shared" si="52"/>
        <v>0</v>
      </c>
    </row>
    <row r="93" spans="1:34" s="65" customFormat="1">
      <c r="A93" s="265"/>
      <c r="B93" s="49" t="s">
        <v>234</v>
      </c>
      <c r="C93" s="116" t="s">
        <v>218</v>
      </c>
      <c r="D93" s="141">
        <f>'Consolidated Cust Cnt'!D174</f>
        <v>92.616332885662445</v>
      </c>
      <c r="E93" s="73">
        <f>References!$C$10</f>
        <v>8.6666666666666661</v>
      </c>
      <c r="F93" s="72">
        <f t="shared" si="64"/>
        <v>802.6748850090745</v>
      </c>
      <c r="G93" s="72">
        <f>References!C33</f>
        <v>250</v>
      </c>
      <c r="H93" s="72">
        <f t="shared" si="70"/>
        <v>200668.72125226862</v>
      </c>
      <c r="I93" s="48">
        <f t="shared" si="59"/>
        <v>159688.27370216069</v>
      </c>
      <c r="J93" s="71">
        <f>(References!$D$61*I93)</f>
        <v>311.39213371921448</v>
      </c>
      <c r="K93" s="71">
        <f>J93/References!$H$64</f>
        <v>317.77950170345389</v>
      </c>
      <c r="L93" s="71">
        <f t="shared" si="34"/>
        <v>0.39590064126630958</v>
      </c>
      <c r="M93" s="71">
        <f>'Proposed Rates'!C135</f>
        <v>29.1</v>
      </c>
      <c r="N93" s="71">
        <f t="shared" si="82"/>
        <v>29.49590064126631</v>
      </c>
      <c r="O93" s="71">
        <f>'Proposed Rates'!$E$135</f>
        <v>29.5</v>
      </c>
      <c r="P93" s="71">
        <f t="shared" si="54"/>
        <v>23357.839153764067</v>
      </c>
      <c r="Q93" s="76">
        <f t="shared" si="37"/>
        <v>23675.618655467522</v>
      </c>
      <c r="R93" s="171">
        <f t="shared" si="83"/>
        <v>317.77950170345503</v>
      </c>
      <c r="S93" s="168"/>
      <c r="T93" s="128">
        <f>'Consolidated Cust Cnt'!B174</f>
        <v>44.616332885662445</v>
      </c>
      <c r="U93" s="128">
        <f>$L93*T93*References!$D$11</f>
        <v>153.0848349366691</v>
      </c>
      <c r="V93" s="128"/>
      <c r="W93" s="128">
        <f>'Consolidated Cust Cnt'!C174</f>
        <v>48</v>
      </c>
      <c r="X93" s="128">
        <f t="shared" si="63"/>
        <v>164.69466676678479</v>
      </c>
      <c r="Y93" s="128"/>
      <c r="Z93" s="128">
        <f t="shared" si="69"/>
        <v>317.77950170345389</v>
      </c>
      <c r="AA93" s="128">
        <f t="shared" si="49"/>
        <v>11252.239153764067</v>
      </c>
      <c r="AB93" s="128"/>
      <c r="AC93" s="128">
        <f t="shared" si="50"/>
        <v>12105.6</v>
      </c>
      <c r="AE93" s="128">
        <f t="shared" si="51"/>
        <v>23357.839153764067</v>
      </c>
      <c r="AF93" s="213"/>
      <c r="AG93" s="177">
        <f>G93*$C$175*(References!$D$61/References!$H$64)</f>
        <v>0.39590064126630964</v>
      </c>
      <c r="AH93" s="213">
        <f t="shared" si="52"/>
        <v>0</v>
      </c>
    </row>
    <row r="94" spans="1:34" s="65" customFormat="1">
      <c r="A94" s="265"/>
      <c r="B94" s="49">
        <v>41</v>
      </c>
      <c r="C94" s="116" t="s">
        <v>219</v>
      </c>
      <c r="D94" s="141">
        <f>'Consolidated Cust Cnt'!D175</f>
        <v>5080.9149802082666</v>
      </c>
      <c r="E94" s="73">
        <f>References!$C$11</f>
        <v>4.333333333333333</v>
      </c>
      <c r="F94" s="72">
        <f t="shared" si="64"/>
        <v>22017.298247569153</v>
      </c>
      <c r="G94" s="72">
        <f>References!$C$34</f>
        <v>324</v>
      </c>
      <c r="H94" s="72">
        <f t="shared" si="70"/>
        <v>7133604.632212406</v>
      </c>
      <c r="I94" s="48">
        <f t="shared" si="59"/>
        <v>5676784.1140506472</v>
      </c>
      <c r="J94" s="71">
        <f>(References!$D$61*I94)</f>
        <v>11069.729022398804</v>
      </c>
      <c r="K94" s="71">
        <f>J94/References!$H$64</f>
        <v>11296.794593732833</v>
      </c>
      <c r="L94" s="71">
        <f t="shared" si="34"/>
        <v>0.5130872310811373</v>
      </c>
      <c r="M94" s="71">
        <f>'Proposed Rates'!C136</f>
        <v>36.25</v>
      </c>
      <c r="N94" s="71">
        <f t="shared" si="82"/>
        <v>36.763087231081137</v>
      </c>
      <c r="O94" s="71">
        <f>'Proposed Rates'!$E$136</f>
        <v>36.76</v>
      </c>
      <c r="P94" s="71">
        <f t="shared" si="54"/>
        <v>798127.06147438183</v>
      </c>
      <c r="Q94" s="76">
        <f t="shared" si="37"/>
        <v>809423.85606811463</v>
      </c>
      <c r="R94" s="171">
        <f t="shared" si="83"/>
        <v>11296.794593732804</v>
      </c>
      <c r="S94" s="168"/>
      <c r="T94" s="128">
        <f>'Consolidated Cust Cnt'!B175</f>
        <v>3350.1823433880913</v>
      </c>
      <c r="U94" s="128">
        <f>$L94*T94*References!$C$11</f>
        <v>7448.721722805617</v>
      </c>
      <c r="V94" s="128"/>
      <c r="W94" s="128">
        <f>'Consolidated Cust Cnt'!C175</f>
        <v>1730.7326368201757</v>
      </c>
      <c r="X94" s="128">
        <f t="shared" si="63"/>
        <v>3848.0728709272175</v>
      </c>
      <c r="Y94" s="128"/>
      <c r="Z94" s="128">
        <f t="shared" si="69"/>
        <v>11296.794593732835</v>
      </c>
      <c r="AA94" s="128">
        <f t="shared" si="49"/>
        <v>526257.80977387936</v>
      </c>
      <c r="AB94" s="128"/>
      <c r="AC94" s="128">
        <f t="shared" si="50"/>
        <v>271869.25170050259</v>
      </c>
      <c r="AE94" s="128">
        <f t="shared" si="51"/>
        <v>798127.06147438195</v>
      </c>
      <c r="AF94" s="213"/>
      <c r="AG94" s="177">
        <f>G94*$C$175*(References!$D$61/References!$H$64)</f>
        <v>0.51308723108113741</v>
      </c>
      <c r="AH94" s="213">
        <f t="shared" si="52"/>
        <v>0</v>
      </c>
    </row>
    <row r="95" spans="1:34" s="65" customFormat="1">
      <c r="A95" s="265"/>
      <c r="B95" s="49" t="s">
        <v>234</v>
      </c>
      <c r="C95" s="116" t="s">
        <v>220</v>
      </c>
      <c r="D95" s="141">
        <f>'Consolidated Cust Cnt'!D176</f>
        <v>972.87513288273078</v>
      </c>
      <c r="E95" s="73">
        <f>References!$C$10</f>
        <v>8.6666666666666661</v>
      </c>
      <c r="F95" s="72">
        <f t="shared" si="64"/>
        <v>8431.5844849836667</v>
      </c>
      <c r="G95" s="72">
        <f>References!$C$34</f>
        <v>324</v>
      </c>
      <c r="H95" s="72">
        <f t="shared" si="70"/>
        <v>2731833.373134708</v>
      </c>
      <c r="I95" s="48">
        <f t="shared" si="59"/>
        <v>2173939.9776680456</v>
      </c>
      <c r="J95" s="71">
        <f>(References!$D$61*I95)</f>
        <v>4239.1829564527043</v>
      </c>
      <c r="K95" s="71">
        <f>J95/References!$H$64</f>
        <v>4326.1383370269459</v>
      </c>
      <c r="L95" s="71">
        <f t="shared" si="34"/>
        <v>0.51308723108113719</v>
      </c>
      <c r="M95" s="71">
        <f>'Proposed Rates'!C136</f>
        <v>36.25</v>
      </c>
      <c r="N95" s="71">
        <f t="shared" si="82"/>
        <v>36.763087231081137</v>
      </c>
      <c r="O95" s="71">
        <f>'Proposed Rates'!$E$136</f>
        <v>36.76</v>
      </c>
      <c r="P95" s="71">
        <f t="shared" si="54"/>
        <v>305644.93758065789</v>
      </c>
      <c r="Q95" s="76">
        <f t="shared" si="37"/>
        <v>309971.07591768488</v>
      </c>
      <c r="R95" s="171">
        <f t="shared" si="83"/>
        <v>4326.1383370269905</v>
      </c>
      <c r="S95" s="168"/>
      <c r="T95" s="128">
        <f>'Consolidated Cust Cnt'!B176</f>
        <v>414.87509974820455</v>
      </c>
      <c r="U95" s="128">
        <f>$L95*T95*References!$D$11</f>
        <v>1844.8483401774126</v>
      </c>
      <c r="V95" s="128"/>
      <c r="W95" s="128">
        <f>'Consolidated Cust Cnt'!C176</f>
        <v>558.00003313452623</v>
      </c>
      <c r="X95" s="128">
        <f t="shared" si="63"/>
        <v>2481.2899968495326</v>
      </c>
      <c r="Y95" s="128"/>
      <c r="Z95" s="128">
        <f t="shared" si="69"/>
        <v>4326.138337026945</v>
      </c>
      <c r="AA95" s="128">
        <f t="shared" si="49"/>
        <v>130339.92717089425</v>
      </c>
      <c r="AB95" s="128"/>
      <c r="AC95" s="128">
        <f t="shared" si="50"/>
        <v>175305.01040976364</v>
      </c>
      <c r="AE95" s="128">
        <f t="shared" si="51"/>
        <v>305644.93758065789</v>
      </c>
      <c r="AF95" s="213"/>
      <c r="AG95" s="177">
        <f>G95*$C$175*(References!$D$61/References!$H$64)</f>
        <v>0.51308723108113741</v>
      </c>
      <c r="AH95" s="213">
        <f t="shared" si="52"/>
        <v>0</v>
      </c>
    </row>
    <row r="96" spans="1:34" s="65" customFormat="1">
      <c r="A96" s="265"/>
      <c r="B96" s="49" t="s">
        <v>234</v>
      </c>
      <c r="C96" s="116" t="s">
        <v>221</v>
      </c>
      <c r="D96" s="141">
        <f>'Consolidated Cust Cnt'!D177</f>
        <v>110.24987575125498</v>
      </c>
      <c r="E96" s="73">
        <f>References!$C$9</f>
        <v>13</v>
      </c>
      <c r="F96" s="72">
        <f t="shared" si="64"/>
        <v>1433.2483847663148</v>
      </c>
      <c r="G96" s="72">
        <f>References!$C$34</f>
        <v>324</v>
      </c>
      <c r="H96" s="72">
        <f t="shared" si="70"/>
        <v>464372.47666428599</v>
      </c>
      <c r="I96" s="48">
        <f t="shared" si="59"/>
        <v>369538.60417585331</v>
      </c>
      <c r="J96" s="71">
        <f>(References!$D$61*I96)</f>
        <v>720.60027814291664</v>
      </c>
      <c r="K96" s="71">
        <f>J96/References!$H$64</f>
        <v>735.38144519126104</v>
      </c>
      <c r="L96" s="71">
        <f t="shared" si="34"/>
        <v>0.51308723108113741</v>
      </c>
      <c r="M96" s="71">
        <f>'Proposed Rates'!C136</f>
        <v>36.25</v>
      </c>
      <c r="N96" s="71">
        <f t="shared" si="82"/>
        <v>36.763087231081137</v>
      </c>
      <c r="O96" s="71">
        <f>'Proposed Rates'!$E$136</f>
        <v>36.76</v>
      </c>
      <c r="P96" s="71">
        <f t="shared" si="54"/>
        <v>51955.253947778911</v>
      </c>
      <c r="Q96" s="76">
        <f t="shared" si="37"/>
        <v>52690.635392970173</v>
      </c>
      <c r="R96" s="171">
        <f t="shared" si="83"/>
        <v>735.38144519126217</v>
      </c>
      <c r="S96" s="168"/>
      <c r="T96" s="128">
        <f>'Consolidated Cust Cnt'!B177</f>
        <v>62.249875751254983</v>
      </c>
      <c r="U96" s="128">
        <f>$L96*T96*References!$E$11</f>
        <v>415.21501299663134</v>
      </c>
      <c r="V96" s="128"/>
      <c r="W96" s="128">
        <f>'Consolidated Cust Cnt'!C177</f>
        <v>47.999999999999993</v>
      </c>
      <c r="X96" s="128">
        <f t="shared" si="63"/>
        <v>320.16643219462969</v>
      </c>
      <c r="Y96" s="128"/>
      <c r="Z96" s="128">
        <f t="shared" si="69"/>
        <v>735.38144519126104</v>
      </c>
      <c r="AA96" s="128">
        <f t="shared" si="49"/>
        <v>29335.253947778907</v>
      </c>
      <c r="AB96" s="128"/>
      <c r="AC96" s="128">
        <f t="shared" si="50"/>
        <v>22619.999999999996</v>
      </c>
      <c r="AE96" s="128">
        <f t="shared" si="51"/>
        <v>51955.253947778903</v>
      </c>
      <c r="AF96" s="213"/>
      <c r="AG96" s="177">
        <f>G96*$C$175*(References!$D$61/References!$H$64)</f>
        <v>0.51308723108113741</v>
      </c>
      <c r="AH96" s="213">
        <f t="shared" si="52"/>
        <v>0</v>
      </c>
    </row>
    <row r="97" spans="1:34" s="65" customFormat="1">
      <c r="A97" s="265"/>
      <c r="B97" s="49" t="s">
        <v>234</v>
      </c>
      <c r="C97" s="116" t="s">
        <v>222</v>
      </c>
      <c r="D97" s="141">
        <f>'Consolidated Cust Cnt'!D178</f>
        <v>12.000000000000002</v>
      </c>
      <c r="E97" s="73">
        <f>References!C$8</f>
        <v>17.333333333333332</v>
      </c>
      <c r="F97" s="72">
        <f t="shared" si="64"/>
        <v>208.00000000000003</v>
      </c>
      <c r="G97" s="72">
        <f>References!$C$34</f>
        <v>324</v>
      </c>
      <c r="H97" s="72">
        <f t="shared" si="70"/>
        <v>67392.000000000015</v>
      </c>
      <c r="I97" s="48">
        <f t="shared" si="59"/>
        <v>53629.245625216499</v>
      </c>
      <c r="J97" s="71">
        <f>(References!$D$61*I97)</f>
        <v>104.57702896917256</v>
      </c>
      <c r="K97" s="71">
        <f>J97/References!$H$64</f>
        <v>106.72214406487657</v>
      </c>
      <c r="L97" s="71">
        <f t="shared" si="34"/>
        <v>0.5130872310811373</v>
      </c>
      <c r="M97" s="71">
        <f>'Proposed Rates'!C136</f>
        <v>36.25</v>
      </c>
      <c r="N97" s="71">
        <f t="shared" si="82"/>
        <v>36.763087231081137</v>
      </c>
      <c r="O97" s="71">
        <f>'Proposed Rates'!$E$136</f>
        <v>36.76</v>
      </c>
      <c r="P97" s="71">
        <f t="shared" si="54"/>
        <v>7540.0000000000009</v>
      </c>
      <c r="Q97" s="76">
        <f t="shared" si="37"/>
        <v>7646.7221440648773</v>
      </c>
      <c r="R97" s="171">
        <f t="shared" si="83"/>
        <v>106.72214406487637</v>
      </c>
      <c r="S97" s="168"/>
      <c r="T97" s="128">
        <f>'Consolidated Cust Cnt'!B178</f>
        <v>12.000000000000002</v>
      </c>
      <c r="U97" s="128">
        <f>$L97*T97*References!$F$11</f>
        <v>106.72214406487657</v>
      </c>
      <c r="V97" s="128"/>
      <c r="W97" s="128">
        <f>'Consolidated Cust Cnt'!C178</f>
        <v>0</v>
      </c>
      <c r="X97" s="128">
        <f t="shared" si="63"/>
        <v>0</v>
      </c>
      <c r="Y97" s="128"/>
      <c r="Z97" s="128">
        <f t="shared" si="69"/>
        <v>106.72214406487657</v>
      </c>
      <c r="AA97" s="128">
        <f t="shared" si="49"/>
        <v>7540.0000000000009</v>
      </c>
      <c r="AB97" s="128"/>
      <c r="AC97" s="128">
        <f t="shared" si="50"/>
        <v>0</v>
      </c>
      <c r="AE97" s="128">
        <f t="shared" si="51"/>
        <v>7540.0000000000009</v>
      </c>
      <c r="AF97" s="213"/>
      <c r="AG97" s="177">
        <f>G97*$C$175*(References!$D$61/References!$H$64)</f>
        <v>0.51308723108113741</v>
      </c>
      <c r="AH97" s="213">
        <f t="shared" si="52"/>
        <v>0</v>
      </c>
    </row>
    <row r="98" spans="1:34" s="65" customFormat="1">
      <c r="A98" s="265"/>
      <c r="B98" s="49" t="s">
        <v>234</v>
      </c>
      <c r="C98" s="116" t="s">
        <v>223</v>
      </c>
      <c r="D98" s="141">
        <f>'Consolidated Cust Cnt'!D179</f>
        <v>36</v>
      </c>
      <c r="E98" s="73">
        <f>References!C$7</f>
        <v>21.666666666666668</v>
      </c>
      <c r="F98" s="72">
        <f t="shared" si="64"/>
        <v>780</v>
      </c>
      <c r="G98" s="72">
        <f>References!$C$34</f>
        <v>324</v>
      </c>
      <c r="H98" s="72">
        <f t="shared" si="70"/>
        <v>252720</v>
      </c>
      <c r="I98" s="48">
        <f t="shared" si="59"/>
        <v>201109.67109456184</v>
      </c>
      <c r="J98" s="71">
        <f>(References!$D$61*I98)</f>
        <v>392.16385863439706</v>
      </c>
      <c r="K98" s="71">
        <f>J98/References!$H$64</f>
        <v>400.20804024328714</v>
      </c>
      <c r="L98" s="71">
        <f t="shared" si="34"/>
        <v>0.51308723108113741</v>
      </c>
      <c r="M98" s="71">
        <f>'Proposed Rates'!C136</f>
        <v>36.25</v>
      </c>
      <c r="N98" s="71">
        <f t="shared" si="82"/>
        <v>36.763087231081137</v>
      </c>
      <c r="O98" s="71">
        <f>'Proposed Rates'!$E$136</f>
        <v>36.76</v>
      </c>
      <c r="P98" s="71">
        <f t="shared" si="54"/>
        <v>28275</v>
      </c>
      <c r="Q98" s="76">
        <f t="shared" si="37"/>
        <v>28675.208040243288</v>
      </c>
      <c r="R98" s="171">
        <f t="shared" si="83"/>
        <v>400.20804024328754</v>
      </c>
      <c r="S98" s="168"/>
      <c r="T98" s="128">
        <f>'Consolidated Cust Cnt'!B179</f>
        <v>36</v>
      </c>
      <c r="U98" s="128">
        <f>$L98*T98*References!$G$11</f>
        <v>400.20804024328709</v>
      </c>
      <c r="V98" s="128"/>
      <c r="W98" s="128">
        <f>'Consolidated Cust Cnt'!C179</f>
        <v>0</v>
      </c>
      <c r="X98" s="128">
        <f t="shared" si="63"/>
        <v>0</v>
      </c>
      <c r="Y98" s="128"/>
      <c r="Z98" s="128">
        <f t="shared" si="69"/>
        <v>400.20804024328709</v>
      </c>
      <c r="AA98" s="128">
        <f t="shared" si="49"/>
        <v>28275</v>
      </c>
      <c r="AB98" s="128"/>
      <c r="AC98" s="128">
        <f t="shared" si="50"/>
        <v>0</v>
      </c>
      <c r="AE98" s="128">
        <f t="shared" si="51"/>
        <v>28275</v>
      </c>
      <c r="AF98" s="213"/>
      <c r="AG98" s="177">
        <f>G98*$C$175*(References!$D$61/References!$H$64)</f>
        <v>0.51308723108113741</v>
      </c>
      <c r="AH98" s="213">
        <f t="shared" si="52"/>
        <v>0</v>
      </c>
    </row>
    <row r="99" spans="1:34" s="65" customFormat="1">
      <c r="A99" s="265"/>
      <c r="B99" s="49">
        <v>41</v>
      </c>
      <c r="C99" s="116" t="s">
        <v>224</v>
      </c>
      <c r="D99" s="141">
        <f>'Consolidated Cust Cnt'!D181</f>
        <v>79.5435368043088</v>
      </c>
      <c r="E99" s="73">
        <f>References!$C$14</f>
        <v>1</v>
      </c>
      <c r="F99" s="72">
        <f t="shared" si="64"/>
        <v>79.5435368043088</v>
      </c>
      <c r="G99" s="72">
        <f>References!C32</f>
        <v>175</v>
      </c>
      <c r="H99" s="72">
        <f t="shared" si="70"/>
        <v>13920.118940754041</v>
      </c>
      <c r="I99" s="48">
        <f t="shared" si="59"/>
        <v>11077.360485011972</v>
      </c>
      <c r="J99" s="71">
        <f>(References!$D$61*I99)</f>
        <v>21.600852945773426</v>
      </c>
      <c r="K99" s="71">
        <f>J99/References!$H$64</f>
        <v>22.04393606059131</v>
      </c>
      <c r="L99" s="71">
        <f t="shared" si="34"/>
        <v>0.27713044888641675</v>
      </c>
      <c r="M99" s="71">
        <f>'Proposed Rates'!C148</f>
        <v>23.06</v>
      </c>
      <c r="N99" s="71">
        <f t="shared" si="82"/>
        <v>23.337130448886416</v>
      </c>
      <c r="O99" s="71">
        <f>'Proposed Rates'!E148</f>
        <v>23.34</v>
      </c>
      <c r="P99" s="71">
        <f t="shared" si="54"/>
        <v>1834.2739587073609</v>
      </c>
      <c r="Q99" s="76">
        <f t="shared" si="37"/>
        <v>1856.3178947679521</v>
      </c>
      <c r="R99" s="171">
        <f t="shared" si="83"/>
        <v>22.04393606059125</v>
      </c>
      <c r="S99" s="168"/>
      <c r="T99" s="128">
        <f>'Consolidated Cust Cnt'!B181</f>
        <v>32.5435368043088</v>
      </c>
      <c r="U99" s="128">
        <f>$L99*T99</f>
        <v>9.0188049629297229</v>
      </c>
      <c r="V99" s="128"/>
      <c r="W99" s="128">
        <f>'Consolidated Cust Cnt'!C181</f>
        <v>47</v>
      </c>
      <c r="X99" s="128">
        <f t="shared" si="63"/>
        <v>13.025131097661587</v>
      </c>
      <c r="Y99" s="128"/>
      <c r="Z99" s="128">
        <f t="shared" si="69"/>
        <v>22.04393606059131</v>
      </c>
      <c r="AA99" s="128">
        <f t="shared" si="49"/>
        <v>750.45395870736093</v>
      </c>
      <c r="AB99" s="128"/>
      <c r="AC99" s="128">
        <f t="shared" si="50"/>
        <v>1083.82</v>
      </c>
      <c r="AE99" s="128">
        <f t="shared" si="51"/>
        <v>1834.2739587073609</v>
      </c>
      <c r="AF99" s="213"/>
      <c r="AG99" s="177">
        <f>G99*$C$175*E99*(References!$D$61/References!$H$64)</f>
        <v>0.27713044888641675</v>
      </c>
      <c r="AH99" s="213">
        <f t="shared" si="52"/>
        <v>0</v>
      </c>
    </row>
    <row r="100" spans="1:34" s="65" customFormat="1">
      <c r="A100" s="265"/>
      <c r="B100" s="49">
        <v>41</v>
      </c>
      <c r="C100" s="116" t="s">
        <v>225</v>
      </c>
      <c r="D100" s="141">
        <f>'Consolidated Cust Cnt'!D182</f>
        <v>14</v>
      </c>
      <c r="E100" s="73">
        <f>References!$C$14</f>
        <v>1</v>
      </c>
      <c r="F100" s="72">
        <f t="shared" si="64"/>
        <v>14</v>
      </c>
      <c r="G100" s="72">
        <f>References!C33</f>
        <v>250</v>
      </c>
      <c r="H100" s="72">
        <f t="shared" ref="H100" si="84">F100*G100</f>
        <v>3500</v>
      </c>
      <c r="I100" s="48">
        <f t="shared" si="59"/>
        <v>2785.2320703979362</v>
      </c>
      <c r="J100" s="71">
        <f>(References!$D$61*I100)</f>
        <v>5.431202537275996</v>
      </c>
      <c r="K100" s="71">
        <f>J100/References!$H$64</f>
        <v>5.5426089777283352</v>
      </c>
      <c r="L100" s="71">
        <f t="shared" si="34"/>
        <v>0.39590064126630964</v>
      </c>
      <c r="M100" s="71">
        <f>'Proposed Rates'!C149</f>
        <v>31.12</v>
      </c>
      <c r="N100" s="71">
        <f t="shared" ref="N100" si="85">L100+M100</f>
        <v>31.51590064126631</v>
      </c>
      <c r="O100" s="71">
        <f>'Proposed Rates'!E149</f>
        <v>31.52</v>
      </c>
      <c r="P100" s="71">
        <f t="shared" ref="P100" si="86">F100*M100</f>
        <v>435.68</v>
      </c>
      <c r="Q100" s="76">
        <f t="shared" si="37"/>
        <v>441.22260897772833</v>
      </c>
      <c r="R100" s="171">
        <f t="shared" si="83"/>
        <v>5.542608977728321</v>
      </c>
      <c r="S100" s="168"/>
      <c r="T100" s="128">
        <f>'Consolidated Cust Cnt'!B182</f>
        <v>14</v>
      </c>
      <c r="U100" s="128">
        <f>$L100*T100</f>
        <v>5.5426089777283352</v>
      </c>
      <c r="V100" s="128"/>
      <c r="W100" s="128">
        <f>'Consolidated Cust Cnt'!C182</f>
        <v>0</v>
      </c>
      <c r="X100" s="128">
        <f t="shared" si="63"/>
        <v>0</v>
      </c>
      <c r="Y100" s="128"/>
      <c r="Z100" s="128">
        <f t="shared" ref="Z100" si="87">U100+X100</f>
        <v>5.5426089777283352</v>
      </c>
      <c r="AA100" s="128">
        <f t="shared" si="49"/>
        <v>435.68</v>
      </c>
      <c r="AB100" s="128"/>
      <c r="AC100" s="128">
        <f t="shared" si="50"/>
        <v>0</v>
      </c>
      <c r="AE100" s="128">
        <f t="shared" si="51"/>
        <v>435.68</v>
      </c>
      <c r="AF100" s="213"/>
      <c r="AG100" s="177">
        <f>G100*$C$175*E100*(References!$D$61/References!$H$64)</f>
        <v>0.39590064126630964</v>
      </c>
      <c r="AH100" s="213">
        <f t="shared" si="52"/>
        <v>0</v>
      </c>
    </row>
    <row r="101" spans="1:34" s="65" customFormat="1">
      <c r="A101" s="265"/>
      <c r="B101" s="49">
        <v>41</v>
      </c>
      <c r="C101" s="116" t="s">
        <v>226</v>
      </c>
      <c r="D101" s="141">
        <f>'Consolidated Cust Cnt'!D183</f>
        <v>514.63663500678422</v>
      </c>
      <c r="E101" s="73">
        <f>References!$C$14</f>
        <v>1</v>
      </c>
      <c r="F101" s="72">
        <f t="shared" si="64"/>
        <v>514.63663500678422</v>
      </c>
      <c r="G101" s="72">
        <f>References!C34</f>
        <v>324</v>
      </c>
      <c r="H101" s="72">
        <f t="shared" si="70"/>
        <v>166742.26974219808</v>
      </c>
      <c r="I101" s="48">
        <f t="shared" si="59"/>
        <v>132690.26205054671</v>
      </c>
      <c r="J101" s="71">
        <f>(References!$D$61*I101)</f>
        <v>258.74601099856704</v>
      </c>
      <c r="K101" s="71">
        <f>J101/References!$H$64</f>
        <v>264.05348606854477</v>
      </c>
      <c r="L101" s="71">
        <f t="shared" si="34"/>
        <v>0.51308723108113719</v>
      </c>
      <c r="M101" s="71">
        <f>'Proposed Rates'!C150</f>
        <v>38.26</v>
      </c>
      <c r="N101" s="71">
        <f t="shared" si="82"/>
        <v>38.773087231081135</v>
      </c>
      <c r="O101" s="71">
        <f>'Proposed Rates'!E150</f>
        <v>38.769999999999996</v>
      </c>
      <c r="P101" s="71">
        <f t="shared" si="54"/>
        <v>19689.997655359562</v>
      </c>
      <c r="Q101" s="76">
        <f t="shared" si="37"/>
        <v>19954.051141428106</v>
      </c>
      <c r="R101" s="171">
        <f t="shared" si="83"/>
        <v>264.05348606854386</v>
      </c>
      <c r="S101" s="168"/>
      <c r="T101" s="128">
        <f>'Consolidated Cust Cnt'!B183</f>
        <v>342.84531886024422</v>
      </c>
      <c r="U101" s="128">
        <f t="shared" ref="U101:U106" si="88">$L101*T101</f>
        <v>175.9095553431323</v>
      </c>
      <c r="V101" s="128"/>
      <c r="W101" s="128">
        <f>'Consolidated Cust Cnt'!C183</f>
        <v>171.79131614654005</v>
      </c>
      <c r="X101" s="128">
        <f t="shared" si="63"/>
        <v>88.143930725412488</v>
      </c>
      <c r="Y101" s="128"/>
      <c r="Z101" s="128">
        <f t="shared" si="69"/>
        <v>264.05348606854477</v>
      </c>
      <c r="AA101" s="128">
        <f t="shared" si="49"/>
        <v>13117.261899592942</v>
      </c>
      <c r="AB101" s="128"/>
      <c r="AC101" s="128">
        <f t="shared" si="50"/>
        <v>6572.7357557666219</v>
      </c>
      <c r="AE101" s="128">
        <f t="shared" si="51"/>
        <v>19689.997655359562</v>
      </c>
      <c r="AF101" s="213"/>
      <c r="AG101" s="177">
        <f>G101*$C$175*E101*(References!$D$61/References!$H$64)</f>
        <v>0.51308723108113741</v>
      </c>
      <c r="AH101" s="213">
        <f t="shared" si="52"/>
        <v>0</v>
      </c>
    </row>
    <row r="102" spans="1:34" s="65" customFormat="1">
      <c r="A102" s="265"/>
      <c r="B102" s="49">
        <v>41</v>
      </c>
      <c r="C102" s="116" t="s">
        <v>227</v>
      </c>
      <c r="D102" s="141">
        <f>'Consolidated Cust Cnt'!D186+'Consolidated Cust Cnt'!D185</f>
        <v>26.999999999999996</v>
      </c>
      <c r="E102" s="73">
        <f>References!$C$14</f>
        <v>1</v>
      </c>
      <c r="F102" s="72">
        <f t="shared" si="64"/>
        <v>26.999999999999996</v>
      </c>
      <c r="G102" s="72">
        <f>References!C32</f>
        <v>175</v>
      </c>
      <c r="H102" s="72">
        <f t="shared" si="70"/>
        <v>4724.9999999999991</v>
      </c>
      <c r="I102" s="48">
        <f t="shared" si="59"/>
        <v>3760.0632950372128</v>
      </c>
      <c r="J102" s="71">
        <f>(References!$D$61*I102)</f>
        <v>7.3321234253225924</v>
      </c>
      <c r="K102" s="71">
        <f>J102/References!$H$64</f>
        <v>7.4825221199332512</v>
      </c>
      <c r="L102" s="71">
        <f t="shared" ref="L102:L106" si="89">K102/F102</f>
        <v>0.27713044888641675</v>
      </c>
      <c r="M102" s="71">
        <f>'Proposed Rates'!C141</f>
        <v>23.06</v>
      </c>
      <c r="N102" s="71">
        <f t="shared" si="82"/>
        <v>23.337130448886416</v>
      </c>
      <c r="O102" s="71">
        <f>'Proposed Rates'!E141</f>
        <v>23.34</v>
      </c>
      <c r="P102" s="71">
        <f t="shared" si="54"/>
        <v>622.61999999999989</v>
      </c>
      <c r="Q102" s="76">
        <f t="shared" si="37"/>
        <v>630.10252211993316</v>
      </c>
      <c r="R102" s="171">
        <f t="shared" si="83"/>
        <v>7.4825221199332645</v>
      </c>
      <c r="S102" s="168"/>
      <c r="T102" s="128">
        <f>'Consolidated Cust Cnt'!B185+'Consolidated Cust Cnt'!B186</f>
        <v>19.999999999999996</v>
      </c>
      <c r="U102" s="128">
        <f t="shared" si="88"/>
        <v>5.5426089777283343</v>
      </c>
      <c r="V102" s="128"/>
      <c r="W102" s="128">
        <f>'Consolidated Cust Cnt'!C185+'Consolidated Cust Cnt'!C186</f>
        <v>7</v>
      </c>
      <c r="X102" s="128">
        <f t="shared" si="63"/>
        <v>1.9399131422049172</v>
      </c>
      <c r="Y102" s="128"/>
      <c r="Z102" s="128">
        <f t="shared" si="69"/>
        <v>7.4825221199332512</v>
      </c>
      <c r="AA102" s="128">
        <f t="shared" si="49"/>
        <v>461.19999999999987</v>
      </c>
      <c r="AB102" s="128"/>
      <c r="AC102" s="128">
        <f t="shared" si="50"/>
        <v>161.41999999999999</v>
      </c>
      <c r="AE102" s="128">
        <f t="shared" si="51"/>
        <v>622.61999999999989</v>
      </c>
      <c r="AF102" s="213"/>
      <c r="AG102" s="177">
        <f>G102*$C$175*E102*(References!$D$61/References!$H$64)</f>
        <v>0.27713044888641675</v>
      </c>
      <c r="AH102" s="213">
        <f t="shared" si="52"/>
        <v>0</v>
      </c>
    </row>
    <row r="103" spans="1:34" s="65" customFormat="1">
      <c r="A103" s="265"/>
      <c r="B103" s="49">
        <v>41</v>
      </c>
      <c r="C103" s="116" t="s">
        <v>228</v>
      </c>
      <c r="D103" s="141">
        <f>'Consolidated Cust Cnt'!D187</f>
        <v>4</v>
      </c>
      <c r="E103" s="73">
        <f>References!$C$14</f>
        <v>1</v>
      </c>
      <c r="F103" s="72">
        <f t="shared" si="64"/>
        <v>4</v>
      </c>
      <c r="G103" s="72">
        <f>References!C33</f>
        <v>250</v>
      </c>
      <c r="H103" s="72">
        <f t="shared" si="70"/>
        <v>1000</v>
      </c>
      <c r="I103" s="48">
        <f t="shared" si="59"/>
        <v>795.78059154226742</v>
      </c>
      <c r="J103" s="71">
        <f>(References!$D$61*I103)</f>
        <v>1.5517721535074274</v>
      </c>
      <c r="K103" s="71">
        <f>J103/References!$H$64</f>
        <v>1.5836025650652388</v>
      </c>
      <c r="L103" s="71">
        <f t="shared" si="89"/>
        <v>0.39590064126630969</v>
      </c>
      <c r="M103" s="71">
        <f>'Proposed Rates'!C142</f>
        <v>31.12</v>
      </c>
      <c r="N103" s="71">
        <f t="shared" si="82"/>
        <v>31.51590064126631</v>
      </c>
      <c r="O103" s="71">
        <f>'Proposed Rates'!E142</f>
        <v>31.52</v>
      </c>
      <c r="P103" s="71">
        <f t="shared" si="54"/>
        <v>124.48</v>
      </c>
      <c r="Q103" s="76">
        <f t="shared" si="37"/>
        <v>126.06360256506524</v>
      </c>
      <c r="R103" s="171">
        <f t="shared" si="83"/>
        <v>1.5836025650652346</v>
      </c>
      <c r="S103" s="168"/>
      <c r="T103" s="128">
        <f>'Consolidated Cust Cnt'!B187</f>
        <v>4</v>
      </c>
      <c r="U103" s="128">
        <f t="shared" si="88"/>
        <v>1.5836025650652388</v>
      </c>
      <c r="V103" s="128"/>
      <c r="W103" s="128">
        <f>'Consolidated Cust Cnt'!C187</f>
        <v>0</v>
      </c>
      <c r="X103" s="128">
        <f t="shared" si="63"/>
        <v>0</v>
      </c>
      <c r="Y103" s="128"/>
      <c r="Z103" s="128">
        <f t="shared" si="69"/>
        <v>1.5836025650652388</v>
      </c>
      <c r="AA103" s="128">
        <f t="shared" si="49"/>
        <v>124.48</v>
      </c>
      <c r="AB103" s="128"/>
      <c r="AC103" s="128">
        <f t="shared" si="50"/>
        <v>0</v>
      </c>
      <c r="AE103" s="128">
        <f t="shared" si="51"/>
        <v>124.48</v>
      </c>
      <c r="AF103" s="213"/>
      <c r="AG103" s="177">
        <f>G103*$C$175*E103*(References!$D$61/References!$H$64)</f>
        <v>0.39590064126630964</v>
      </c>
      <c r="AH103" s="213">
        <f t="shared" si="52"/>
        <v>0</v>
      </c>
    </row>
    <row r="104" spans="1:34" s="65" customFormat="1">
      <c r="A104" s="265"/>
      <c r="B104" s="49">
        <v>41</v>
      </c>
      <c r="C104" s="116" t="s">
        <v>229</v>
      </c>
      <c r="D104" s="141">
        <f>'Consolidated Cust Cnt'!D188+'Consolidated Cust Cnt'!D189</f>
        <v>83</v>
      </c>
      <c r="E104" s="73">
        <f>References!$C$14</f>
        <v>1</v>
      </c>
      <c r="F104" s="72">
        <f t="shared" si="64"/>
        <v>83</v>
      </c>
      <c r="G104" s="72">
        <f>References!C34</f>
        <v>324</v>
      </c>
      <c r="H104" s="72">
        <f t="shared" si="70"/>
        <v>26892</v>
      </c>
      <c r="I104" s="48">
        <f t="shared" si="59"/>
        <v>21400.131667754657</v>
      </c>
      <c r="J104" s="71">
        <f>(References!$D$61*I104)</f>
        <v>41.730256752121733</v>
      </c>
      <c r="K104" s="71">
        <f>J104/References!$H$64</f>
        <v>42.586240179734396</v>
      </c>
      <c r="L104" s="71">
        <f t="shared" si="89"/>
        <v>0.5130872310811373</v>
      </c>
      <c r="M104" s="71">
        <f>'Proposed Rates'!C143</f>
        <v>38.26</v>
      </c>
      <c r="N104" s="71">
        <f t="shared" si="82"/>
        <v>38.773087231081135</v>
      </c>
      <c r="O104" s="71">
        <f>'Proposed Rates'!E143</f>
        <v>38.769999999999996</v>
      </c>
      <c r="P104" s="71">
        <f t="shared" si="54"/>
        <v>3175.58</v>
      </c>
      <c r="Q104" s="76">
        <f t="shared" si="37"/>
        <v>3218.1662401797344</v>
      </c>
      <c r="R104" s="171">
        <f t="shared" si="83"/>
        <v>42.586240179734432</v>
      </c>
      <c r="S104" s="168"/>
      <c r="T104" s="128">
        <f>'Consolidated Cust Cnt'!B188+'Consolidated Cust Cnt'!B189</f>
        <v>51</v>
      </c>
      <c r="U104" s="128">
        <f t="shared" si="88"/>
        <v>26.167448785138003</v>
      </c>
      <c r="V104" s="128"/>
      <c r="W104" s="128">
        <f>'Consolidated Cust Cnt'!C188+'Consolidated Cust Cnt'!C189</f>
        <v>31.999999999999996</v>
      </c>
      <c r="X104" s="128">
        <f t="shared" si="63"/>
        <v>16.41879139459639</v>
      </c>
      <c r="Y104" s="128"/>
      <c r="Z104" s="128">
        <f t="shared" si="69"/>
        <v>42.586240179734389</v>
      </c>
      <c r="AA104" s="128">
        <f t="shared" si="49"/>
        <v>1951.26</v>
      </c>
      <c r="AB104" s="128"/>
      <c r="AC104" s="128">
        <f t="shared" si="50"/>
        <v>1224.3199999999997</v>
      </c>
      <c r="AE104" s="128">
        <f t="shared" si="51"/>
        <v>3175.58</v>
      </c>
      <c r="AF104" s="213"/>
      <c r="AG104" s="177">
        <f>G104*$C$175*E104*(References!$D$61/References!$H$64)</f>
        <v>0.51308723108113741</v>
      </c>
      <c r="AH104" s="213">
        <f t="shared" si="52"/>
        <v>0</v>
      </c>
    </row>
    <row r="105" spans="1:34" s="65" customFormat="1">
      <c r="A105" s="265"/>
      <c r="B105" s="49">
        <v>41</v>
      </c>
      <c r="C105" s="116" t="s">
        <v>230</v>
      </c>
      <c r="D105" s="141">
        <f>'Consolidated Cust Cnt'!D190</f>
        <v>49.979976268169686</v>
      </c>
      <c r="E105" s="73">
        <f>References!$C$14</f>
        <v>1</v>
      </c>
      <c r="F105" s="72">
        <f t="shared" si="64"/>
        <v>49.979976268169686</v>
      </c>
      <c r="G105" s="72">
        <f>References!C36</f>
        <v>613</v>
      </c>
      <c r="H105" s="72">
        <f t="shared" si="70"/>
        <v>30637.725452388018</v>
      </c>
      <c r="I105" s="48">
        <f t="shared" si="59"/>
        <v>24380.907284010922</v>
      </c>
      <c r="J105" s="71">
        <f>(References!$D$61*I105)</f>
        <v>47.542769203821479</v>
      </c>
      <c r="K105" s="71">
        <f>J105/References!$H$64</f>
        <v>48.51798061416622</v>
      </c>
      <c r="L105" s="71">
        <f t="shared" si="89"/>
        <v>0.97074837238499145</v>
      </c>
      <c r="M105" s="71">
        <f>'Proposed Rates'!C144</f>
        <v>70.09</v>
      </c>
      <c r="N105" s="71">
        <f t="shared" si="82"/>
        <v>71.060748372384992</v>
      </c>
      <c r="O105" s="71">
        <f>'Proposed Rates'!E144</f>
        <v>71.06</v>
      </c>
      <c r="P105" s="71">
        <f t="shared" si="54"/>
        <v>3503.0965366360133</v>
      </c>
      <c r="Q105" s="76">
        <f t="shared" ref="Q105:Q106" si="90">F105*N105</f>
        <v>3551.6145172501797</v>
      </c>
      <c r="R105" s="171">
        <f t="shared" si="83"/>
        <v>48.51798061416639</v>
      </c>
      <c r="S105" s="168"/>
      <c r="T105" s="128">
        <f>'Consolidated Cust Cnt'!B190</f>
        <v>41.979976268169686</v>
      </c>
      <c r="U105" s="128">
        <f t="shared" si="88"/>
        <v>40.751993635086293</v>
      </c>
      <c r="V105" s="128"/>
      <c r="W105" s="128">
        <f>'Consolidated Cust Cnt'!C190</f>
        <v>8</v>
      </c>
      <c r="X105" s="128">
        <f t="shared" si="63"/>
        <v>7.7659869790799316</v>
      </c>
      <c r="Y105" s="128"/>
      <c r="Z105" s="128">
        <f t="shared" si="69"/>
        <v>48.517980614166227</v>
      </c>
      <c r="AA105" s="128">
        <f t="shared" si="49"/>
        <v>2942.3765366360135</v>
      </c>
      <c r="AB105" s="128"/>
      <c r="AC105" s="128">
        <f t="shared" si="50"/>
        <v>560.72</v>
      </c>
      <c r="AE105" s="128">
        <f t="shared" si="51"/>
        <v>3503.0965366360133</v>
      </c>
      <c r="AF105" s="213"/>
      <c r="AG105" s="177">
        <f>G105*$C$175*E105*(References!$D$61/References!$H$64)</f>
        <v>0.97074837238499134</v>
      </c>
      <c r="AH105" s="213">
        <f t="shared" si="52"/>
        <v>0</v>
      </c>
    </row>
    <row r="106" spans="1:34" s="65" customFormat="1">
      <c r="A106" s="265"/>
      <c r="B106" s="49">
        <v>41</v>
      </c>
      <c r="C106" s="116" t="s">
        <v>231</v>
      </c>
      <c r="D106" s="141">
        <f>'Consolidated Cust Cnt'!D191</f>
        <v>123.09289499297068</v>
      </c>
      <c r="E106" s="73">
        <f>References!$C$14</f>
        <v>1</v>
      </c>
      <c r="F106" s="72">
        <f t="shared" si="64"/>
        <v>123.09289499297068</v>
      </c>
      <c r="G106" s="72">
        <f>References!C37</f>
        <v>840</v>
      </c>
      <c r="H106" s="72">
        <f t="shared" ref="H106" si="91">F106*G106</f>
        <v>103398.03179409537</v>
      </c>
      <c r="I106" s="48">
        <f t="shared" si="59"/>
        <v>82282.146905411384</v>
      </c>
      <c r="J106" s="71">
        <f>(References!$D$61*I106)</f>
        <v>160.4501864655528</v>
      </c>
      <c r="K106" s="71">
        <f>J106/References!$H$64</f>
        <v>163.74138837182653</v>
      </c>
      <c r="L106" s="71">
        <f t="shared" si="89"/>
        <v>1.3302261546548004</v>
      </c>
      <c r="M106" s="71">
        <f>'Proposed Rates'!C145</f>
        <v>96.13</v>
      </c>
      <c r="N106" s="71">
        <f t="shared" ref="N106" si="92">L106+M106</f>
        <v>97.460226154654791</v>
      </c>
      <c r="O106" s="71">
        <f>'Proposed Rates'!E145</f>
        <v>97.46</v>
      </c>
      <c r="P106" s="71">
        <f t="shared" ref="P106" si="93">F106*M106</f>
        <v>11832.91999567427</v>
      </c>
      <c r="Q106" s="76">
        <f t="shared" si="90"/>
        <v>11996.661384046098</v>
      </c>
      <c r="R106" s="171">
        <f t="shared" si="83"/>
        <v>163.74138837182727</v>
      </c>
      <c r="S106" s="168"/>
      <c r="T106" s="128">
        <f>'Consolidated Cust Cnt'!B191</f>
        <v>118.09289499297068</v>
      </c>
      <c r="U106" s="128">
        <f t="shared" si="88"/>
        <v>157.09025759855254</v>
      </c>
      <c r="V106" s="128"/>
      <c r="W106" s="128">
        <f>'Consolidated Cust Cnt'!C191</f>
        <v>5</v>
      </c>
      <c r="X106" s="128">
        <f t="shared" si="63"/>
        <v>6.6511307732740024</v>
      </c>
      <c r="Y106" s="128"/>
      <c r="Z106" s="128">
        <f t="shared" si="69"/>
        <v>163.74138837182653</v>
      </c>
      <c r="AA106" s="128">
        <f t="shared" si="49"/>
        <v>11352.269995674271</v>
      </c>
      <c r="AB106" s="128"/>
      <c r="AC106" s="128">
        <f t="shared" si="50"/>
        <v>480.65</v>
      </c>
      <c r="AE106" s="128">
        <f t="shared" si="51"/>
        <v>11832.91999567427</v>
      </c>
      <c r="AF106" s="213"/>
      <c r="AG106" s="177">
        <f>G106*$C$175*E106*(References!$D$61/References!$H$64)</f>
        <v>1.3302261546548004</v>
      </c>
      <c r="AH106" s="213">
        <f t="shared" si="52"/>
        <v>0</v>
      </c>
    </row>
    <row r="107" spans="1:34" s="65" customFormat="1">
      <c r="A107" s="265"/>
      <c r="B107" s="49"/>
      <c r="C107" s="116"/>
      <c r="D107" s="141"/>
      <c r="E107" s="73"/>
      <c r="F107" s="113"/>
      <c r="G107" s="122"/>
      <c r="H107" s="122"/>
      <c r="I107" s="48"/>
      <c r="J107" s="71"/>
      <c r="K107" s="71"/>
      <c r="L107" s="71"/>
      <c r="M107" s="71"/>
      <c r="N107" s="71"/>
      <c r="O107" s="71"/>
      <c r="P107" s="71"/>
      <c r="Q107" s="76"/>
      <c r="R107" s="171"/>
      <c r="S107" s="168"/>
      <c r="T107" s="128"/>
      <c r="U107" s="128"/>
      <c r="V107" s="128"/>
      <c r="W107" s="128"/>
      <c r="X107" s="128"/>
      <c r="Y107" s="128"/>
      <c r="Z107" s="128"/>
      <c r="AA107" s="128"/>
      <c r="AC107" s="128"/>
      <c r="AE107" s="188"/>
    </row>
    <row r="108" spans="1:34" s="65" customFormat="1">
      <c r="A108" s="52"/>
      <c r="B108" s="50"/>
      <c r="C108" s="54" t="s">
        <v>16</v>
      </c>
      <c r="D108" s="55">
        <f>SUM(D58:D106)</f>
        <v>29678.408901016923</v>
      </c>
      <c r="E108" s="56"/>
      <c r="F108" s="57">
        <f>SUM(F58:F106)</f>
        <v>120474.9811736437</v>
      </c>
      <c r="G108" s="58"/>
      <c r="H108" s="57">
        <f>SUM(H58:H106)</f>
        <v>44701223.942983441</v>
      </c>
      <c r="I108" s="57">
        <f>SUM(I58:I106)</f>
        <v>35572366.432010725</v>
      </c>
      <c r="J108" s="57"/>
      <c r="K108" s="79"/>
      <c r="L108" s="79"/>
      <c r="M108" s="79"/>
      <c r="N108" s="79"/>
      <c r="O108" s="79"/>
      <c r="P108" s="175">
        <f>SUM(P58:P106)</f>
        <v>5047572.7188997101</v>
      </c>
      <c r="Q108" s="175">
        <f>SUM(Q58:Q106)</f>
        <v>5118385.9031313751</v>
      </c>
      <c r="R108" s="175">
        <f>SUM(R58:R106)</f>
        <v>70813.184231666717</v>
      </c>
      <c r="S108" s="168"/>
      <c r="T108" s="128"/>
      <c r="U108" s="175">
        <f>SUM(U58:U106)</f>
        <v>48734.985583547554</v>
      </c>
      <c r="V108" s="130"/>
      <c r="W108" s="130"/>
      <c r="X108" s="175">
        <f>SUM(X58:X106)</f>
        <v>22053.987314116672</v>
      </c>
      <c r="Y108" s="130"/>
      <c r="Z108" s="175">
        <f>SUM(Z58:Z106)</f>
        <v>70788.972897664236</v>
      </c>
      <c r="AA108" s="175">
        <f>SUM(AA58:AA106)</f>
        <v>3472975.9298929786</v>
      </c>
      <c r="AB108"/>
      <c r="AC108" s="175">
        <f>SUM(AC58:AC106)</f>
        <v>1574596.7890067322</v>
      </c>
      <c r="AD108"/>
      <c r="AE108" s="175">
        <f>SUM(AE58:AE106)</f>
        <v>5047572.7188997101</v>
      </c>
      <c r="AF108" s="213"/>
    </row>
    <row r="109" spans="1:34">
      <c r="C109" s="69" t="s">
        <v>3</v>
      </c>
      <c r="D109" s="142">
        <f>D23+D57+D108</f>
        <v>882838.60679606127</v>
      </c>
      <c r="E109" s="70"/>
      <c r="F109" s="98">
        <f>F23+F57+F108</f>
        <v>3024776.4161472102</v>
      </c>
      <c r="G109" s="70"/>
      <c r="H109" s="70">
        <f>H23+H57+H108</f>
        <v>163941573.38870576</v>
      </c>
      <c r="I109" s="70">
        <f>I23+I57+I108</f>
        <v>130461522.24963431</v>
      </c>
      <c r="J109" s="71">
        <f>SUM(J7:J106)</f>
        <v>254399.96838678769</v>
      </c>
      <c r="K109" s="71">
        <f>SUM(K7:K106)</f>
        <v>259618.29613918549</v>
      </c>
      <c r="L109" s="81"/>
      <c r="M109" s="81"/>
      <c r="N109" s="81"/>
      <c r="O109" s="81"/>
      <c r="P109" s="173">
        <f>P23+P57+P108</f>
        <v>19417051.481798917</v>
      </c>
      <c r="Q109" s="173">
        <f>Q23+Q57+Q108</f>
        <v>19676693.98927211</v>
      </c>
      <c r="R109" s="131">
        <f>R23+R57+R108</f>
        <v>259642.50747318967</v>
      </c>
      <c r="T109" s="129"/>
      <c r="U109" s="119">
        <f>U23+U57+U108</f>
        <v>174431.2230554907</v>
      </c>
      <c r="V109" s="119"/>
      <c r="W109" s="119"/>
      <c r="X109" s="119">
        <f>X23+X57+X108</f>
        <v>85187.073083694748</v>
      </c>
      <c r="Y109" s="119"/>
      <c r="Z109" s="119">
        <f>Z23+Z57+Z108</f>
        <v>259618.29613918549</v>
      </c>
      <c r="AA109" s="173">
        <f>AA23+AA57+AA108</f>
        <v>13058616.257492833</v>
      </c>
      <c r="AB109"/>
      <c r="AC109" s="173">
        <f>AC23+AC57+AC108</f>
        <v>6358719.3909727503</v>
      </c>
      <c r="AD109"/>
      <c r="AE109" s="173">
        <f>AE23+AE57+AE108</f>
        <v>19417335.648465585</v>
      </c>
      <c r="AF109" s="66"/>
    </row>
    <row r="110" spans="1:34">
      <c r="D110" s="133"/>
      <c r="H110" s="129"/>
      <c r="J110" s="61"/>
      <c r="K110" s="43"/>
      <c r="T110" s="129"/>
      <c r="U110" s="129"/>
      <c r="V110" s="129"/>
      <c r="W110" s="129"/>
      <c r="X110" s="129"/>
      <c r="Y110" s="129"/>
      <c r="AC110" s="188"/>
    </row>
    <row r="111" spans="1:34">
      <c r="D111" s="133"/>
      <c r="J111" s="61"/>
      <c r="P111" s="43"/>
      <c r="Q111" s="43"/>
      <c r="T111" s="129"/>
      <c r="U111" s="211" t="s">
        <v>415</v>
      </c>
      <c r="V111" s="212"/>
      <c r="W111" s="212"/>
      <c r="X111" s="211" t="s">
        <v>413</v>
      </c>
      <c r="Y111" s="129"/>
      <c r="AC111" s="186"/>
    </row>
    <row r="112" spans="1:34">
      <c r="A112" s="82"/>
      <c r="B112" s="83"/>
      <c r="C112" s="86" t="s">
        <v>88</v>
      </c>
      <c r="D112" s="143"/>
      <c r="E112" s="82"/>
      <c r="F112" s="82"/>
      <c r="G112" s="82"/>
      <c r="H112" s="82"/>
      <c r="I112" s="84"/>
      <c r="J112" s="85"/>
      <c r="K112" s="82"/>
      <c r="L112" s="82"/>
      <c r="M112" s="82"/>
      <c r="N112" s="82"/>
      <c r="O112" s="82"/>
      <c r="P112" s="65"/>
      <c r="Q112" s="65"/>
      <c r="R112" s="128"/>
      <c r="T112" s="133" t="s">
        <v>243</v>
      </c>
      <c r="U112" s="129">
        <f>U23</f>
        <v>108703.19424290658</v>
      </c>
      <c r="V112" s="189"/>
      <c r="W112" s="216">
        <f>U112/AA23</f>
        <v>1.3394284447224906E-2</v>
      </c>
      <c r="X112" s="129">
        <f>X23</f>
        <v>57844.249821208236</v>
      </c>
      <c r="Y112" s="129"/>
      <c r="Z112" s="216">
        <f>X112/AC23</f>
        <v>1.3391171916079371E-2</v>
      </c>
      <c r="AA112" s="188"/>
      <c r="AC112" s="186"/>
    </row>
    <row r="113" spans="1:34" s="65" customFormat="1">
      <c r="A113" s="265" t="s">
        <v>49</v>
      </c>
      <c r="B113" s="49"/>
      <c r="C113" s="116" t="s">
        <v>156</v>
      </c>
      <c r="D113" s="144">
        <v>0</v>
      </c>
      <c r="E113" s="73">
        <f>References!$C$11</f>
        <v>4.333333333333333</v>
      </c>
      <c r="F113" s="72">
        <f>E113*12</f>
        <v>52</v>
      </c>
      <c r="G113" s="72">
        <f>References!$C$22</f>
        <v>117</v>
      </c>
      <c r="H113" s="72">
        <f t="shared" ref="H113:H133" si="94">F113*G113</f>
        <v>6084</v>
      </c>
      <c r="I113" s="48">
        <f t="shared" ref="I113:I133" si="95">$C$175*H113</f>
        <v>4841.5291189431555</v>
      </c>
      <c r="J113" s="71">
        <f>(References!$D$61*I113)</f>
        <v>9.4409817819391879</v>
      </c>
      <c r="K113" s="71">
        <f>J113/References!$H$64</f>
        <v>9.6346380058569121</v>
      </c>
      <c r="L113" s="71">
        <f t="shared" ref="L113:L119" si="96">K113/F113*E113</f>
        <v>0.80288650048807597</v>
      </c>
      <c r="M113" s="71">
        <f>'Proposed Rates'!C22</f>
        <v>61.32</v>
      </c>
      <c r="N113" s="71">
        <f t="shared" ref="N113:N133" si="97">L113+M113</f>
        <v>62.122886500488079</v>
      </c>
      <c r="O113" s="71">
        <f>'Proposed Rates'!E22</f>
        <v>62.12</v>
      </c>
      <c r="P113" s="71"/>
      <c r="Q113" s="71"/>
      <c r="R113" s="132"/>
      <c r="S113" s="168"/>
      <c r="T113" s="134" t="s">
        <v>244</v>
      </c>
      <c r="U113" s="128">
        <f>U57</f>
        <v>16993.043229036575</v>
      </c>
      <c r="V113" s="188"/>
      <c r="W113" s="217">
        <f>U113/AA57</f>
        <v>1.155989289729447E-2</v>
      </c>
      <c r="X113" s="128">
        <f>X57</f>
        <v>5288.8359483698378</v>
      </c>
      <c r="Y113" s="128"/>
      <c r="Z113" s="217">
        <f>X113/AC57</f>
        <v>1.1385060592363818E-2</v>
      </c>
      <c r="AA113" s="188"/>
      <c r="AC113" s="186"/>
      <c r="AG113" s="177">
        <f>G113*$C$175*E113*(References!$D$61/References!$H$64)</f>
        <v>0.80288650048807597</v>
      </c>
      <c r="AH113" s="213">
        <f t="shared" ref="AH113:AH133" si="98">L113-AG113</f>
        <v>0</v>
      </c>
    </row>
    <row r="114" spans="1:34" s="65" customFormat="1">
      <c r="A114" s="265"/>
      <c r="B114" s="49"/>
      <c r="C114" s="116" t="s">
        <v>158</v>
      </c>
      <c r="D114" s="144">
        <v>0</v>
      </c>
      <c r="E114" s="73">
        <f>References!$C$11</f>
        <v>4.333333333333333</v>
      </c>
      <c r="F114" s="72">
        <f t="shared" ref="F114:F133" si="99">E114*12</f>
        <v>52</v>
      </c>
      <c r="G114" s="72">
        <f>References!$C$23</f>
        <v>137</v>
      </c>
      <c r="H114" s="72">
        <f t="shared" si="94"/>
        <v>7124</v>
      </c>
      <c r="I114" s="48">
        <f t="shared" si="95"/>
        <v>5669.1409341471135</v>
      </c>
      <c r="J114" s="71">
        <f>(References!$D$61*I114)</f>
        <v>11.054824821586912</v>
      </c>
      <c r="K114" s="71">
        <f>J114/References!$H$64</f>
        <v>11.28158467352476</v>
      </c>
      <c r="L114" s="71">
        <f t="shared" si="96"/>
        <v>0.94013205612706319</v>
      </c>
      <c r="M114" s="71">
        <f>'Proposed Rates'!C24</f>
        <v>68.47</v>
      </c>
      <c r="N114" s="71">
        <f t="shared" si="97"/>
        <v>69.410132056127068</v>
      </c>
      <c r="O114" s="71">
        <f>'Proposed Rates'!E24</f>
        <v>69.41</v>
      </c>
      <c r="P114" s="71"/>
      <c r="Q114" s="71"/>
      <c r="R114" s="132"/>
      <c r="S114" s="168"/>
      <c r="T114" s="134" t="s">
        <v>245</v>
      </c>
      <c r="U114" s="128">
        <f>U108</f>
        <v>48734.985583547554</v>
      </c>
      <c r="V114" s="188"/>
      <c r="W114" s="217">
        <f>U114/AA108</f>
        <v>1.4032629815850566E-2</v>
      </c>
      <c r="X114" s="128">
        <f>X108</f>
        <v>22053.987314116672</v>
      </c>
      <c r="Y114" s="128"/>
      <c r="Z114" s="217">
        <f>X114/AC108</f>
        <v>1.4006117291797919E-2</v>
      </c>
      <c r="AA114" s="188"/>
      <c r="AC114" s="186"/>
      <c r="AG114" s="177">
        <f>G114*$C$175*E114*(References!$D$61/References!$H$64)</f>
        <v>0.94013205612706341</v>
      </c>
      <c r="AH114" s="213">
        <f t="shared" si="98"/>
        <v>0</v>
      </c>
    </row>
    <row r="115" spans="1:34" s="65" customFormat="1">
      <c r="A115" s="259"/>
      <c r="B115" s="49"/>
      <c r="C115" s="116" t="s">
        <v>503</v>
      </c>
      <c r="D115" s="144">
        <v>0</v>
      </c>
      <c r="E115" s="73">
        <v>1</v>
      </c>
      <c r="F115" s="72">
        <f>E115*12</f>
        <v>12</v>
      </c>
      <c r="G115" s="72">
        <f>References!C18</f>
        <v>34</v>
      </c>
      <c r="H115" s="72">
        <f t="shared" ref="H115" si="100">F115*G115</f>
        <v>408</v>
      </c>
      <c r="I115" s="48">
        <f t="shared" si="95"/>
        <v>324.67848134924509</v>
      </c>
      <c r="J115" s="71">
        <f>(References!$D$61*I115)</f>
        <v>0.63312303863103025</v>
      </c>
      <c r="K115" s="71">
        <f>J115/References!$H$64</f>
        <v>0.64610984654661729</v>
      </c>
      <c r="L115" s="71">
        <f t="shared" ref="L115" si="101">K115/F115*E115</f>
        <v>5.3842487212218106E-2</v>
      </c>
      <c r="M115" s="71"/>
      <c r="N115" s="71"/>
      <c r="O115" s="71"/>
      <c r="P115" s="71"/>
      <c r="Q115" s="71"/>
      <c r="R115" s="132"/>
      <c r="S115" s="168"/>
      <c r="T115" s="134"/>
      <c r="U115" s="128"/>
      <c r="V115" s="188"/>
      <c r="W115" s="217"/>
      <c r="X115" s="128"/>
      <c r="Y115" s="128"/>
      <c r="Z115" s="217"/>
      <c r="AA115" s="188"/>
      <c r="AC115" s="186"/>
      <c r="AG115" s="177">
        <f>G115*$C$175*E115*(References!$D$61/References!$H$64)</f>
        <v>5.3842487212218119E-2</v>
      </c>
      <c r="AH115" s="213">
        <f t="shared" ref="AH115" si="102">L115-AG115</f>
        <v>0</v>
      </c>
    </row>
    <row r="116" spans="1:34" s="65" customFormat="1">
      <c r="A116" s="152"/>
      <c r="B116" s="53"/>
      <c r="C116" s="125" t="s">
        <v>156</v>
      </c>
      <c r="D116" s="159">
        <v>0</v>
      </c>
      <c r="E116" s="75">
        <f>References!$C$11</f>
        <v>4.333333333333333</v>
      </c>
      <c r="F116" s="74">
        <f>E116*12</f>
        <v>52</v>
      </c>
      <c r="G116" s="74">
        <f>References!$C$22</f>
        <v>117</v>
      </c>
      <c r="H116" s="74">
        <f t="shared" ref="H116:H119" si="103">F116*G116</f>
        <v>6084</v>
      </c>
      <c r="I116" s="124">
        <f t="shared" si="95"/>
        <v>4841.5291189431555</v>
      </c>
      <c r="J116" s="77">
        <f>(References!$D$61*I116)</f>
        <v>9.4409817819391879</v>
      </c>
      <c r="K116" s="77">
        <f>J116/References!$H$64</f>
        <v>9.6346380058569121</v>
      </c>
      <c r="L116" s="77">
        <f t="shared" si="96"/>
        <v>0.80288650048807597</v>
      </c>
      <c r="M116" s="77">
        <f>'Proposed Rates'!C63</f>
        <v>72.760000000000005</v>
      </c>
      <c r="N116" s="77">
        <f t="shared" ref="N116:N119" si="104">L116+M116</f>
        <v>73.562886500488077</v>
      </c>
      <c r="O116" s="77">
        <f>'Proposed Rates'!E63</f>
        <v>73.56</v>
      </c>
      <c r="P116" s="71"/>
      <c r="Q116" s="71"/>
      <c r="R116" s="132"/>
      <c r="S116" s="168"/>
      <c r="T116" s="195" t="s">
        <v>436</v>
      </c>
      <c r="U116" s="130">
        <f>SUM(U112:U114)</f>
        <v>174431.2230554907</v>
      </c>
      <c r="V116" s="130"/>
      <c r="W116" s="130"/>
      <c r="X116" s="130">
        <f>SUM(X112:X114)</f>
        <v>85187.073083694748</v>
      </c>
      <c r="Y116" s="128"/>
      <c r="Z116" s="130">
        <f>SUM(U116:X116)</f>
        <v>259618.29613918543</v>
      </c>
      <c r="AA116" s="188"/>
      <c r="AC116" s="186"/>
      <c r="AG116" s="177">
        <f>G116*$C$175*E116*(References!$D$61/References!$H$64)</f>
        <v>0.80288650048807597</v>
      </c>
      <c r="AH116" s="213">
        <f t="shared" si="98"/>
        <v>0</v>
      </c>
    </row>
    <row r="117" spans="1:34" s="65" customFormat="1">
      <c r="A117" s="151"/>
      <c r="B117" s="49"/>
      <c r="C117" s="116" t="s">
        <v>248</v>
      </c>
      <c r="D117" s="157">
        <v>0</v>
      </c>
      <c r="E117" s="73">
        <f>References!$C$11</f>
        <v>4.333333333333333</v>
      </c>
      <c r="F117" s="72">
        <f t="shared" ref="F117:F119" si="105">E117*12</f>
        <v>52</v>
      </c>
      <c r="G117" s="72">
        <f>G116</f>
        <v>117</v>
      </c>
      <c r="H117" s="72">
        <f t="shared" si="103"/>
        <v>6084</v>
      </c>
      <c r="I117" s="48">
        <f t="shared" si="95"/>
        <v>4841.5291189431555</v>
      </c>
      <c r="J117" s="71">
        <f>(References!$D$61*I117)</f>
        <v>9.4409817819391879</v>
      </c>
      <c r="K117" s="71">
        <f>J117/References!$H$64</f>
        <v>9.6346380058569121</v>
      </c>
      <c r="L117" s="71">
        <f t="shared" si="96"/>
        <v>0.80288650048807597</v>
      </c>
      <c r="M117" s="71">
        <f>'Proposed Rates'!C62</f>
        <v>72.010000000000005</v>
      </c>
      <c r="N117" s="71">
        <f t="shared" si="104"/>
        <v>72.812886500488077</v>
      </c>
      <c r="O117" s="71">
        <f>'Proposed Rates'!E62</f>
        <v>72.81</v>
      </c>
      <c r="P117" s="71"/>
      <c r="Q117" s="71"/>
      <c r="R117" s="132"/>
      <c r="S117" s="168"/>
      <c r="T117" s="128"/>
      <c r="U117" s="130"/>
      <c r="V117" s="130"/>
      <c r="W117" s="130"/>
      <c r="X117" s="130"/>
      <c r="Y117" s="128"/>
      <c r="Z117" s="130"/>
      <c r="AA117" s="188"/>
      <c r="AC117" s="186"/>
      <c r="AG117" s="177">
        <f>G117*$C$175*E117*(References!$D$61/References!$H$64)</f>
        <v>0.80288650048807597</v>
      </c>
      <c r="AH117" s="213">
        <f t="shared" si="98"/>
        <v>0</v>
      </c>
    </row>
    <row r="118" spans="1:34" s="65" customFormat="1">
      <c r="A118" s="151"/>
      <c r="B118" s="49"/>
      <c r="C118" s="116" t="s">
        <v>158</v>
      </c>
      <c r="D118" s="144">
        <v>0</v>
      </c>
      <c r="E118" s="73">
        <f>References!$C$11</f>
        <v>4.333333333333333</v>
      </c>
      <c r="F118" s="72">
        <f t="shared" si="105"/>
        <v>52</v>
      </c>
      <c r="G118" s="72">
        <f>References!$C$23</f>
        <v>137</v>
      </c>
      <c r="H118" s="72">
        <f t="shared" si="103"/>
        <v>7124</v>
      </c>
      <c r="I118" s="48">
        <f t="shared" si="95"/>
        <v>5669.1409341471135</v>
      </c>
      <c r="J118" s="71">
        <f>(References!$D$61*I118)</f>
        <v>11.054824821586912</v>
      </c>
      <c r="K118" s="71">
        <f>J118/References!$H$64</f>
        <v>11.28158467352476</v>
      </c>
      <c r="L118" s="71">
        <f t="shared" si="96"/>
        <v>0.94013205612706319</v>
      </c>
      <c r="M118" s="71">
        <f>'Proposed Rates'!C65</f>
        <v>86.94</v>
      </c>
      <c r="N118" s="71">
        <f t="shared" si="104"/>
        <v>87.880132056127067</v>
      </c>
      <c r="O118" s="71">
        <f>'Proposed Rates'!E65</f>
        <v>87.88</v>
      </c>
      <c r="P118" s="71"/>
      <c r="Q118" s="71"/>
      <c r="R118" s="132"/>
      <c r="S118" s="168"/>
      <c r="T118" s="128"/>
      <c r="U118" s="166">
        <f>U116/Z116</f>
        <v>0.67187569462352292</v>
      </c>
      <c r="V118" s="166"/>
      <c r="W118" s="166"/>
      <c r="X118" s="166">
        <f>X116/Z116</f>
        <v>0.32812430537647708</v>
      </c>
      <c r="Y118" s="128"/>
      <c r="Z118" s="130"/>
      <c r="AC118" s="186"/>
      <c r="AG118" s="177">
        <f>G118*$C$175*E118*(References!$D$61/References!$H$64)</f>
        <v>0.94013205612706341</v>
      </c>
      <c r="AH118" s="213">
        <f t="shared" si="98"/>
        <v>0</v>
      </c>
    </row>
    <row r="119" spans="1:34" s="65" customFormat="1">
      <c r="A119" s="265" t="s">
        <v>233</v>
      </c>
      <c r="B119" s="49"/>
      <c r="C119" s="123" t="s">
        <v>170</v>
      </c>
      <c r="D119" s="145">
        <v>0</v>
      </c>
      <c r="E119" s="99">
        <f>References!$C$11</f>
        <v>4.333333333333333</v>
      </c>
      <c r="F119" s="87">
        <f t="shared" si="105"/>
        <v>52</v>
      </c>
      <c r="G119" s="87">
        <f>References!C23</f>
        <v>137</v>
      </c>
      <c r="H119" s="87">
        <f t="shared" si="103"/>
        <v>7124</v>
      </c>
      <c r="I119" s="100">
        <f t="shared" si="95"/>
        <v>5669.1409341471135</v>
      </c>
      <c r="J119" s="94">
        <f>(References!$D$61*I119)</f>
        <v>11.054824821586912</v>
      </c>
      <c r="K119" s="94">
        <f>J119/References!$H$64</f>
        <v>11.28158467352476</v>
      </c>
      <c r="L119" s="94">
        <f t="shared" si="96"/>
        <v>0.94013205612706319</v>
      </c>
      <c r="M119" s="94">
        <f>'Proposed Rates'!C64</f>
        <v>86.19</v>
      </c>
      <c r="N119" s="94">
        <f t="shared" si="104"/>
        <v>87.130132056127067</v>
      </c>
      <c r="O119" s="94">
        <f>'Proposed Rates'!E64</f>
        <v>87.13</v>
      </c>
      <c r="P119" s="71"/>
      <c r="Q119" s="71"/>
      <c r="R119" s="132"/>
      <c r="S119" s="168"/>
      <c r="T119" s="128"/>
      <c r="U119" s="128"/>
      <c r="V119" s="128"/>
      <c r="W119" s="128"/>
      <c r="X119" s="128"/>
      <c r="Y119" s="128"/>
      <c r="Z119" s="128"/>
      <c r="AC119" s="186"/>
      <c r="AG119" s="177">
        <f>G119*$C$175*E119*(References!$D$61/References!$H$64)</f>
        <v>0.94013205612706341</v>
      </c>
      <c r="AH119" s="213">
        <f t="shared" si="98"/>
        <v>0</v>
      </c>
    </row>
    <row r="120" spans="1:34" s="65" customFormat="1">
      <c r="A120" s="265"/>
      <c r="B120" s="49"/>
      <c r="C120" s="116" t="s">
        <v>183</v>
      </c>
      <c r="D120" s="141">
        <v>0</v>
      </c>
      <c r="E120" s="73">
        <f>References!$C$11</f>
        <v>4.333333333333333</v>
      </c>
      <c r="F120" s="72">
        <f t="shared" si="99"/>
        <v>52</v>
      </c>
      <c r="G120" s="72">
        <f>References!$C$36</f>
        <v>613</v>
      </c>
      <c r="H120" s="72">
        <f t="shared" si="94"/>
        <v>31876</v>
      </c>
      <c r="I120" s="48">
        <f t="shared" si="95"/>
        <v>25366.302136001315</v>
      </c>
      <c r="J120" s="71">
        <f>(References!$D$61*I120)</f>
        <v>49.46428916520275</v>
      </c>
      <c r="K120" s="71">
        <f>J120/References!$H$64</f>
        <v>50.478915364019542</v>
      </c>
      <c r="L120" s="71">
        <f t="shared" ref="L120:L133" si="106">K120/F120</f>
        <v>0.97074837238499123</v>
      </c>
      <c r="M120" s="71">
        <f>'Proposed Rates'!C100</f>
        <v>85.72</v>
      </c>
      <c r="N120" s="71">
        <f t="shared" si="97"/>
        <v>86.690748372384988</v>
      </c>
      <c r="O120" s="71">
        <f>'Proposed Rates'!E100</f>
        <v>86.69</v>
      </c>
      <c r="P120" s="71"/>
      <c r="Q120" s="71"/>
      <c r="R120" s="132"/>
      <c r="S120" s="168"/>
      <c r="T120" s="134" t="s">
        <v>434</v>
      </c>
      <c r="U120" s="128">
        <v>24487.20942726158</v>
      </c>
      <c r="V120" s="128" t="s">
        <v>496</v>
      </c>
      <c r="W120" s="128"/>
      <c r="X120" s="128">
        <v>4340.6840883541909</v>
      </c>
      <c r="Y120" s="128" t="s">
        <v>496</v>
      </c>
      <c r="Z120" s="128"/>
      <c r="AC120" s="186"/>
      <c r="AG120" s="177">
        <f>G120*$C$175*(References!$D$61/References!$H$64)</f>
        <v>0.97074837238499134</v>
      </c>
      <c r="AH120" s="213">
        <f t="shared" si="98"/>
        <v>0</v>
      </c>
    </row>
    <row r="121" spans="1:34" s="65" customFormat="1">
      <c r="A121" s="265"/>
      <c r="B121" s="49"/>
      <c r="C121" s="116" t="s">
        <v>187</v>
      </c>
      <c r="D121" s="141">
        <v>0</v>
      </c>
      <c r="E121" s="73">
        <f>References!$C$11</f>
        <v>4.333333333333333</v>
      </c>
      <c r="F121" s="72">
        <f t="shared" si="99"/>
        <v>52</v>
      </c>
      <c r="G121" s="72">
        <f>References!$C$37</f>
        <v>840</v>
      </c>
      <c r="H121" s="72">
        <f t="shared" si="94"/>
        <v>43680</v>
      </c>
      <c r="I121" s="48">
        <f t="shared" si="95"/>
        <v>34759.696238566241</v>
      </c>
      <c r="J121" s="71">
        <f>(References!$D$61*I121)</f>
        <v>67.781407665204426</v>
      </c>
      <c r="K121" s="71">
        <f>J121/References!$H$64</f>
        <v>69.171760042049627</v>
      </c>
      <c r="L121" s="71">
        <f t="shared" si="106"/>
        <v>1.3302261546548004</v>
      </c>
      <c r="M121" s="71">
        <f>'Proposed Rates'!C101</f>
        <v>120.57</v>
      </c>
      <c r="N121" s="71">
        <f t="shared" si="97"/>
        <v>121.90022615465479</v>
      </c>
      <c r="O121" s="71">
        <f>'Proposed Rates'!E101</f>
        <v>121.89999999999999</v>
      </c>
      <c r="P121" s="71"/>
      <c r="Q121" s="71"/>
      <c r="R121" s="132"/>
      <c r="S121" s="168"/>
      <c r="T121" s="128"/>
      <c r="U121" s="128"/>
      <c r="V121" s="128"/>
      <c r="W121" s="128"/>
      <c r="X121" s="128"/>
      <c r="Y121" s="128"/>
      <c r="Z121" s="128"/>
      <c r="AC121" s="186"/>
      <c r="AG121" s="177">
        <f>G121*$C$175*(References!$D$61/References!$H$64)</f>
        <v>1.3302261546548004</v>
      </c>
      <c r="AH121" s="213">
        <f t="shared" si="98"/>
        <v>0</v>
      </c>
    </row>
    <row r="122" spans="1:34" s="65" customFormat="1">
      <c r="A122" s="265"/>
      <c r="B122" s="49"/>
      <c r="C122" s="116" t="s">
        <v>189</v>
      </c>
      <c r="D122" s="141">
        <v>0</v>
      </c>
      <c r="E122" s="73">
        <f>References!C13</f>
        <v>1</v>
      </c>
      <c r="F122" s="72">
        <f t="shared" si="99"/>
        <v>12</v>
      </c>
      <c r="G122" s="72">
        <f>References!$C$33</f>
        <v>250</v>
      </c>
      <c r="H122" s="72">
        <f t="shared" si="94"/>
        <v>3000</v>
      </c>
      <c r="I122" s="48">
        <f t="shared" si="95"/>
        <v>2387.3417746268024</v>
      </c>
      <c r="J122" s="71">
        <f>(References!$D$61*I122)</f>
        <v>4.6553164605222817</v>
      </c>
      <c r="K122" s="71">
        <f>J122/References!$H$64</f>
        <v>4.7508076951957152</v>
      </c>
      <c r="L122" s="71">
        <f t="shared" si="106"/>
        <v>0.39590064126630958</v>
      </c>
      <c r="M122" s="71">
        <f>'Proposed Rates'!C112</f>
        <v>37.74</v>
      </c>
      <c r="N122" s="71">
        <f t="shared" si="97"/>
        <v>38.135900641266311</v>
      </c>
      <c r="O122" s="71">
        <f>'Proposed Rates'!E112</f>
        <v>38.14</v>
      </c>
      <c r="P122" s="71"/>
      <c r="Q122" s="71"/>
      <c r="R122" s="132"/>
      <c r="S122" s="170"/>
      <c r="T122" s="195" t="s">
        <v>435</v>
      </c>
      <c r="U122" s="130">
        <f>U120*References!C61</f>
        <v>95500.116766320294</v>
      </c>
      <c r="V122" s="128"/>
      <c r="W122" s="128"/>
      <c r="X122" s="130">
        <f>X120*References!C61</f>
        <v>16928.667944581368</v>
      </c>
      <c r="Y122" s="128"/>
      <c r="Z122" s="128"/>
      <c r="AC122" s="186"/>
      <c r="AG122" s="177">
        <f>G122*$C$175*E122*(References!$D$61/References!$H$64)</f>
        <v>0.39590064126630964</v>
      </c>
      <c r="AH122" s="213">
        <f t="shared" si="98"/>
        <v>0</v>
      </c>
    </row>
    <row r="123" spans="1:34" s="65" customFormat="1">
      <c r="A123" s="266"/>
      <c r="B123" s="121"/>
      <c r="C123" s="123" t="s">
        <v>194</v>
      </c>
      <c r="D123" s="147">
        <v>0</v>
      </c>
      <c r="E123" s="99">
        <f>References!C13</f>
        <v>1</v>
      </c>
      <c r="F123" s="87">
        <f t="shared" si="99"/>
        <v>12</v>
      </c>
      <c r="G123" s="87">
        <f>References!$C$36</f>
        <v>613</v>
      </c>
      <c r="H123" s="87">
        <f t="shared" si="94"/>
        <v>7356</v>
      </c>
      <c r="I123" s="100">
        <f t="shared" si="95"/>
        <v>5853.7620313849193</v>
      </c>
      <c r="J123" s="94">
        <f>(References!$D$61*I123)</f>
        <v>11.414835961200636</v>
      </c>
      <c r="K123" s="94">
        <f>J123/References!$H$64</f>
        <v>11.648980468619895</v>
      </c>
      <c r="L123" s="94">
        <f t="shared" si="106"/>
        <v>0.97074837238499123</v>
      </c>
      <c r="M123" s="94">
        <f>'Proposed Rates'!C107</f>
        <v>87.73</v>
      </c>
      <c r="N123" s="94">
        <f t="shared" si="97"/>
        <v>88.700748372384993</v>
      </c>
      <c r="O123" s="94">
        <f>'Proposed Rates'!E107</f>
        <v>88.7</v>
      </c>
      <c r="P123" s="71"/>
      <c r="Q123" s="71"/>
      <c r="R123" s="132"/>
      <c r="S123" s="168"/>
      <c r="T123" s="128"/>
      <c r="U123" s="128"/>
      <c r="V123" s="128"/>
      <c r="W123" s="128"/>
      <c r="X123" s="128"/>
      <c r="Y123" s="128"/>
      <c r="Z123" s="128"/>
      <c r="AC123" s="186"/>
      <c r="AG123" s="177">
        <f>G123*$C$175*E123*(References!$D$61/References!$H$64)</f>
        <v>0.97074837238499134</v>
      </c>
      <c r="AH123" s="213">
        <f t="shared" si="98"/>
        <v>0</v>
      </c>
    </row>
    <row r="124" spans="1:34" s="65" customFormat="1">
      <c r="A124" s="267" t="s">
        <v>14</v>
      </c>
      <c r="B124" s="53"/>
      <c r="C124" s="125" t="s">
        <v>201</v>
      </c>
      <c r="D124" s="146">
        <v>0</v>
      </c>
      <c r="E124" s="75">
        <f>References!G11</f>
        <v>21.666666666666664</v>
      </c>
      <c r="F124" s="74">
        <f t="shared" si="99"/>
        <v>260</v>
      </c>
      <c r="G124" s="74">
        <f>References!C30</f>
        <v>29</v>
      </c>
      <c r="H124" s="74">
        <f t="shared" si="94"/>
        <v>7540</v>
      </c>
      <c r="I124" s="124">
        <f t="shared" si="95"/>
        <v>6000.1856602286962</v>
      </c>
      <c r="J124" s="77">
        <f>(References!$D$61*I124)</f>
        <v>11.700362037446002</v>
      </c>
      <c r="K124" s="77">
        <f>J124/References!$H$64</f>
        <v>11.940363340591899</v>
      </c>
      <c r="L124" s="77">
        <f t="shared" si="106"/>
        <v>4.5924474386891921E-2</v>
      </c>
      <c r="M124" s="77">
        <f>'Proposed Rates'!C155</f>
        <v>4.04</v>
      </c>
      <c r="N124" s="77">
        <f t="shared" si="97"/>
        <v>4.0859244743868919</v>
      </c>
      <c r="O124" s="77">
        <f>'Proposed Rates'!E155</f>
        <v>4.09</v>
      </c>
      <c r="P124" s="71"/>
      <c r="Q124" s="71"/>
      <c r="R124" s="132"/>
      <c r="S124" s="168"/>
      <c r="T124" s="128"/>
      <c r="U124" s="128"/>
      <c r="V124" s="128"/>
      <c r="W124" s="128"/>
      <c r="X124" s="128"/>
      <c r="Y124" s="128"/>
      <c r="Z124" s="128"/>
      <c r="AC124" s="186"/>
      <c r="AG124" s="177">
        <f>G124*$C$175*(References!$D$61/References!$H$64)</f>
        <v>4.5924474386891921E-2</v>
      </c>
      <c r="AH124" s="213">
        <f t="shared" si="98"/>
        <v>0</v>
      </c>
    </row>
    <row r="125" spans="1:34" s="65" customFormat="1">
      <c r="A125" s="265"/>
      <c r="B125" s="49"/>
      <c r="C125" s="116" t="s">
        <v>126</v>
      </c>
      <c r="D125" s="141">
        <v>0</v>
      </c>
      <c r="E125" s="73">
        <f>References!$C$13</f>
        <v>1</v>
      </c>
      <c r="F125" s="72">
        <f t="shared" si="99"/>
        <v>12</v>
      </c>
      <c r="G125" s="72">
        <f>References!C26</f>
        <v>68</v>
      </c>
      <c r="H125" s="72">
        <f t="shared" si="94"/>
        <v>816</v>
      </c>
      <c r="I125" s="48">
        <f t="shared" si="95"/>
        <v>649.35696269849018</v>
      </c>
      <c r="J125" s="71">
        <f>(References!$D$61*I125)</f>
        <v>1.2662460772620605</v>
      </c>
      <c r="K125" s="71">
        <f>J125/References!$H$64</f>
        <v>1.2922196930932346</v>
      </c>
      <c r="L125" s="71">
        <f t="shared" si="106"/>
        <v>0.10768497442443621</v>
      </c>
      <c r="M125" s="71">
        <f>'Proposed Rates'!C118</f>
        <v>23.38</v>
      </c>
      <c r="N125" s="71">
        <f t="shared" si="97"/>
        <v>23.487684974424436</v>
      </c>
      <c r="O125" s="71">
        <f>'Proposed Rates'!E118</f>
        <v>23.49</v>
      </c>
      <c r="P125" s="71"/>
      <c r="Q125" s="71"/>
      <c r="R125" s="132"/>
      <c r="S125" s="168"/>
      <c r="T125" s="130"/>
      <c r="U125" s="128"/>
      <c r="V125" s="128"/>
      <c r="W125" s="128"/>
      <c r="X125" s="128"/>
      <c r="Y125" s="128"/>
      <c r="Z125" s="128"/>
      <c r="AC125" s="186"/>
      <c r="AG125" s="177">
        <f>G125*$C$175*E125*(References!$D$61/References!$H$64)</f>
        <v>0.10768497442443624</v>
      </c>
      <c r="AH125" s="213">
        <f t="shared" si="98"/>
        <v>0</v>
      </c>
    </row>
    <row r="126" spans="1:34" s="65" customFormat="1">
      <c r="A126" s="265"/>
      <c r="B126" s="49"/>
      <c r="C126" s="114" t="s">
        <v>235</v>
      </c>
      <c r="D126" s="167">
        <v>0</v>
      </c>
      <c r="E126" s="73">
        <v>1</v>
      </c>
      <c r="F126" s="72">
        <v>12</v>
      </c>
      <c r="G126" s="72">
        <f>References!C37*2.25</f>
        <v>1890</v>
      </c>
      <c r="H126" s="122">
        <f t="shared" si="94"/>
        <v>22680</v>
      </c>
      <c r="I126" s="48">
        <f t="shared" si="95"/>
        <v>18048.303816178624</v>
      </c>
      <c r="J126" s="71">
        <f>(References!$D$61*I126)</f>
        <v>35.194192441548452</v>
      </c>
      <c r="K126" s="71">
        <f>J126/References!$H$64</f>
        <v>35.916106175679616</v>
      </c>
      <c r="L126" s="71">
        <f t="shared" ref="L126" si="107">K126/F126</f>
        <v>2.9930088479733015</v>
      </c>
      <c r="M126" s="71">
        <f>'Proposed Rates'!C173</f>
        <v>196.83</v>
      </c>
      <c r="N126" s="71">
        <f t="shared" ref="N126" si="108">L126+M126</f>
        <v>199.82300884797331</v>
      </c>
      <c r="O126" s="71">
        <f>'Proposed Rates'!E173</f>
        <v>199.82000000000002</v>
      </c>
      <c r="P126" s="71"/>
      <c r="Q126" s="71"/>
      <c r="R126" s="132"/>
      <c r="S126" s="168"/>
      <c r="T126" s="128"/>
      <c r="U126" s="128"/>
      <c r="V126" s="128"/>
      <c r="W126" s="128"/>
      <c r="X126" s="128"/>
      <c r="Y126" s="128"/>
      <c r="Z126" s="128"/>
      <c r="AC126" s="186"/>
      <c r="AG126" s="177">
        <f>G126*$C$175*E126*(References!$D$61/References!$H$64)</f>
        <v>2.993008847973301</v>
      </c>
      <c r="AH126" s="213">
        <f t="shared" si="98"/>
        <v>0</v>
      </c>
    </row>
    <row r="127" spans="1:34" s="65" customFormat="1">
      <c r="A127" s="265"/>
      <c r="B127" s="49"/>
      <c r="C127" s="114" t="s">
        <v>237</v>
      </c>
      <c r="D127" s="167">
        <v>0</v>
      </c>
      <c r="E127" s="73">
        <v>1</v>
      </c>
      <c r="F127" s="72">
        <v>12</v>
      </c>
      <c r="G127" s="72">
        <f>References!C34*3</f>
        <v>972</v>
      </c>
      <c r="H127" s="122">
        <f t="shared" ref="H127" si="109">F127*G127</f>
        <v>11664</v>
      </c>
      <c r="I127" s="48">
        <f t="shared" si="95"/>
        <v>9281.9848197490082</v>
      </c>
      <c r="J127" s="71">
        <f>(References!$D$61*I127)</f>
        <v>18.099870398510635</v>
      </c>
      <c r="K127" s="71">
        <f>J127/References!$H$64</f>
        <v>18.471140318920945</v>
      </c>
      <c r="L127" s="71">
        <f t="shared" ref="L127" si="110">K127/F127</f>
        <v>1.539261693243412</v>
      </c>
      <c r="M127" s="71">
        <f>'Proposed Rates'!C180</f>
        <v>98.14</v>
      </c>
      <c r="N127" s="71">
        <f t="shared" ref="N127" si="111">L127+M127</f>
        <v>99.679261693243419</v>
      </c>
      <c r="O127" s="71">
        <f>'Proposed Rates'!E180</f>
        <v>99.68</v>
      </c>
      <c r="P127" s="71"/>
      <c r="Q127" s="71"/>
      <c r="R127" s="132"/>
      <c r="S127" s="168"/>
      <c r="T127" s="128"/>
      <c r="U127" s="128"/>
      <c r="V127" s="128"/>
      <c r="W127" s="128"/>
      <c r="X127" s="128"/>
      <c r="Y127" s="128"/>
      <c r="Z127" s="128"/>
      <c r="AC127" s="186"/>
      <c r="AG127" s="177">
        <f>G127*$C$175*E127*(References!$D$61/References!$H$64)</f>
        <v>1.5392616932434118</v>
      </c>
      <c r="AH127" s="213">
        <f t="shared" si="98"/>
        <v>0</v>
      </c>
    </row>
    <row r="128" spans="1:34" s="65" customFormat="1">
      <c r="A128" s="265"/>
      <c r="B128" s="49"/>
      <c r="C128" s="114" t="s">
        <v>236</v>
      </c>
      <c r="D128" s="167">
        <v>0</v>
      </c>
      <c r="E128" s="73">
        <v>1</v>
      </c>
      <c r="F128" s="72">
        <v>12</v>
      </c>
      <c r="G128" s="72">
        <f>References!C36*3</f>
        <v>1839</v>
      </c>
      <c r="H128" s="122">
        <f t="shared" ref="H128" si="112">F128*G128</f>
        <v>22068</v>
      </c>
      <c r="I128" s="48">
        <f t="shared" si="95"/>
        <v>17561.286094154759</v>
      </c>
      <c r="J128" s="71">
        <f>(References!$D$61*I128)</f>
        <v>34.244507883601905</v>
      </c>
      <c r="K128" s="71">
        <f>J128/References!$H$64</f>
        <v>34.946941405859683</v>
      </c>
      <c r="L128" s="71">
        <f t="shared" ref="L128" si="113">K128/F128</f>
        <v>2.9122451171549737</v>
      </c>
      <c r="M128" s="71">
        <f>'Proposed Rates'!C182</f>
        <v>165.8</v>
      </c>
      <c r="N128" s="71">
        <f t="shared" ref="N128" si="114">L128+M128</f>
        <v>168.71224511715499</v>
      </c>
      <c r="O128" s="71">
        <f>'Proposed Rates'!E182</f>
        <v>168.71</v>
      </c>
      <c r="P128" s="71"/>
      <c r="Q128" s="71"/>
      <c r="R128" s="132"/>
      <c r="S128" s="168"/>
      <c r="T128" s="128"/>
      <c r="U128" s="128"/>
      <c r="V128" s="128"/>
      <c r="W128" s="128"/>
      <c r="X128" s="128"/>
      <c r="Y128" s="128"/>
      <c r="Z128" s="128"/>
      <c r="AC128" s="186"/>
      <c r="AG128" s="177">
        <f>G128*$C$175*E128*(References!$D$61/References!$H$64)</f>
        <v>2.9122451171549737</v>
      </c>
      <c r="AH128" s="213">
        <f t="shared" si="98"/>
        <v>0</v>
      </c>
    </row>
    <row r="129" spans="1:34" s="65" customFormat="1">
      <c r="A129" s="265"/>
      <c r="B129" s="49"/>
      <c r="C129" s="114" t="s">
        <v>238</v>
      </c>
      <c r="D129" s="167">
        <v>0</v>
      </c>
      <c r="E129" s="73">
        <v>1</v>
      </c>
      <c r="F129" s="72">
        <v>12</v>
      </c>
      <c r="G129" s="72">
        <f>References!C35*4</f>
        <v>1892</v>
      </c>
      <c r="H129" s="122">
        <f t="shared" ref="H129" si="115">F129*G129</f>
        <v>22704</v>
      </c>
      <c r="I129" s="48">
        <f t="shared" si="95"/>
        <v>18067.402550375638</v>
      </c>
      <c r="J129" s="71">
        <f>(References!$D$61*I129)</f>
        <v>35.231434973232624</v>
      </c>
      <c r="K129" s="71">
        <f>J129/References!$H$64</f>
        <v>35.954112637241174</v>
      </c>
      <c r="L129" s="71">
        <f t="shared" ref="L129" si="116">K129/F129</f>
        <v>2.9961760531034312</v>
      </c>
      <c r="M129" s="71">
        <f>'Proposed Rates'!C191</f>
        <v>169.64</v>
      </c>
      <c r="N129" s="71">
        <f t="shared" ref="N129" si="117">L129+M129</f>
        <v>172.63617605310341</v>
      </c>
      <c r="O129" s="71">
        <f>'Proposed Rates'!E191</f>
        <v>172.64</v>
      </c>
      <c r="P129" s="71"/>
      <c r="Q129" s="71"/>
      <c r="R129" s="132"/>
      <c r="S129" s="168"/>
      <c r="T129" s="128"/>
      <c r="U129" s="128"/>
      <c r="V129" s="128"/>
      <c r="W129" s="128"/>
      <c r="X129" s="128"/>
      <c r="Y129" s="128"/>
      <c r="Z129" s="128"/>
      <c r="AC129" s="186"/>
      <c r="AG129" s="177">
        <f>G129*$C$175*E129*(References!$D$61/References!$H$64)</f>
        <v>2.9961760531034316</v>
      </c>
      <c r="AH129" s="213">
        <f t="shared" si="98"/>
        <v>0</v>
      </c>
    </row>
    <row r="130" spans="1:34" s="65" customFormat="1">
      <c r="A130" s="265"/>
      <c r="B130" s="49"/>
      <c r="C130" s="114" t="s">
        <v>428</v>
      </c>
      <c r="D130" s="167">
        <v>0</v>
      </c>
      <c r="E130" s="73">
        <f>References!$C$13</f>
        <v>1</v>
      </c>
      <c r="F130" s="72">
        <f t="shared" si="99"/>
        <v>12</v>
      </c>
      <c r="G130" s="72">
        <f>References!C37*5</f>
        <v>4200</v>
      </c>
      <c r="H130" s="122">
        <f t="shared" si="94"/>
        <v>50400</v>
      </c>
      <c r="I130" s="48">
        <f t="shared" si="95"/>
        <v>40107.34181373028</v>
      </c>
      <c r="J130" s="71">
        <f>(References!$D$61*I130)</f>
        <v>78.209316536774338</v>
      </c>
      <c r="K130" s="71">
        <f>J130/References!$H$64</f>
        <v>79.813569279288032</v>
      </c>
      <c r="L130" s="71">
        <f t="shared" si="106"/>
        <v>6.6511307732740024</v>
      </c>
      <c r="M130" s="71">
        <f>'Proposed Rates'!C204</f>
        <v>350.77</v>
      </c>
      <c r="N130" s="71">
        <f t="shared" si="97"/>
        <v>357.421130773274</v>
      </c>
      <c r="O130" s="71">
        <f>'Proposed Rates'!E204</f>
        <v>357.41999999999996</v>
      </c>
      <c r="P130" s="71"/>
      <c r="Q130" s="71"/>
      <c r="R130" s="132"/>
      <c r="S130" s="168"/>
      <c r="T130" s="128"/>
      <c r="U130" s="128"/>
      <c r="V130" s="128"/>
      <c r="W130" s="128"/>
      <c r="X130" s="128"/>
      <c r="Y130" s="128"/>
      <c r="Z130" s="128"/>
      <c r="AC130" s="186"/>
      <c r="AG130" s="177">
        <f>G130*$C$175*E130*(References!$D$61/References!$H$64)</f>
        <v>6.6511307732740024</v>
      </c>
      <c r="AH130" s="213">
        <f t="shared" si="98"/>
        <v>0</v>
      </c>
    </row>
    <row r="131" spans="1:34" s="65" customFormat="1">
      <c r="A131" s="265"/>
      <c r="B131" s="49"/>
      <c r="C131" s="114" t="s">
        <v>225</v>
      </c>
      <c r="D131" s="167">
        <v>0</v>
      </c>
      <c r="E131" s="73">
        <f>References!$C$13</f>
        <v>1</v>
      </c>
      <c r="F131" s="72">
        <f t="shared" si="99"/>
        <v>12</v>
      </c>
      <c r="G131" s="72">
        <f>References!C33</f>
        <v>250</v>
      </c>
      <c r="H131" s="122">
        <f t="shared" si="94"/>
        <v>3000</v>
      </c>
      <c r="I131" s="48">
        <f t="shared" si="95"/>
        <v>2387.3417746268024</v>
      </c>
      <c r="J131" s="71">
        <f>(References!$D$61*I131)</f>
        <v>4.6553164605222817</v>
      </c>
      <c r="K131" s="71">
        <f>J131/References!$H$64</f>
        <v>4.7508076951957152</v>
      </c>
      <c r="L131" s="71">
        <f t="shared" si="106"/>
        <v>0.39590064126630958</v>
      </c>
      <c r="M131" s="71">
        <f>'Proposed Rates'!C149</f>
        <v>31.12</v>
      </c>
      <c r="N131" s="71">
        <f t="shared" si="97"/>
        <v>31.51590064126631</v>
      </c>
      <c r="O131" s="71">
        <f>'Proposed Rates'!E149</f>
        <v>31.52</v>
      </c>
      <c r="P131" s="71"/>
      <c r="Q131" s="71"/>
      <c r="R131" s="132"/>
      <c r="S131" s="168"/>
      <c r="T131" s="128"/>
      <c r="U131" s="128"/>
      <c r="V131" s="128"/>
      <c r="W131" s="128"/>
      <c r="X131" s="128"/>
      <c r="Y131" s="128"/>
      <c r="Z131" s="128"/>
      <c r="AC131" s="186"/>
      <c r="AG131" s="177">
        <f>G131*$C$175*E131*(References!$D$61/References!$H$64)</f>
        <v>0.39590064126630964</v>
      </c>
      <c r="AH131" s="213">
        <f t="shared" si="98"/>
        <v>0</v>
      </c>
    </row>
    <row r="132" spans="1:34" s="65" customFormat="1">
      <c r="A132" s="265"/>
      <c r="B132" s="49"/>
      <c r="C132" s="116" t="s">
        <v>227</v>
      </c>
      <c r="D132" s="141">
        <v>0</v>
      </c>
      <c r="E132" s="73">
        <f>References!$C$13</f>
        <v>1</v>
      </c>
      <c r="F132" s="72">
        <f t="shared" si="99"/>
        <v>12</v>
      </c>
      <c r="G132" s="72">
        <f>References!C32</f>
        <v>175</v>
      </c>
      <c r="H132" s="122">
        <f t="shared" si="94"/>
        <v>2100</v>
      </c>
      <c r="I132" s="48">
        <f t="shared" si="95"/>
        <v>1671.1392422387617</v>
      </c>
      <c r="J132" s="71">
        <f>(References!$D$61*I132)</f>
        <v>3.2587215223655974</v>
      </c>
      <c r="K132" s="71">
        <f>J132/References!$H$64</f>
        <v>3.3255653866370012</v>
      </c>
      <c r="L132" s="71">
        <f t="shared" si="106"/>
        <v>0.27713044888641675</v>
      </c>
      <c r="M132" s="71">
        <f>'Proposed Rates'!C141</f>
        <v>23.06</v>
      </c>
      <c r="N132" s="71">
        <f t="shared" si="97"/>
        <v>23.337130448886416</v>
      </c>
      <c r="O132" s="71">
        <f>'Proposed Rates'!E141</f>
        <v>23.34</v>
      </c>
      <c r="P132" s="71"/>
      <c r="Q132" s="71"/>
      <c r="R132" s="132"/>
      <c r="S132" s="168"/>
      <c r="T132" s="128"/>
      <c r="U132" s="128"/>
      <c r="V132" s="128"/>
      <c r="W132" s="128"/>
      <c r="X132" s="128"/>
      <c r="Y132" s="128"/>
      <c r="Z132" s="128"/>
      <c r="AC132" s="186"/>
      <c r="AG132" s="177">
        <f>G132*$C$175*E132*(References!$D$61/References!$H$64)</f>
        <v>0.27713044888641675</v>
      </c>
      <c r="AH132" s="213">
        <f t="shared" si="98"/>
        <v>0</v>
      </c>
    </row>
    <row r="133" spans="1:34" s="65" customFormat="1">
      <c r="A133" s="266"/>
      <c r="B133" s="121"/>
      <c r="C133" s="123" t="s">
        <v>229</v>
      </c>
      <c r="D133" s="147">
        <v>0</v>
      </c>
      <c r="E133" s="99">
        <f>References!$C$13</f>
        <v>1</v>
      </c>
      <c r="F133" s="87">
        <f t="shared" si="99"/>
        <v>12</v>
      </c>
      <c r="G133" s="87">
        <f>References!C34</f>
        <v>324</v>
      </c>
      <c r="H133" s="87">
        <f t="shared" si="94"/>
        <v>3888</v>
      </c>
      <c r="I133" s="100">
        <f t="shared" si="95"/>
        <v>3093.9949399163356</v>
      </c>
      <c r="J133" s="94">
        <f>(References!$D$61*I133)</f>
        <v>6.0332901328368767</v>
      </c>
      <c r="K133" s="94">
        <f>J133/References!$H$64</f>
        <v>6.1570467729736471</v>
      </c>
      <c r="L133" s="94">
        <f t="shared" si="106"/>
        <v>0.5130872310811373</v>
      </c>
      <c r="M133" s="94">
        <f>'Proposed Rates'!C143</f>
        <v>38.26</v>
      </c>
      <c r="N133" s="94">
        <f t="shared" si="97"/>
        <v>38.773087231081135</v>
      </c>
      <c r="O133" s="94">
        <f>'Proposed Rates'!E143</f>
        <v>38.769999999999996</v>
      </c>
      <c r="P133" s="71"/>
      <c r="Q133" s="71"/>
      <c r="R133" s="132"/>
      <c r="S133" s="168"/>
      <c r="T133" s="128"/>
      <c r="U133" s="128"/>
      <c r="V133" s="128"/>
      <c r="W133" s="128"/>
      <c r="X133" s="128"/>
      <c r="Y133" s="128"/>
      <c r="Z133" s="128"/>
      <c r="AC133" s="186"/>
      <c r="AG133" s="177">
        <f>G133*$C$175*E133*(References!$D$61/References!$H$64)</f>
        <v>0.51308723108113741</v>
      </c>
      <c r="AH133" s="213">
        <f t="shared" si="98"/>
        <v>0</v>
      </c>
    </row>
    <row r="134" spans="1:34">
      <c r="A134" s="68"/>
      <c r="C134" s="92"/>
      <c r="D134" s="148"/>
      <c r="E134" s="31"/>
      <c r="F134" s="62"/>
      <c r="G134" s="72"/>
      <c r="H134" s="62"/>
      <c r="J134" s="71"/>
      <c r="K134" s="95"/>
      <c r="L134" s="95"/>
      <c r="M134" s="95"/>
      <c r="N134" s="95"/>
      <c r="O134" s="71"/>
      <c r="T134" s="128"/>
      <c r="U134" s="128"/>
      <c r="V134" s="128"/>
      <c r="W134" s="128"/>
      <c r="X134" s="128"/>
      <c r="Y134" s="128"/>
      <c r="Z134" s="128"/>
      <c r="AC134" s="186"/>
    </row>
    <row r="135" spans="1:34" s="65" customFormat="1">
      <c r="A135" s="244"/>
      <c r="B135" s="252" t="s">
        <v>462</v>
      </c>
      <c r="C135" s="245"/>
      <c r="D135" s="246"/>
      <c r="E135" s="247"/>
      <c r="F135" s="248"/>
      <c r="G135" s="249"/>
      <c r="H135" s="249"/>
      <c r="I135" s="250"/>
      <c r="J135" s="251"/>
      <c r="K135" s="251"/>
      <c r="L135" s="251"/>
      <c r="M135" s="251"/>
      <c r="N135" s="251"/>
      <c r="O135" s="251"/>
      <c r="P135" s="71"/>
      <c r="Q135" s="71"/>
      <c r="R135" s="253"/>
      <c r="S135" s="168"/>
      <c r="T135" s="128"/>
      <c r="U135" s="128"/>
      <c r="V135" s="128"/>
      <c r="W135" s="128"/>
      <c r="X135" s="128"/>
      <c r="Y135" s="128"/>
      <c r="Z135" s="128"/>
      <c r="AA135" s="128"/>
      <c r="AB135" s="128"/>
      <c r="AC135" s="128"/>
      <c r="AE135" s="128"/>
    </row>
    <row r="136" spans="1:34" s="65" customFormat="1">
      <c r="A136" s="265" t="s">
        <v>484</v>
      </c>
      <c r="B136" s="49">
        <v>23</v>
      </c>
      <c r="C136" s="116" t="s">
        <v>463</v>
      </c>
      <c r="D136" s="115"/>
      <c r="E136" s="73">
        <f>References!$C$11</f>
        <v>4.333333333333333</v>
      </c>
      <c r="F136" s="72"/>
      <c r="G136" s="122">
        <f>G8</f>
        <v>20</v>
      </c>
      <c r="H136" s="122">
        <f>G136*E136</f>
        <v>86.666666666666657</v>
      </c>
      <c r="I136" s="48">
        <f>H136*$C$175</f>
        <v>68.967651266996498</v>
      </c>
      <c r="J136" s="71">
        <f>(References!$D$61*I136)</f>
        <v>0.13448691997064369</v>
      </c>
      <c r="K136" s="71">
        <f>J136/References!$H$64</f>
        <v>0.13724555563898733</v>
      </c>
      <c r="L136" s="71">
        <f>K136</f>
        <v>0.13724555563898733</v>
      </c>
      <c r="M136" s="71">
        <f>+'Proposed Rates'!C31</f>
        <v>14.9</v>
      </c>
      <c r="N136" s="71">
        <f t="shared" ref="N136" si="118">L136+M136</f>
        <v>15.037245555638988</v>
      </c>
      <c r="O136" s="71">
        <f>+'Proposed Rates'!E31</f>
        <v>15.037245555638988</v>
      </c>
      <c r="P136" s="71"/>
      <c r="Q136" s="71"/>
      <c r="R136" s="253"/>
      <c r="S136" s="168"/>
      <c r="T136" s="128"/>
      <c r="U136" s="128"/>
      <c r="V136" s="128"/>
      <c r="W136" s="128"/>
      <c r="X136" s="128"/>
      <c r="Y136" s="128"/>
      <c r="Z136" s="128"/>
      <c r="AA136" s="128"/>
      <c r="AB136" s="128"/>
      <c r="AC136" s="128"/>
      <c r="AE136" s="128"/>
      <c r="AG136" s="177">
        <f>G136*$C$175*E136*(References!$D$61/References!$H$64)</f>
        <v>0.13724555563898733</v>
      </c>
      <c r="AH136" s="213">
        <f t="shared" ref="AH136:AH167" si="119">L136-AG136</f>
        <v>0</v>
      </c>
    </row>
    <row r="137" spans="1:34" s="65" customFormat="1">
      <c r="A137" s="265"/>
      <c r="B137" s="49">
        <v>23</v>
      </c>
      <c r="C137" s="116" t="s">
        <v>464</v>
      </c>
      <c r="D137" s="115"/>
      <c r="E137" s="73">
        <f>References!$C$11</f>
        <v>4.333333333333333</v>
      </c>
      <c r="F137" s="72"/>
      <c r="G137" s="122">
        <f>G11</f>
        <v>34</v>
      </c>
      <c r="H137" s="122">
        <f>G137*E137</f>
        <v>147.33333333333331</v>
      </c>
      <c r="I137" s="48">
        <f>H137*$C$175</f>
        <v>117.24500715389405</v>
      </c>
      <c r="J137" s="71">
        <f>(References!$D$61*I137)</f>
        <v>0.22862776395009426</v>
      </c>
      <c r="K137" s="71">
        <f>J137/References!$H$64</f>
        <v>0.23331744458627846</v>
      </c>
      <c r="L137" s="71">
        <f>K137</f>
        <v>0.23331744458627846</v>
      </c>
      <c r="M137" s="71">
        <f>+'Proposed Rates'!C33</f>
        <v>18.77</v>
      </c>
      <c r="N137" s="71">
        <f t="shared" ref="N137:N143" si="120">L137+M137</f>
        <v>19.00331744458628</v>
      </c>
      <c r="O137" s="71">
        <f>+'Proposed Rates'!E33</f>
        <v>19.00331744458628</v>
      </c>
      <c r="P137" s="71"/>
      <c r="Q137" s="71"/>
      <c r="R137" s="253"/>
      <c r="S137" s="168"/>
      <c r="T137" s="128"/>
      <c r="U137" s="128"/>
      <c r="V137" s="128"/>
      <c r="W137" s="128"/>
      <c r="X137" s="128"/>
      <c r="Y137" s="128"/>
      <c r="Z137" s="128"/>
      <c r="AA137" s="128"/>
      <c r="AB137" s="128"/>
      <c r="AC137" s="128"/>
      <c r="AE137" s="128"/>
      <c r="AG137" s="177">
        <f>G137*$C$175*E137*(References!$D$61/References!$H$64)</f>
        <v>0.23331744458627848</v>
      </c>
      <c r="AH137" s="213">
        <f t="shared" si="119"/>
        <v>0</v>
      </c>
    </row>
    <row r="138" spans="1:34" s="65" customFormat="1">
      <c r="A138" s="265"/>
      <c r="B138" s="49">
        <v>23</v>
      </c>
      <c r="C138" s="116" t="s">
        <v>465</v>
      </c>
      <c r="D138" s="115"/>
      <c r="E138" s="73">
        <v>4.33</v>
      </c>
      <c r="F138" s="72"/>
      <c r="G138" s="122">
        <f>+References!C25</f>
        <v>47</v>
      </c>
      <c r="H138" s="122">
        <f t="shared" ref="H138:H143" si="121">G138*E138</f>
        <v>203.51</v>
      </c>
      <c r="I138" s="48">
        <f t="shared" ref="I138:I155" si="122">H138*$C$175</f>
        <v>161.94930818476683</v>
      </c>
      <c r="J138" s="71">
        <f>(References!$D$61*I138)</f>
        <v>0.31580115096029648</v>
      </c>
      <c r="K138" s="71">
        <f>J138/References!$H$64</f>
        <v>0.32227895801642664</v>
      </c>
      <c r="L138" s="71">
        <f t="shared" ref="L138:L155" si="123">K138</f>
        <v>0.32227895801642664</v>
      </c>
      <c r="M138" s="71">
        <f>+'Proposed Rates'!C35</f>
        <v>27.61</v>
      </c>
      <c r="N138" s="71">
        <f t="shared" si="120"/>
        <v>27.932278958016425</v>
      </c>
      <c r="O138" s="71">
        <f>+'Proposed Rates'!E35</f>
        <v>27.932278958016425</v>
      </c>
      <c r="P138" s="71"/>
      <c r="Q138" s="71"/>
      <c r="R138" s="253"/>
      <c r="S138" s="168"/>
      <c r="T138" s="128"/>
      <c r="U138" s="128"/>
      <c r="V138" s="128"/>
      <c r="W138" s="128"/>
      <c r="X138" s="128"/>
      <c r="Y138" s="128"/>
      <c r="Z138" s="128"/>
      <c r="AA138" s="128"/>
      <c r="AB138" s="128"/>
      <c r="AC138" s="128"/>
      <c r="AE138" s="128"/>
      <c r="AG138" s="177">
        <f>G138*$C$175*E138*(References!$D$61/References!$H$64)</f>
        <v>0.32227895801642675</v>
      </c>
      <c r="AH138" s="213">
        <f t="shared" si="119"/>
        <v>0</v>
      </c>
    </row>
    <row r="139" spans="1:34" s="65" customFormat="1">
      <c r="A139" s="265"/>
      <c r="B139" s="49">
        <v>23</v>
      </c>
      <c r="C139" s="116" t="s">
        <v>466</v>
      </c>
      <c r="D139" s="115"/>
      <c r="E139" s="73">
        <v>4.33</v>
      </c>
      <c r="F139" s="72"/>
      <c r="G139" s="122">
        <f>+References!C26</f>
        <v>68</v>
      </c>
      <c r="H139" s="122">
        <f t="shared" si="121"/>
        <v>294.44</v>
      </c>
      <c r="I139" s="48">
        <f t="shared" si="122"/>
        <v>234.30963737370521</v>
      </c>
      <c r="J139" s="71">
        <f>(References!$D$61*I139)</f>
        <v>0.4569037928787269</v>
      </c>
      <c r="K139" s="71">
        <f>J139/References!$H$64</f>
        <v>0.46627593925780886</v>
      </c>
      <c r="L139" s="71">
        <f t="shared" si="123"/>
        <v>0.46627593925780886</v>
      </c>
      <c r="M139" s="71">
        <f>+'Proposed Rates'!C37</f>
        <v>38.42</v>
      </c>
      <c r="N139" s="71">
        <f t="shared" si="120"/>
        <v>38.886275939257814</v>
      </c>
      <c r="O139" s="71">
        <f>+'Proposed Rates'!E37</f>
        <v>38.886275939257814</v>
      </c>
      <c r="P139" s="71"/>
      <c r="Q139" s="71"/>
      <c r="R139" s="253"/>
      <c r="S139" s="168"/>
      <c r="T139" s="128"/>
      <c r="U139" s="128"/>
      <c r="V139" s="128"/>
      <c r="W139" s="128"/>
      <c r="X139" s="128"/>
      <c r="Y139" s="128"/>
      <c r="Z139" s="128"/>
      <c r="AA139" s="128"/>
      <c r="AB139" s="128"/>
      <c r="AC139" s="128"/>
      <c r="AE139" s="128"/>
      <c r="AG139" s="177">
        <f>G139*$C$175*E139*(References!$D$61/References!$H$64)</f>
        <v>0.46627593925780891</v>
      </c>
      <c r="AH139" s="213">
        <f t="shared" si="119"/>
        <v>0</v>
      </c>
    </row>
    <row r="140" spans="1:34" s="65" customFormat="1">
      <c r="A140" s="265"/>
      <c r="B140" s="49">
        <v>23</v>
      </c>
      <c r="C140" s="116" t="s">
        <v>467</v>
      </c>
      <c r="D140" s="115"/>
      <c r="E140" s="73">
        <v>1</v>
      </c>
      <c r="F140" s="72"/>
      <c r="G140" s="122">
        <f>+References!C17</f>
        <v>20</v>
      </c>
      <c r="H140" s="122">
        <f t="shared" si="121"/>
        <v>20</v>
      </c>
      <c r="I140" s="48">
        <f t="shared" si="122"/>
        <v>15.915611830845348</v>
      </c>
      <c r="J140" s="71">
        <f>(References!$D$61*I140)</f>
        <v>3.1035443070148546E-2</v>
      </c>
      <c r="K140" s="71">
        <f>J140/References!$H$64</f>
        <v>3.1672051301304772E-2</v>
      </c>
      <c r="L140" s="71">
        <f t="shared" si="123"/>
        <v>3.1672051301304772E-2</v>
      </c>
      <c r="M140" s="71">
        <f>+'Proposed Rates'!C39</f>
        <v>9.18</v>
      </c>
      <c r="N140" s="71">
        <f t="shared" si="120"/>
        <v>9.2116720513013046</v>
      </c>
      <c r="O140" s="71">
        <f>+'Proposed Rates'!E39</f>
        <v>9.2116720513013046</v>
      </c>
      <c r="P140" s="71"/>
      <c r="Q140" s="71"/>
      <c r="R140" s="253"/>
      <c r="S140" s="168"/>
      <c r="T140" s="128"/>
      <c r="U140" s="128"/>
      <c r="V140" s="128"/>
      <c r="W140" s="128"/>
      <c r="X140" s="128"/>
      <c r="Y140" s="128"/>
      <c r="Z140" s="128"/>
      <c r="AA140" s="128"/>
      <c r="AB140" s="128"/>
      <c r="AC140" s="128"/>
      <c r="AE140" s="128"/>
      <c r="AG140" s="177">
        <f>G140*$C$175*E140*(References!$D$61/References!$H$64)</f>
        <v>3.1672051301304772E-2</v>
      </c>
      <c r="AH140" s="213">
        <f t="shared" si="119"/>
        <v>0</v>
      </c>
    </row>
    <row r="141" spans="1:34" s="65" customFormat="1">
      <c r="A141" s="265"/>
      <c r="B141" s="49">
        <v>23</v>
      </c>
      <c r="C141" s="116" t="s">
        <v>468</v>
      </c>
      <c r="D141" s="115"/>
      <c r="E141" s="73">
        <v>1</v>
      </c>
      <c r="F141" s="72"/>
      <c r="G141" s="122">
        <f>+References!C27</f>
        <v>34</v>
      </c>
      <c r="H141" s="122">
        <f t="shared" si="121"/>
        <v>34</v>
      </c>
      <c r="I141" s="48">
        <f t="shared" si="122"/>
        <v>27.056540112437094</v>
      </c>
      <c r="J141" s="71">
        <f>(References!$D$61*I141)</f>
        <v>5.2760253219252533E-2</v>
      </c>
      <c r="K141" s="71">
        <f>J141/References!$H$64</f>
        <v>5.3842487212218119E-2</v>
      </c>
      <c r="L141" s="71">
        <f t="shared" si="123"/>
        <v>5.3842487212218119E-2</v>
      </c>
      <c r="M141" s="71">
        <f>+'Proposed Rates'!C40</f>
        <v>11.41</v>
      </c>
      <c r="N141" s="71">
        <f t="shared" si="120"/>
        <v>11.463842487212219</v>
      </c>
      <c r="O141" s="71">
        <f>+'Proposed Rates'!E40</f>
        <v>11.463842487212219</v>
      </c>
      <c r="P141" s="71"/>
      <c r="Q141" s="71"/>
      <c r="R141" s="253"/>
      <c r="S141" s="168"/>
      <c r="T141" s="128"/>
      <c r="U141" s="128"/>
      <c r="V141" s="128"/>
      <c r="W141" s="128"/>
      <c r="X141" s="128"/>
      <c r="Y141" s="128"/>
      <c r="Z141" s="128"/>
      <c r="AA141" s="128"/>
      <c r="AB141" s="128"/>
      <c r="AC141" s="128"/>
      <c r="AE141" s="128"/>
      <c r="AG141" s="177">
        <f>G141*$C$175*E141*(References!$D$61/References!$H$64)</f>
        <v>5.3842487212218119E-2</v>
      </c>
      <c r="AH141" s="213">
        <f t="shared" si="119"/>
        <v>0</v>
      </c>
    </row>
    <row r="142" spans="1:34" s="65" customFormat="1">
      <c r="A142" s="265"/>
      <c r="B142" s="49">
        <v>23</v>
      </c>
      <c r="C142" s="116" t="s">
        <v>469</v>
      </c>
      <c r="D142" s="115"/>
      <c r="E142" s="73">
        <v>1</v>
      </c>
      <c r="F142" s="72"/>
      <c r="G142" s="122">
        <f>+References!C25</f>
        <v>47</v>
      </c>
      <c r="H142" s="122">
        <f t="shared" si="121"/>
        <v>47</v>
      </c>
      <c r="I142" s="48">
        <f t="shared" si="122"/>
        <v>37.40168780248657</v>
      </c>
      <c r="J142" s="71">
        <f>(References!$D$61*I142)</f>
        <v>7.293329121484908E-2</v>
      </c>
      <c r="K142" s="71">
        <f>J142/References!$H$64</f>
        <v>7.4429320558066211E-2</v>
      </c>
      <c r="L142" s="71">
        <f t="shared" si="123"/>
        <v>7.4429320558066211E-2</v>
      </c>
      <c r="M142" s="71">
        <f>+'Proposed Rates'!C41</f>
        <v>17.079999999999998</v>
      </c>
      <c r="N142" s="71">
        <f t="shared" si="120"/>
        <v>17.154429320558066</v>
      </c>
      <c r="O142" s="71">
        <f>+'Proposed Rates'!E41</f>
        <v>17.154429320558066</v>
      </c>
      <c r="P142" s="71"/>
      <c r="Q142" s="71"/>
      <c r="R142" s="253"/>
      <c r="S142" s="16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E142" s="128"/>
      <c r="AG142" s="177">
        <f>G142*$C$175*E142*(References!$D$61/References!$H$64)</f>
        <v>7.4429320558066211E-2</v>
      </c>
      <c r="AH142" s="213">
        <f t="shared" si="119"/>
        <v>0</v>
      </c>
    </row>
    <row r="143" spans="1:34" s="65" customFormat="1">
      <c r="A143" s="265"/>
      <c r="B143" s="49">
        <v>23</v>
      </c>
      <c r="C143" s="116" t="s">
        <v>470</v>
      </c>
      <c r="D143" s="115"/>
      <c r="E143" s="73">
        <v>1</v>
      </c>
      <c r="F143" s="72"/>
      <c r="G143" s="122">
        <f>+References!C26</f>
        <v>68</v>
      </c>
      <c r="H143" s="122">
        <f t="shared" si="121"/>
        <v>68</v>
      </c>
      <c r="I143" s="48">
        <f t="shared" si="122"/>
        <v>54.113080224874189</v>
      </c>
      <c r="J143" s="71">
        <f>(References!$D$61*I143)</f>
        <v>0.10552050643850507</v>
      </c>
      <c r="K143" s="71">
        <f>J143/References!$H$64</f>
        <v>0.10768497442443624</v>
      </c>
      <c r="L143" s="71">
        <f t="shared" si="123"/>
        <v>0.10768497442443624</v>
      </c>
      <c r="M143" s="71">
        <f>+'Proposed Rates'!C42</f>
        <v>23.9</v>
      </c>
      <c r="N143" s="71">
        <f t="shared" si="120"/>
        <v>24.007684974424436</v>
      </c>
      <c r="O143" s="71">
        <f>+'Proposed Rates'!E42</f>
        <v>24.007684974424436</v>
      </c>
      <c r="P143" s="71"/>
      <c r="Q143" s="71"/>
      <c r="R143" s="253"/>
      <c r="S143" s="16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  <c r="AE143" s="128"/>
      <c r="AG143" s="177">
        <f>G143*$C$175*E143*(References!$D$61/References!$H$64)</f>
        <v>0.10768497442443624</v>
      </c>
      <c r="AH143" s="213">
        <f t="shared" si="119"/>
        <v>0</v>
      </c>
    </row>
    <row r="144" spans="1:34" s="65" customFormat="1">
      <c r="A144" s="265"/>
      <c r="B144" s="49">
        <v>24</v>
      </c>
      <c r="C144" s="116" t="s">
        <v>471</v>
      </c>
      <c r="D144" s="115"/>
      <c r="E144" s="73">
        <v>1</v>
      </c>
      <c r="F144" s="72"/>
      <c r="G144" s="122">
        <f>+References!C17</f>
        <v>20</v>
      </c>
      <c r="H144" s="122">
        <f t="shared" ref="H144:H147" si="124">G144*E144</f>
        <v>20</v>
      </c>
      <c r="I144" s="48">
        <f t="shared" si="122"/>
        <v>15.915611830845348</v>
      </c>
      <c r="J144" s="71">
        <f>(References!$D$61*I144)</f>
        <v>3.1035443070148546E-2</v>
      </c>
      <c r="K144" s="71">
        <f>J144/References!$H$64</f>
        <v>3.1672051301304772E-2</v>
      </c>
      <c r="L144" s="71">
        <f t="shared" si="123"/>
        <v>3.1672051301304772E-2</v>
      </c>
      <c r="M144" s="71">
        <f>+'Proposed Rates'!C48</f>
        <v>10.3</v>
      </c>
      <c r="N144" s="71">
        <f t="shared" ref="N144:N147" si="125">L144+M144</f>
        <v>10.331672051301306</v>
      </c>
      <c r="O144" s="71">
        <f>+'Proposed Rates'!E48</f>
        <v>10.331672051301306</v>
      </c>
      <c r="P144" s="71"/>
      <c r="Q144" s="71"/>
      <c r="R144" s="253"/>
      <c r="S144" s="16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  <c r="AE144" s="128"/>
      <c r="AG144" s="177">
        <f>G144*$C$175*E144*(References!$D$61/References!$H$64)</f>
        <v>3.1672051301304772E-2</v>
      </c>
      <c r="AH144" s="213">
        <f t="shared" si="119"/>
        <v>0</v>
      </c>
    </row>
    <row r="145" spans="1:34" s="65" customFormat="1">
      <c r="A145" s="265"/>
      <c r="B145" s="49">
        <v>24</v>
      </c>
      <c r="C145" s="116" t="s">
        <v>472</v>
      </c>
      <c r="D145" s="115"/>
      <c r="E145" s="73">
        <v>1</v>
      </c>
      <c r="F145" s="72"/>
      <c r="G145" s="122">
        <f>+References!C18</f>
        <v>34</v>
      </c>
      <c r="H145" s="122">
        <f t="shared" si="124"/>
        <v>34</v>
      </c>
      <c r="I145" s="48">
        <f t="shared" si="122"/>
        <v>27.056540112437094</v>
      </c>
      <c r="J145" s="71">
        <f>(References!$D$61*I145)</f>
        <v>5.2760253219252533E-2</v>
      </c>
      <c r="K145" s="71">
        <f>J145/References!$H$64</f>
        <v>5.3842487212218119E-2</v>
      </c>
      <c r="L145" s="71">
        <f t="shared" si="123"/>
        <v>5.3842487212218119E-2</v>
      </c>
      <c r="M145" s="71">
        <f>+'Proposed Rates'!C49</f>
        <v>12.81</v>
      </c>
      <c r="N145" s="71">
        <f t="shared" si="125"/>
        <v>12.863842487212219</v>
      </c>
      <c r="O145" s="71">
        <f>+'Proposed Rates'!E49</f>
        <v>12.863842487212219</v>
      </c>
      <c r="P145" s="71"/>
      <c r="Q145" s="71"/>
      <c r="R145" s="253"/>
      <c r="S145" s="16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  <c r="AE145" s="128"/>
      <c r="AG145" s="177">
        <f>G145*$C$175*E145*(References!$D$61/References!$H$64)</f>
        <v>5.3842487212218119E-2</v>
      </c>
      <c r="AH145" s="213">
        <f t="shared" si="119"/>
        <v>0</v>
      </c>
    </row>
    <row r="146" spans="1:34" s="65" customFormat="1">
      <c r="A146" s="265"/>
      <c r="B146" s="49">
        <v>24</v>
      </c>
      <c r="C146" s="116" t="s">
        <v>473</v>
      </c>
      <c r="D146" s="115"/>
      <c r="E146" s="73">
        <v>1</v>
      </c>
      <c r="F146" s="72"/>
      <c r="G146" s="122">
        <f>+References!C25</f>
        <v>47</v>
      </c>
      <c r="H146" s="122">
        <f t="shared" si="124"/>
        <v>47</v>
      </c>
      <c r="I146" s="48">
        <f t="shared" si="122"/>
        <v>37.40168780248657</v>
      </c>
      <c r="J146" s="71">
        <f>(References!$D$61*I146)</f>
        <v>7.293329121484908E-2</v>
      </c>
      <c r="K146" s="71">
        <f>J146/References!$H$64</f>
        <v>7.4429320558066211E-2</v>
      </c>
      <c r="L146" s="71">
        <f t="shared" si="123"/>
        <v>7.4429320558066211E-2</v>
      </c>
      <c r="M146" s="71">
        <f>+'Proposed Rates'!C50</f>
        <v>19.18</v>
      </c>
      <c r="N146" s="71">
        <f t="shared" si="125"/>
        <v>19.254429320558067</v>
      </c>
      <c r="O146" s="71">
        <f>+'Proposed Rates'!E50</f>
        <v>19.254429320558067</v>
      </c>
      <c r="P146" s="71"/>
      <c r="Q146" s="71"/>
      <c r="R146" s="253"/>
      <c r="S146" s="168"/>
      <c r="T146" s="128"/>
      <c r="U146" s="128"/>
      <c r="V146" s="128"/>
      <c r="W146" s="128"/>
      <c r="X146" s="128"/>
      <c r="Y146" s="128"/>
      <c r="Z146" s="128"/>
      <c r="AA146" s="128"/>
      <c r="AB146" s="128"/>
      <c r="AC146" s="128"/>
      <c r="AE146" s="128"/>
      <c r="AG146" s="177">
        <f>G146*$C$175*E146*(References!$D$61/References!$H$64)</f>
        <v>7.4429320558066211E-2</v>
      </c>
      <c r="AH146" s="213">
        <f t="shared" si="119"/>
        <v>0</v>
      </c>
    </row>
    <row r="147" spans="1:34" s="65" customFormat="1">
      <c r="A147" s="265"/>
      <c r="B147" s="49">
        <v>24</v>
      </c>
      <c r="C147" s="116" t="s">
        <v>474</v>
      </c>
      <c r="D147" s="115"/>
      <c r="E147" s="73">
        <v>1</v>
      </c>
      <c r="F147" s="72"/>
      <c r="G147" s="122">
        <f>+References!C26</f>
        <v>68</v>
      </c>
      <c r="H147" s="122">
        <f t="shared" si="124"/>
        <v>68</v>
      </c>
      <c r="I147" s="48">
        <f t="shared" si="122"/>
        <v>54.113080224874189</v>
      </c>
      <c r="J147" s="71">
        <f>(References!$D$61*I147)</f>
        <v>0.10552050643850507</v>
      </c>
      <c r="K147" s="71">
        <f>J147/References!$H$64</f>
        <v>0.10768497442443624</v>
      </c>
      <c r="L147" s="71">
        <f t="shared" si="123"/>
        <v>0.10768497442443624</v>
      </c>
      <c r="M147" s="71">
        <f>+'Proposed Rates'!C51</f>
        <v>26.85</v>
      </c>
      <c r="N147" s="71">
        <f t="shared" si="125"/>
        <v>26.957684974424438</v>
      </c>
      <c r="O147" s="71">
        <f>+'Proposed Rates'!E51</f>
        <v>26.957684974424438</v>
      </c>
      <c r="P147" s="71"/>
      <c r="Q147" s="71"/>
      <c r="R147" s="253"/>
      <c r="S147" s="168"/>
      <c r="T147" s="128"/>
      <c r="U147" s="128"/>
      <c r="V147" s="128"/>
      <c r="W147" s="128"/>
      <c r="X147" s="128"/>
      <c r="Y147" s="128"/>
      <c r="Z147" s="128"/>
      <c r="AA147" s="128"/>
      <c r="AB147" s="128"/>
      <c r="AC147" s="128"/>
      <c r="AE147" s="128"/>
      <c r="AG147" s="177">
        <f>G147*$C$175*E147*(References!$D$61/References!$H$64)</f>
        <v>0.10768497442443624</v>
      </c>
      <c r="AH147" s="213">
        <f t="shared" si="119"/>
        <v>0</v>
      </c>
    </row>
    <row r="148" spans="1:34" s="65" customFormat="1" ht="15" customHeight="1">
      <c r="A148" s="267" t="s">
        <v>233</v>
      </c>
      <c r="B148" s="49">
        <v>27</v>
      </c>
      <c r="C148" s="116" t="s">
        <v>475</v>
      </c>
      <c r="D148" s="115"/>
      <c r="E148" s="73">
        <v>4.33</v>
      </c>
      <c r="F148" s="72"/>
      <c r="G148" s="122">
        <f>+References!C17</f>
        <v>20</v>
      </c>
      <c r="H148" s="122">
        <f t="shared" ref="H148:H155" si="126">G148*E148</f>
        <v>86.6</v>
      </c>
      <c r="I148" s="48">
        <f t="shared" si="122"/>
        <v>68.914599227560359</v>
      </c>
      <c r="J148" s="71">
        <f>(References!$D$61*I148)</f>
        <v>0.13438346849374319</v>
      </c>
      <c r="K148" s="71">
        <f>J148/References!$H$64</f>
        <v>0.13713998213464965</v>
      </c>
      <c r="L148" s="71">
        <f t="shared" si="123"/>
        <v>0.13713998213464965</v>
      </c>
      <c r="M148" s="71">
        <f>+'Proposed Rates'!C69</f>
        <v>16.2</v>
      </c>
      <c r="N148" s="71">
        <f t="shared" ref="N148:N155" si="127">L148+M148</f>
        <v>16.337139982134648</v>
      </c>
      <c r="O148" s="71">
        <f>+'Proposed Rates'!E69</f>
        <v>16.337139982134648</v>
      </c>
      <c r="P148" s="71"/>
      <c r="Q148" s="71"/>
      <c r="R148" s="253"/>
      <c r="S148" s="16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E148" s="128"/>
      <c r="AG148" s="177">
        <f>G148*$C$175*E148*(References!$D$61/References!$H$64)</f>
        <v>0.13713998213464967</v>
      </c>
      <c r="AH148" s="213">
        <f t="shared" si="119"/>
        <v>0</v>
      </c>
    </row>
    <row r="149" spans="1:34" s="65" customFormat="1">
      <c r="A149" s="265"/>
      <c r="B149" s="49">
        <v>27</v>
      </c>
      <c r="C149" s="116" t="s">
        <v>464</v>
      </c>
      <c r="D149" s="115"/>
      <c r="E149" s="73">
        <v>4.33</v>
      </c>
      <c r="F149" s="72"/>
      <c r="G149" s="122">
        <f>+References!C18</f>
        <v>34</v>
      </c>
      <c r="H149" s="122">
        <f t="shared" si="126"/>
        <v>147.22</v>
      </c>
      <c r="I149" s="48">
        <f t="shared" si="122"/>
        <v>117.15481868685261</v>
      </c>
      <c r="J149" s="71">
        <f>(References!$D$61*I149)</f>
        <v>0.22845189643936345</v>
      </c>
      <c r="K149" s="71">
        <f>J149/References!$H$64</f>
        <v>0.23313796962890443</v>
      </c>
      <c r="L149" s="71">
        <f t="shared" si="123"/>
        <v>0.23313796962890443</v>
      </c>
      <c r="M149" s="71">
        <f>+'Proposed Rates'!C71</f>
        <v>20.399999999999999</v>
      </c>
      <c r="N149" s="71">
        <f t="shared" si="127"/>
        <v>20.633137969628905</v>
      </c>
      <c r="O149" s="71">
        <f>+'Proposed Rates'!E71</f>
        <v>20.633137969628905</v>
      </c>
      <c r="P149" s="71"/>
      <c r="Q149" s="71"/>
      <c r="R149" s="253"/>
      <c r="S149" s="168"/>
      <c r="T149" s="128"/>
      <c r="U149" s="128"/>
      <c r="V149" s="128"/>
      <c r="W149" s="128"/>
      <c r="X149" s="128"/>
      <c r="Y149" s="128"/>
      <c r="Z149" s="128"/>
      <c r="AA149" s="128"/>
      <c r="AB149" s="128"/>
      <c r="AC149" s="128"/>
      <c r="AE149" s="128"/>
      <c r="AG149" s="177">
        <f>G149*$C$175*E149*(References!$D$61/References!$H$64)</f>
        <v>0.23313796962890446</v>
      </c>
      <c r="AH149" s="213">
        <f t="shared" si="119"/>
        <v>0</v>
      </c>
    </row>
    <row r="150" spans="1:34" s="65" customFormat="1">
      <c r="A150" s="265"/>
      <c r="B150" s="49">
        <v>27</v>
      </c>
      <c r="C150" s="116" t="s">
        <v>465</v>
      </c>
      <c r="D150" s="115"/>
      <c r="E150" s="73">
        <v>4.33</v>
      </c>
      <c r="F150" s="72"/>
      <c r="G150" s="122">
        <f>+References!C25</f>
        <v>47</v>
      </c>
      <c r="H150" s="122">
        <f t="shared" si="126"/>
        <v>203.51</v>
      </c>
      <c r="I150" s="48">
        <f t="shared" si="122"/>
        <v>161.94930818476683</v>
      </c>
      <c r="J150" s="71">
        <f>(References!$D$61*I150)</f>
        <v>0.31580115096029648</v>
      </c>
      <c r="K150" s="71">
        <f>J150/References!$H$64</f>
        <v>0.32227895801642664</v>
      </c>
      <c r="L150" s="71">
        <f t="shared" si="123"/>
        <v>0.32227895801642664</v>
      </c>
      <c r="M150" s="71">
        <f>+'Proposed Rates'!C73</f>
        <v>32.020000000000003</v>
      </c>
      <c r="N150" s="71">
        <f t="shared" si="127"/>
        <v>32.342278958016429</v>
      </c>
      <c r="O150" s="71">
        <f>+'Proposed Rates'!E73</f>
        <v>32.342278958016429</v>
      </c>
      <c r="P150" s="71"/>
      <c r="Q150" s="71"/>
      <c r="R150" s="253"/>
      <c r="S150" s="168"/>
      <c r="T150" s="128"/>
      <c r="U150" s="128"/>
      <c r="V150" s="128"/>
      <c r="W150" s="128"/>
      <c r="X150" s="128"/>
      <c r="Y150" s="128"/>
      <c r="Z150" s="128"/>
      <c r="AA150" s="128"/>
      <c r="AB150" s="128"/>
      <c r="AC150" s="128"/>
      <c r="AE150" s="128"/>
      <c r="AG150" s="177">
        <f>G150*$C$175*E150*(References!$D$61/References!$H$64)</f>
        <v>0.32227895801642675</v>
      </c>
      <c r="AH150" s="213">
        <f t="shared" si="119"/>
        <v>0</v>
      </c>
    </row>
    <row r="151" spans="1:34" s="65" customFormat="1">
      <c r="A151" s="265"/>
      <c r="B151" s="49">
        <v>27</v>
      </c>
      <c r="C151" s="116" t="s">
        <v>466</v>
      </c>
      <c r="D151" s="115"/>
      <c r="E151" s="73">
        <v>4.33</v>
      </c>
      <c r="F151" s="72"/>
      <c r="G151" s="122">
        <f>+References!C26</f>
        <v>68</v>
      </c>
      <c r="H151" s="122">
        <f t="shared" si="126"/>
        <v>294.44</v>
      </c>
      <c r="I151" s="48">
        <f t="shared" si="122"/>
        <v>234.30963737370521</v>
      </c>
      <c r="J151" s="71">
        <f>(References!$D$61*I151)</f>
        <v>0.4569037928787269</v>
      </c>
      <c r="K151" s="71">
        <f>J151/References!$H$64</f>
        <v>0.46627593925780886</v>
      </c>
      <c r="L151" s="71">
        <f t="shared" si="123"/>
        <v>0.46627593925780886</v>
      </c>
      <c r="M151" s="71">
        <f>+'Proposed Rates'!C75</f>
        <v>47.17</v>
      </c>
      <c r="N151" s="71">
        <f t="shared" si="127"/>
        <v>47.636275939257814</v>
      </c>
      <c r="O151" s="71">
        <f>+'Proposed Rates'!E75</f>
        <v>47.636275939257814</v>
      </c>
      <c r="P151" s="71"/>
      <c r="Q151" s="71"/>
      <c r="R151" s="253"/>
      <c r="S151" s="168"/>
      <c r="T151" s="128"/>
      <c r="U151" s="128"/>
      <c r="V151" s="128"/>
      <c r="W151" s="128"/>
      <c r="X151" s="128"/>
      <c r="Y151" s="128"/>
      <c r="Z151" s="128"/>
      <c r="AA151" s="128"/>
      <c r="AB151" s="128"/>
      <c r="AC151" s="128"/>
      <c r="AE151" s="128"/>
      <c r="AG151" s="177">
        <f>G151*$C$175*E151*(References!$D$61/References!$H$64)</f>
        <v>0.46627593925780891</v>
      </c>
      <c r="AH151" s="213">
        <f t="shared" si="119"/>
        <v>0</v>
      </c>
    </row>
    <row r="152" spans="1:34" s="65" customFormat="1">
      <c r="A152" s="265"/>
      <c r="B152" s="49">
        <v>28</v>
      </c>
      <c r="C152" s="116" t="s">
        <v>471</v>
      </c>
      <c r="D152" s="115"/>
      <c r="E152" s="73">
        <v>1</v>
      </c>
      <c r="F152" s="72"/>
      <c r="G152" s="122">
        <f>+References!C17</f>
        <v>20</v>
      </c>
      <c r="H152" s="122">
        <f t="shared" si="126"/>
        <v>20</v>
      </c>
      <c r="I152" s="48">
        <f t="shared" si="122"/>
        <v>15.915611830845348</v>
      </c>
      <c r="J152" s="71">
        <f>(References!$D$61*I152)</f>
        <v>3.1035443070148546E-2</v>
      </c>
      <c r="K152" s="71">
        <f>J152/References!$H$64</f>
        <v>3.1672051301304772E-2</v>
      </c>
      <c r="L152" s="71">
        <f t="shared" si="123"/>
        <v>3.1672051301304772E-2</v>
      </c>
      <c r="M152" s="71">
        <f>+'Proposed Rates'!C82</f>
        <v>14.53</v>
      </c>
      <c r="N152" s="71">
        <f t="shared" si="127"/>
        <v>14.561672051301304</v>
      </c>
      <c r="O152" s="71">
        <f>+'Proposed Rates'!E82</f>
        <v>14.561672051301304</v>
      </c>
      <c r="P152" s="71"/>
      <c r="Q152" s="71"/>
      <c r="R152" s="253"/>
      <c r="S152" s="168"/>
      <c r="T152" s="128"/>
      <c r="U152" s="128"/>
      <c r="V152" s="128"/>
      <c r="W152" s="128"/>
      <c r="X152" s="128"/>
      <c r="Y152" s="128"/>
      <c r="Z152" s="128"/>
      <c r="AA152" s="128"/>
      <c r="AB152" s="128"/>
      <c r="AC152" s="128"/>
      <c r="AE152" s="128"/>
      <c r="AG152" s="177">
        <f>G152*$C$175*E152*(References!$D$61/References!$H$64)</f>
        <v>3.1672051301304772E-2</v>
      </c>
      <c r="AH152" s="213">
        <f t="shared" si="119"/>
        <v>0</v>
      </c>
    </row>
    <row r="153" spans="1:34" s="65" customFormat="1">
      <c r="A153" s="265"/>
      <c r="B153" s="49">
        <v>28</v>
      </c>
      <c r="C153" s="116" t="s">
        <v>472</v>
      </c>
      <c r="D153" s="115"/>
      <c r="E153" s="73">
        <v>1</v>
      </c>
      <c r="F153" s="72"/>
      <c r="G153" s="122">
        <f>+References!C18</f>
        <v>34</v>
      </c>
      <c r="H153" s="122">
        <f t="shared" si="126"/>
        <v>34</v>
      </c>
      <c r="I153" s="48">
        <f t="shared" si="122"/>
        <v>27.056540112437094</v>
      </c>
      <c r="J153" s="71">
        <f>(References!$D$61*I153)</f>
        <v>5.2760253219252533E-2</v>
      </c>
      <c r="K153" s="71">
        <f>J153/References!$H$64</f>
        <v>5.3842487212218119E-2</v>
      </c>
      <c r="L153" s="71">
        <f t="shared" si="123"/>
        <v>5.3842487212218119E-2</v>
      </c>
      <c r="M153" s="71">
        <f>+'Proposed Rates'!C83</f>
        <v>18.059999999999999</v>
      </c>
      <c r="N153" s="71">
        <f t="shared" si="127"/>
        <v>18.113842487212217</v>
      </c>
      <c r="O153" s="71">
        <f>+'Proposed Rates'!E83</f>
        <v>18.113842487212217</v>
      </c>
      <c r="P153" s="71"/>
      <c r="Q153" s="71"/>
      <c r="R153" s="253"/>
      <c r="S153" s="168"/>
      <c r="T153" s="128"/>
      <c r="U153" s="128"/>
      <c r="V153" s="128"/>
      <c r="W153" s="128"/>
      <c r="X153" s="128"/>
      <c r="Y153" s="128"/>
      <c r="Z153" s="128"/>
      <c r="AA153" s="128"/>
      <c r="AB153" s="128"/>
      <c r="AC153" s="128"/>
      <c r="AE153" s="128"/>
      <c r="AG153" s="177">
        <f>G153*$C$175*E153*(References!$D$61/References!$H$64)</f>
        <v>5.3842487212218119E-2</v>
      </c>
      <c r="AH153" s="213">
        <f t="shared" si="119"/>
        <v>0</v>
      </c>
    </row>
    <row r="154" spans="1:34" s="65" customFormat="1">
      <c r="A154" s="265"/>
      <c r="B154" s="49">
        <v>28</v>
      </c>
      <c r="C154" s="116" t="s">
        <v>473</v>
      </c>
      <c r="D154" s="115"/>
      <c r="E154" s="73">
        <v>1</v>
      </c>
      <c r="F154" s="72"/>
      <c r="G154" s="122">
        <f>+References!C25</f>
        <v>47</v>
      </c>
      <c r="H154" s="122">
        <f t="shared" si="126"/>
        <v>47</v>
      </c>
      <c r="I154" s="48">
        <f t="shared" si="122"/>
        <v>37.40168780248657</v>
      </c>
      <c r="J154" s="71">
        <f>(References!$D$61*I154)</f>
        <v>7.293329121484908E-2</v>
      </c>
      <c r="K154" s="71">
        <f>J154/References!$H$64</f>
        <v>7.4429320558066211E-2</v>
      </c>
      <c r="L154" s="71">
        <f t="shared" si="123"/>
        <v>7.4429320558066211E-2</v>
      </c>
      <c r="M154" s="71">
        <f>+'Proposed Rates'!C84</f>
        <v>27.05</v>
      </c>
      <c r="N154" s="71">
        <f t="shared" si="127"/>
        <v>27.124429320558068</v>
      </c>
      <c r="O154" s="71">
        <f>+'Proposed Rates'!E84</f>
        <v>27.124429320558068</v>
      </c>
      <c r="P154" s="71"/>
      <c r="Q154" s="71"/>
      <c r="R154" s="253"/>
      <c r="S154" s="168"/>
      <c r="T154" s="128"/>
      <c r="U154" s="128"/>
      <c r="V154" s="128"/>
      <c r="W154" s="128"/>
      <c r="X154" s="128"/>
      <c r="Y154" s="128"/>
      <c r="Z154" s="128"/>
      <c r="AA154" s="128"/>
      <c r="AB154" s="128"/>
      <c r="AC154" s="128"/>
      <c r="AE154" s="128"/>
      <c r="AG154" s="177">
        <f>G154*$C$175*E154*(References!$D$61/References!$H$64)</f>
        <v>7.4429320558066211E-2</v>
      </c>
      <c r="AH154" s="213">
        <f t="shared" si="119"/>
        <v>0</v>
      </c>
    </row>
    <row r="155" spans="1:34" s="65" customFormat="1">
      <c r="A155" s="265"/>
      <c r="B155" s="49">
        <v>28</v>
      </c>
      <c r="C155" s="116" t="s">
        <v>474</v>
      </c>
      <c r="D155" s="115"/>
      <c r="E155" s="73">
        <v>1</v>
      </c>
      <c r="F155" s="72"/>
      <c r="G155" s="122">
        <f>+References!C26</f>
        <v>68</v>
      </c>
      <c r="H155" s="122">
        <f t="shared" si="126"/>
        <v>68</v>
      </c>
      <c r="I155" s="48">
        <f t="shared" si="122"/>
        <v>54.113080224874189</v>
      </c>
      <c r="J155" s="71">
        <f>(References!$D$61*I155)</f>
        <v>0.10552050643850507</v>
      </c>
      <c r="K155" s="71">
        <f>J155/References!$H$64</f>
        <v>0.10768497442443624</v>
      </c>
      <c r="L155" s="71">
        <f t="shared" si="123"/>
        <v>0.10768497442443624</v>
      </c>
      <c r="M155" s="71">
        <f>+'Proposed Rates'!C85</f>
        <v>37.85</v>
      </c>
      <c r="N155" s="71">
        <f t="shared" si="127"/>
        <v>37.957684974424438</v>
      </c>
      <c r="O155" s="71">
        <f>+'Proposed Rates'!E85</f>
        <v>37.957684974424438</v>
      </c>
      <c r="P155" s="71"/>
      <c r="Q155" s="71"/>
      <c r="R155" s="253"/>
      <c r="S155" s="168"/>
      <c r="T155" s="128"/>
      <c r="U155" s="128"/>
      <c r="V155" s="128"/>
      <c r="W155" s="128"/>
      <c r="X155" s="128"/>
      <c r="Y155" s="128"/>
      <c r="Z155" s="128"/>
      <c r="AA155" s="128"/>
      <c r="AB155" s="128"/>
      <c r="AC155" s="128"/>
      <c r="AE155" s="128"/>
      <c r="AG155" s="177">
        <f>G155*$C$175*E155*(References!$D$61/References!$H$64)</f>
        <v>0.10768497442443624</v>
      </c>
      <c r="AH155" s="213">
        <f t="shared" si="119"/>
        <v>0</v>
      </c>
    </row>
    <row r="156" spans="1:34" s="65" customFormat="1">
      <c r="A156" s="265"/>
      <c r="B156" s="49">
        <v>29</v>
      </c>
      <c r="C156" s="116" t="s">
        <v>476</v>
      </c>
      <c r="D156" s="115"/>
      <c r="E156" s="73">
        <v>1</v>
      </c>
      <c r="F156" s="72"/>
      <c r="G156" s="122">
        <f>+References!C17</f>
        <v>20</v>
      </c>
      <c r="H156" s="122">
        <f t="shared" ref="H156:H159" si="128">G156*E156</f>
        <v>20</v>
      </c>
      <c r="I156" s="48">
        <f t="shared" ref="I156:I159" si="129">H156*$C$175</f>
        <v>15.915611830845348</v>
      </c>
      <c r="J156" s="71">
        <f>(References!$D$61*I156)</f>
        <v>3.1035443070148546E-2</v>
      </c>
      <c r="K156" s="71">
        <f>J156/References!$H$64</f>
        <v>3.1672051301304772E-2</v>
      </c>
      <c r="L156" s="71">
        <f t="shared" ref="L156:L159" si="130">K156</f>
        <v>3.1672051301304772E-2</v>
      </c>
      <c r="M156" s="71" t="e">
        <f>+'Proposed Rates'!#REF!</f>
        <v>#REF!</v>
      </c>
      <c r="N156" s="71" t="e">
        <f t="shared" ref="N156:N159" si="131">L156+M156</f>
        <v>#REF!</v>
      </c>
      <c r="O156" s="71" t="e">
        <f>+'Proposed Rates'!#REF!</f>
        <v>#REF!</v>
      </c>
      <c r="P156" s="71"/>
      <c r="Q156" s="71"/>
      <c r="R156" s="253"/>
      <c r="S156" s="168"/>
      <c r="T156" s="128"/>
      <c r="U156" s="128"/>
      <c r="V156" s="128"/>
      <c r="W156" s="128"/>
      <c r="X156" s="128"/>
      <c r="Y156" s="128"/>
      <c r="Z156" s="128"/>
      <c r="AA156" s="128"/>
      <c r="AB156" s="128"/>
      <c r="AC156" s="128"/>
      <c r="AE156" s="128"/>
      <c r="AG156" s="177">
        <f>G156*$C$175*E156*(References!$D$61/References!$H$64)</f>
        <v>3.1672051301304772E-2</v>
      </c>
      <c r="AH156" s="213">
        <f t="shared" si="119"/>
        <v>0</v>
      </c>
    </row>
    <row r="157" spans="1:34" s="65" customFormat="1">
      <c r="A157" s="265"/>
      <c r="B157" s="49">
        <v>29</v>
      </c>
      <c r="C157" s="116" t="s">
        <v>477</v>
      </c>
      <c r="D157" s="115"/>
      <c r="E157" s="73">
        <v>1</v>
      </c>
      <c r="F157" s="72"/>
      <c r="G157" s="122">
        <f>+References!C28</f>
        <v>34</v>
      </c>
      <c r="H157" s="122">
        <f t="shared" si="128"/>
        <v>34</v>
      </c>
      <c r="I157" s="48">
        <f t="shared" si="129"/>
        <v>27.056540112437094</v>
      </c>
      <c r="J157" s="71">
        <f>(References!$D$61*I157)</f>
        <v>5.2760253219252533E-2</v>
      </c>
      <c r="K157" s="71">
        <f>J157/References!$H$64</f>
        <v>5.3842487212218119E-2</v>
      </c>
      <c r="L157" s="71">
        <f t="shared" si="130"/>
        <v>5.3842487212218119E-2</v>
      </c>
      <c r="M157" s="71" t="e">
        <f>+'Proposed Rates'!#REF!</f>
        <v>#REF!</v>
      </c>
      <c r="N157" s="71" t="e">
        <f t="shared" si="131"/>
        <v>#REF!</v>
      </c>
      <c r="O157" s="71" t="e">
        <f>+'Proposed Rates'!#REF!</f>
        <v>#REF!</v>
      </c>
      <c r="P157" s="71"/>
      <c r="Q157" s="71"/>
      <c r="R157" s="253"/>
      <c r="S157" s="168"/>
      <c r="T157" s="128"/>
      <c r="U157" s="128"/>
      <c r="V157" s="128"/>
      <c r="W157" s="128"/>
      <c r="X157" s="128"/>
      <c r="Y157" s="128"/>
      <c r="Z157" s="128"/>
      <c r="AA157" s="128"/>
      <c r="AB157" s="128"/>
      <c r="AC157" s="128"/>
      <c r="AE157" s="128"/>
      <c r="AG157" s="177">
        <f>G157*$C$175*E157*(References!$D$61/References!$H$64)</f>
        <v>5.3842487212218119E-2</v>
      </c>
      <c r="AH157" s="213">
        <f t="shared" si="119"/>
        <v>0</v>
      </c>
    </row>
    <row r="158" spans="1:34" s="65" customFormat="1">
      <c r="A158" s="265"/>
      <c r="B158" s="49">
        <v>29</v>
      </c>
      <c r="C158" s="116" t="s">
        <v>478</v>
      </c>
      <c r="D158" s="115"/>
      <c r="E158" s="73">
        <v>1</v>
      </c>
      <c r="F158" s="72"/>
      <c r="G158" s="122">
        <f>+References!C25</f>
        <v>47</v>
      </c>
      <c r="H158" s="122">
        <f t="shared" si="128"/>
        <v>47</v>
      </c>
      <c r="I158" s="48">
        <f t="shared" si="129"/>
        <v>37.40168780248657</v>
      </c>
      <c r="J158" s="71">
        <f>(References!$D$61*I158)</f>
        <v>7.293329121484908E-2</v>
      </c>
      <c r="K158" s="71">
        <f>J158/References!$H$64</f>
        <v>7.4429320558066211E-2</v>
      </c>
      <c r="L158" s="71">
        <f t="shared" si="130"/>
        <v>7.4429320558066211E-2</v>
      </c>
      <c r="M158" s="71" t="e">
        <f>+'Proposed Rates'!#REF!</f>
        <v>#REF!</v>
      </c>
      <c r="N158" s="71" t="e">
        <f t="shared" si="131"/>
        <v>#REF!</v>
      </c>
      <c r="O158" s="71" t="e">
        <f>+'Proposed Rates'!#REF!</f>
        <v>#REF!</v>
      </c>
      <c r="P158" s="71"/>
      <c r="Q158" s="71"/>
      <c r="R158" s="253"/>
      <c r="S158" s="168"/>
      <c r="T158" s="128"/>
      <c r="U158" s="128"/>
      <c r="V158" s="128"/>
      <c r="W158" s="128"/>
      <c r="X158" s="128"/>
      <c r="Y158" s="128"/>
      <c r="Z158" s="128"/>
      <c r="AA158" s="128"/>
      <c r="AB158" s="128"/>
      <c r="AC158" s="128"/>
      <c r="AE158" s="128"/>
      <c r="AG158" s="177">
        <f>G158*$C$175*E158*(References!$D$61/References!$H$64)</f>
        <v>7.4429320558066211E-2</v>
      </c>
      <c r="AH158" s="213">
        <f t="shared" si="119"/>
        <v>0</v>
      </c>
    </row>
    <row r="159" spans="1:34" s="65" customFormat="1">
      <c r="A159" s="266"/>
      <c r="B159" s="49">
        <v>29</v>
      </c>
      <c r="C159" s="116" t="s">
        <v>479</v>
      </c>
      <c r="D159" s="115"/>
      <c r="E159" s="73">
        <v>1</v>
      </c>
      <c r="F159" s="72"/>
      <c r="G159" s="122">
        <f>+References!C26</f>
        <v>68</v>
      </c>
      <c r="H159" s="122">
        <f t="shared" si="128"/>
        <v>68</v>
      </c>
      <c r="I159" s="48">
        <f t="shared" si="129"/>
        <v>54.113080224874189</v>
      </c>
      <c r="J159" s="71">
        <f>(References!$D$61*I159)</f>
        <v>0.10552050643850507</v>
      </c>
      <c r="K159" s="71">
        <f>J159/References!$H$64</f>
        <v>0.10768497442443624</v>
      </c>
      <c r="L159" s="71">
        <f t="shared" si="130"/>
        <v>0.10768497442443624</v>
      </c>
      <c r="M159" s="71" t="e">
        <f>+'Proposed Rates'!#REF!</f>
        <v>#REF!</v>
      </c>
      <c r="N159" s="71" t="e">
        <f t="shared" si="131"/>
        <v>#REF!</v>
      </c>
      <c r="O159" s="71" t="e">
        <f>+'Proposed Rates'!#REF!</f>
        <v>#REF!</v>
      </c>
      <c r="P159" s="71"/>
      <c r="Q159" s="71"/>
      <c r="R159" s="253"/>
      <c r="S159" s="168"/>
      <c r="T159" s="128"/>
      <c r="U159" s="128"/>
      <c r="V159" s="128"/>
      <c r="W159" s="128"/>
      <c r="X159" s="128"/>
      <c r="Y159" s="128"/>
      <c r="Z159" s="128"/>
      <c r="AA159" s="128"/>
      <c r="AB159" s="128"/>
      <c r="AC159" s="128"/>
      <c r="AE159" s="128"/>
      <c r="AG159" s="177">
        <f>G159*$C$175*E159*(References!$D$61/References!$H$64)</f>
        <v>0.10768497442443624</v>
      </c>
      <c r="AH159" s="213">
        <f t="shared" si="119"/>
        <v>0</v>
      </c>
    </row>
    <row r="160" spans="1:34" s="65" customFormat="1">
      <c r="A160" s="267" t="s">
        <v>14</v>
      </c>
      <c r="B160" s="49">
        <v>42</v>
      </c>
      <c r="C160" s="116" t="s">
        <v>476</v>
      </c>
      <c r="D160" s="115"/>
      <c r="E160" s="73">
        <v>1</v>
      </c>
      <c r="F160" s="72"/>
      <c r="G160" s="122">
        <f>+References!C17</f>
        <v>20</v>
      </c>
      <c r="H160" s="122">
        <f t="shared" ref="H160:H163" si="132">G160*E160</f>
        <v>20</v>
      </c>
      <c r="I160" s="48">
        <f t="shared" ref="I160:I163" si="133">H160*$C$175</f>
        <v>15.915611830845348</v>
      </c>
      <c r="J160" s="71">
        <f>(References!$D$61*I160)</f>
        <v>3.1035443070148546E-2</v>
      </c>
      <c r="K160" s="71">
        <f>J160/References!$H$64</f>
        <v>3.1672051301304772E-2</v>
      </c>
      <c r="L160" s="71">
        <f t="shared" ref="L160:L163" si="134">K160</f>
        <v>3.1672051301304772E-2</v>
      </c>
      <c r="M160" s="71">
        <f>+'Proposed Rates'!C161</f>
        <v>3.53</v>
      </c>
      <c r="N160" s="71">
        <f t="shared" ref="N160:N163" si="135">L160+M160</f>
        <v>3.5616720513013047</v>
      </c>
      <c r="O160" s="71">
        <f>+'Proposed Rates'!E161</f>
        <v>3.5616720513013047</v>
      </c>
      <c r="P160" s="71"/>
      <c r="Q160" s="71"/>
      <c r="R160" s="253"/>
      <c r="S160" s="16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E160" s="128"/>
      <c r="AG160" s="177">
        <f>G160*$C$175*E160*(References!$D$61/References!$H$64)</f>
        <v>3.1672051301304772E-2</v>
      </c>
      <c r="AH160" s="213">
        <f t="shared" si="119"/>
        <v>0</v>
      </c>
    </row>
    <row r="161" spans="1:34" s="65" customFormat="1">
      <c r="A161" s="265"/>
      <c r="B161" s="49">
        <v>42</v>
      </c>
      <c r="C161" s="116" t="s">
        <v>477</v>
      </c>
      <c r="D161" s="115"/>
      <c r="E161" s="73">
        <v>1</v>
      </c>
      <c r="F161" s="72"/>
      <c r="G161" s="122">
        <f>+References!C18</f>
        <v>34</v>
      </c>
      <c r="H161" s="122">
        <f t="shared" si="132"/>
        <v>34</v>
      </c>
      <c r="I161" s="48">
        <f t="shared" si="133"/>
        <v>27.056540112437094</v>
      </c>
      <c r="J161" s="71">
        <f>(References!$D$61*I161)</f>
        <v>5.2760253219252533E-2</v>
      </c>
      <c r="K161" s="71">
        <f>J161/References!$H$64</f>
        <v>5.3842487212218119E-2</v>
      </c>
      <c r="L161" s="71">
        <f t="shared" si="134"/>
        <v>5.3842487212218119E-2</v>
      </c>
      <c r="M161" s="71">
        <f>+'Proposed Rates'!C163</f>
        <v>4.3899999999999997</v>
      </c>
      <c r="N161" s="71">
        <f t="shared" si="135"/>
        <v>4.4438424872122182</v>
      </c>
      <c r="O161" s="71">
        <f>+'Proposed Rates'!E163</f>
        <v>4.4438424872122182</v>
      </c>
      <c r="P161" s="71"/>
      <c r="Q161" s="71"/>
      <c r="R161" s="253"/>
      <c r="S161" s="168"/>
      <c r="T161" s="128"/>
      <c r="U161" s="128"/>
      <c r="V161" s="128"/>
      <c r="W161" s="128"/>
      <c r="X161" s="128"/>
      <c r="Y161" s="128"/>
      <c r="Z161" s="128"/>
      <c r="AA161" s="128"/>
      <c r="AB161" s="128"/>
      <c r="AC161" s="128"/>
      <c r="AE161" s="128"/>
      <c r="AG161" s="177">
        <f>G161*$C$175*E161*(References!$D$61/References!$H$64)</f>
        <v>5.3842487212218119E-2</v>
      </c>
      <c r="AH161" s="213">
        <f t="shared" si="119"/>
        <v>0</v>
      </c>
    </row>
    <row r="162" spans="1:34" s="65" customFormat="1">
      <c r="A162" s="265"/>
      <c r="B162" s="49">
        <v>42</v>
      </c>
      <c r="C162" s="116" t="s">
        <v>478</v>
      </c>
      <c r="D162" s="115"/>
      <c r="E162" s="73">
        <v>1</v>
      </c>
      <c r="F162" s="72"/>
      <c r="G162" s="122">
        <f>+References!C25</f>
        <v>47</v>
      </c>
      <c r="H162" s="122">
        <f t="shared" si="132"/>
        <v>47</v>
      </c>
      <c r="I162" s="48">
        <f t="shared" si="133"/>
        <v>37.40168780248657</v>
      </c>
      <c r="J162" s="71">
        <f>(References!$D$61*I162)</f>
        <v>7.293329121484908E-2</v>
      </c>
      <c r="K162" s="71">
        <f>J162/References!$H$64</f>
        <v>7.4429320558066211E-2</v>
      </c>
      <c r="L162" s="71">
        <f t="shared" si="134"/>
        <v>7.4429320558066211E-2</v>
      </c>
      <c r="M162" s="71">
        <f>+'Proposed Rates'!C165</f>
        <v>6.58</v>
      </c>
      <c r="N162" s="71">
        <f t="shared" si="135"/>
        <v>6.6544293205580667</v>
      </c>
      <c r="O162" s="71">
        <f>+'Proposed Rates'!E165</f>
        <v>6.6544293205580667</v>
      </c>
      <c r="P162" s="71"/>
      <c r="Q162" s="71"/>
      <c r="R162" s="253"/>
      <c r="S162" s="168"/>
      <c r="T162" s="128"/>
      <c r="U162" s="128"/>
      <c r="V162" s="128"/>
      <c r="W162" s="128"/>
      <c r="X162" s="128"/>
      <c r="Y162" s="128"/>
      <c r="Z162" s="128"/>
      <c r="AA162" s="128"/>
      <c r="AB162" s="128"/>
      <c r="AC162" s="128"/>
      <c r="AE162" s="128"/>
      <c r="AG162" s="177">
        <f>G162*$C$175*E162*(References!$D$61/References!$H$64)</f>
        <v>7.4429320558066211E-2</v>
      </c>
      <c r="AH162" s="213">
        <f t="shared" si="119"/>
        <v>0</v>
      </c>
    </row>
    <row r="163" spans="1:34" s="65" customFormat="1">
      <c r="A163" s="265"/>
      <c r="B163" s="49">
        <v>42</v>
      </c>
      <c r="C163" s="116" t="s">
        <v>479</v>
      </c>
      <c r="D163" s="115"/>
      <c r="E163" s="73">
        <v>1</v>
      </c>
      <c r="F163" s="72"/>
      <c r="G163" s="122">
        <f>+References!C26</f>
        <v>68</v>
      </c>
      <c r="H163" s="122">
        <f t="shared" si="132"/>
        <v>68</v>
      </c>
      <c r="I163" s="48">
        <f t="shared" si="133"/>
        <v>54.113080224874189</v>
      </c>
      <c r="J163" s="71">
        <f>(References!$D$61*I163)</f>
        <v>0.10552050643850507</v>
      </c>
      <c r="K163" s="71">
        <f>J163/References!$H$64</f>
        <v>0.10768497442443624</v>
      </c>
      <c r="L163" s="71">
        <f t="shared" si="134"/>
        <v>0.10768497442443624</v>
      </c>
      <c r="M163" s="71">
        <f>+'Proposed Rates'!C167</f>
        <v>9.1999999999999993</v>
      </c>
      <c r="N163" s="71">
        <f t="shared" si="135"/>
        <v>9.3076849744244363</v>
      </c>
      <c r="O163" s="71">
        <f>+'Proposed Rates'!E167</f>
        <v>9.3076849744244363</v>
      </c>
      <c r="P163" s="71"/>
      <c r="Q163" s="71"/>
      <c r="R163" s="253"/>
      <c r="S163" s="168"/>
      <c r="T163" s="128"/>
      <c r="U163" s="128"/>
      <c r="V163" s="128"/>
      <c r="W163" s="128"/>
      <c r="X163" s="128"/>
      <c r="Y163" s="128"/>
      <c r="Z163" s="128"/>
      <c r="AA163" s="128"/>
      <c r="AB163" s="128"/>
      <c r="AC163" s="128"/>
      <c r="AE163" s="128"/>
      <c r="AG163" s="177">
        <f>G163*$C$175*E163*(References!$D$61/References!$H$64)</f>
        <v>0.10768497442443624</v>
      </c>
      <c r="AH163" s="213">
        <f t="shared" si="119"/>
        <v>0</v>
      </c>
    </row>
    <row r="164" spans="1:34" s="65" customFormat="1">
      <c r="A164" s="265"/>
      <c r="B164" s="49">
        <v>42</v>
      </c>
      <c r="C164" s="116" t="s">
        <v>480</v>
      </c>
      <c r="D164" s="115"/>
      <c r="E164" s="73">
        <v>4.33</v>
      </c>
      <c r="F164" s="72"/>
      <c r="G164" s="122">
        <f>+G160</f>
        <v>20</v>
      </c>
      <c r="H164" s="122">
        <f t="shared" ref="H164:H167" si="136">G164*E164</f>
        <v>86.6</v>
      </c>
      <c r="I164" s="48">
        <f t="shared" ref="I164:I167" si="137">H164*$C$175</f>
        <v>68.914599227560359</v>
      </c>
      <c r="J164" s="71">
        <f>(References!$D$61*I164)</f>
        <v>0.13438346849374319</v>
      </c>
      <c r="K164" s="71">
        <f>J164/References!$H$64</f>
        <v>0.13713998213464965</v>
      </c>
      <c r="L164" s="71">
        <f t="shared" ref="L164:L167" si="138">K164</f>
        <v>0.13713998213464965</v>
      </c>
      <c r="M164" s="71">
        <f>+'Proposed Rates'!C162</f>
        <v>15.31</v>
      </c>
      <c r="N164" s="71">
        <f t="shared" ref="N164:N167" si="139">L164+M164</f>
        <v>15.447139982134651</v>
      </c>
      <c r="O164" s="71">
        <f>+'Proposed Rates'!E162</f>
        <v>15.447139982134651</v>
      </c>
      <c r="P164" s="71"/>
      <c r="Q164" s="71"/>
      <c r="R164" s="253"/>
      <c r="S164" s="168"/>
      <c r="T164" s="128"/>
      <c r="U164" s="128"/>
      <c r="V164" s="128"/>
      <c r="W164" s="128"/>
      <c r="X164" s="128"/>
      <c r="Y164" s="128"/>
      <c r="Z164" s="128"/>
      <c r="AA164" s="128"/>
      <c r="AB164" s="128"/>
      <c r="AC164" s="128"/>
      <c r="AE164" s="128"/>
      <c r="AG164" s="177">
        <f>G164*$C$175*E164*(References!$D$61/References!$H$64)</f>
        <v>0.13713998213464967</v>
      </c>
      <c r="AH164" s="213">
        <f t="shared" si="119"/>
        <v>0</v>
      </c>
    </row>
    <row r="165" spans="1:34" s="65" customFormat="1">
      <c r="A165" s="265"/>
      <c r="B165" s="49">
        <v>42</v>
      </c>
      <c r="C165" s="116" t="s">
        <v>481</v>
      </c>
      <c r="D165" s="115"/>
      <c r="E165" s="73">
        <v>4.33</v>
      </c>
      <c r="F165" s="72"/>
      <c r="G165" s="122">
        <f t="shared" ref="G165:G167" si="140">+G161</f>
        <v>34</v>
      </c>
      <c r="H165" s="122">
        <f t="shared" si="136"/>
        <v>147.22</v>
      </c>
      <c r="I165" s="48">
        <f t="shared" si="137"/>
        <v>117.15481868685261</v>
      </c>
      <c r="J165" s="71">
        <f>(References!$D$61*I165)</f>
        <v>0.22845189643936345</v>
      </c>
      <c r="K165" s="71">
        <f>J165/References!$H$64</f>
        <v>0.23313796962890443</v>
      </c>
      <c r="L165" s="71">
        <f t="shared" si="138"/>
        <v>0.23313796962890443</v>
      </c>
      <c r="M165" s="71">
        <f>+'Proposed Rates'!C164</f>
        <v>19.03</v>
      </c>
      <c r="N165" s="71">
        <f t="shared" si="139"/>
        <v>19.263137969628907</v>
      </c>
      <c r="O165" s="71">
        <f>+'Proposed Rates'!E164</f>
        <v>19.263137969628907</v>
      </c>
      <c r="P165" s="71"/>
      <c r="Q165" s="71"/>
      <c r="R165" s="253"/>
      <c r="S165" s="168"/>
      <c r="T165" s="128"/>
      <c r="U165" s="128"/>
      <c r="V165" s="128"/>
      <c r="W165" s="128"/>
      <c r="X165" s="128"/>
      <c r="Y165" s="128"/>
      <c r="Z165" s="128"/>
      <c r="AA165" s="128"/>
      <c r="AB165" s="128"/>
      <c r="AC165" s="128"/>
      <c r="AE165" s="128"/>
      <c r="AG165" s="177">
        <f>G165*$C$175*E165*(References!$D$61/References!$H$64)</f>
        <v>0.23313796962890446</v>
      </c>
      <c r="AH165" s="213">
        <f t="shared" si="119"/>
        <v>0</v>
      </c>
    </row>
    <row r="166" spans="1:34" s="65" customFormat="1">
      <c r="A166" s="265"/>
      <c r="B166" s="49">
        <v>42</v>
      </c>
      <c r="C166" s="116" t="s">
        <v>482</v>
      </c>
      <c r="D166" s="115"/>
      <c r="E166" s="73">
        <v>4.33</v>
      </c>
      <c r="F166" s="72"/>
      <c r="G166" s="122">
        <f t="shared" si="140"/>
        <v>47</v>
      </c>
      <c r="H166" s="122">
        <f t="shared" si="136"/>
        <v>203.51</v>
      </c>
      <c r="I166" s="48">
        <f t="shared" si="137"/>
        <v>161.94930818476683</v>
      </c>
      <c r="J166" s="71">
        <f>(References!$D$61*I166)</f>
        <v>0.31580115096029648</v>
      </c>
      <c r="K166" s="71">
        <f>J166/References!$H$64</f>
        <v>0.32227895801642664</v>
      </c>
      <c r="L166" s="71">
        <f t="shared" si="138"/>
        <v>0.32227895801642664</v>
      </c>
      <c r="M166" s="71">
        <f>+'Proposed Rates'!C166</f>
        <v>28.51</v>
      </c>
      <c r="N166" s="71">
        <f t="shared" si="139"/>
        <v>28.832278958016428</v>
      </c>
      <c r="O166" s="71">
        <f>+'Proposed Rates'!E166</f>
        <v>28.832278958016428</v>
      </c>
      <c r="P166" s="71"/>
      <c r="Q166" s="71"/>
      <c r="R166" s="253"/>
      <c r="S166" s="168"/>
      <c r="T166" s="128"/>
      <c r="U166" s="128"/>
      <c r="V166" s="128"/>
      <c r="W166" s="128"/>
      <c r="X166" s="128"/>
      <c r="Y166" s="128"/>
      <c r="Z166" s="128"/>
      <c r="AA166" s="128"/>
      <c r="AB166" s="128"/>
      <c r="AC166" s="128"/>
      <c r="AE166" s="128"/>
      <c r="AG166" s="177">
        <f>G166*$C$175*E166*(References!$D$61/References!$H$64)</f>
        <v>0.32227895801642675</v>
      </c>
      <c r="AH166" s="213">
        <f t="shared" si="119"/>
        <v>0</v>
      </c>
    </row>
    <row r="167" spans="1:34" s="65" customFormat="1">
      <c r="A167" s="266"/>
      <c r="B167" s="49">
        <v>42</v>
      </c>
      <c r="C167" s="116" t="s">
        <v>483</v>
      </c>
      <c r="D167" s="115"/>
      <c r="E167" s="73">
        <v>4.33</v>
      </c>
      <c r="F167" s="72"/>
      <c r="G167" s="122">
        <f t="shared" si="140"/>
        <v>68</v>
      </c>
      <c r="H167" s="122">
        <f t="shared" si="136"/>
        <v>294.44</v>
      </c>
      <c r="I167" s="48">
        <f t="shared" si="137"/>
        <v>234.30963737370521</v>
      </c>
      <c r="J167" s="71">
        <f>(References!$D$61*I167)</f>
        <v>0.4569037928787269</v>
      </c>
      <c r="K167" s="71">
        <f>J167/References!$H$64</f>
        <v>0.46627593925780886</v>
      </c>
      <c r="L167" s="71">
        <f t="shared" si="138"/>
        <v>0.46627593925780886</v>
      </c>
      <c r="M167" s="71">
        <f>+'Proposed Rates'!C168</f>
        <v>39.880000000000003</v>
      </c>
      <c r="N167" s="71">
        <f t="shared" si="139"/>
        <v>40.346275939257808</v>
      </c>
      <c r="O167" s="71">
        <f>+'Proposed Rates'!E168</f>
        <v>40.346275939257808</v>
      </c>
      <c r="P167" s="71"/>
      <c r="Q167" s="71"/>
      <c r="R167" s="253"/>
      <c r="S167" s="16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E167" s="128"/>
      <c r="AG167" s="177">
        <f>G167*$C$175*E167*(References!$D$61/References!$H$64)</f>
        <v>0.46627593925780891</v>
      </c>
      <c r="AH167" s="213">
        <f t="shared" si="119"/>
        <v>0</v>
      </c>
    </row>
    <row r="168" spans="1:34" s="65" customFormat="1">
      <c r="A168" s="254"/>
      <c r="B168" s="49"/>
      <c r="C168" s="116"/>
      <c r="D168" s="115"/>
      <c r="E168" s="73"/>
      <c r="F168" s="72"/>
      <c r="G168" s="122"/>
      <c r="H168" s="122"/>
      <c r="I168" s="48"/>
      <c r="J168" s="71"/>
      <c r="K168" s="71"/>
      <c r="L168" s="71"/>
      <c r="M168" s="71"/>
      <c r="N168" s="71"/>
      <c r="O168" s="71"/>
      <c r="P168" s="71"/>
      <c r="Q168" s="71"/>
      <c r="R168" s="253"/>
      <c r="S168" s="168"/>
      <c r="T168" s="128"/>
      <c r="U168" s="128"/>
      <c r="V168" s="128"/>
      <c r="W168" s="128"/>
      <c r="X168" s="128"/>
      <c r="Y168" s="128"/>
      <c r="Z168" s="128"/>
      <c r="AA168" s="128"/>
      <c r="AB168" s="128"/>
      <c r="AC168" s="128"/>
      <c r="AE168" s="128"/>
    </row>
    <row r="169" spans="1:34" s="65" customFormat="1">
      <c r="A169" s="243"/>
      <c r="B169" s="49"/>
      <c r="C169" s="116"/>
      <c r="D169" s="115"/>
      <c r="E169" s="73"/>
      <c r="F169" s="72"/>
      <c r="G169" s="122"/>
      <c r="H169" s="122"/>
      <c r="I169" s="48"/>
      <c r="J169" s="71"/>
      <c r="K169" s="71"/>
      <c r="L169" s="71"/>
      <c r="M169" s="71"/>
      <c r="N169" s="71"/>
      <c r="O169" s="71"/>
      <c r="P169" s="71"/>
      <c r="Q169" s="71"/>
      <c r="R169" s="253"/>
      <c r="S169" s="168"/>
      <c r="T169" s="128"/>
      <c r="U169" s="128"/>
      <c r="V169" s="128"/>
      <c r="W169" s="128"/>
      <c r="X169" s="128"/>
      <c r="Y169" s="128"/>
      <c r="Z169" s="128"/>
      <c r="AA169" s="128"/>
      <c r="AB169" s="128"/>
      <c r="AC169" s="128"/>
      <c r="AE169" s="128"/>
    </row>
    <row r="170" spans="1:34">
      <c r="B170" s="264" t="s">
        <v>86</v>
      </c>
      <c r="C170" s="264"/>
      <c r="D170" s="91"/>
      <c r="F170" s="91"/>
      <c r="H170" s="176"/>
      <c r="I170" s="72"/>
      <c r="J170" s="65"/>
      <c r="T170" s="129"/>
      <c r="U170" s="129"/>
      <c r="V170" s="129"/>
      <c r="W170" s="129"/>
      <c r="X170" s="129"/>
      <c r="Y170" s="129"/>
      <c r="AC170" s="186"/>
    </row>
    <row r="171" spans="1:34">
      <c r="B171" s="63"/>
      <c r="C171" s="60" t="s">
        <v>16</v>
      </c>
      <c r="D171" s="38"/>
      <c r="F171" s="38"/>
      <c r="H171" s="176"/>
      <c r="I171" s="72"/>
      <c r="J171" s="177"/>
      <c r="P171" s="64"/>
      <c r="T171" s="129"/>
      <c r="U171" s="129"/>
      <c r="V171" s="129"/>
      <c r="W171" s="129"/>
      <c r="X171" s="129"/>
      <c r="Y171" s="129"/>
      <c r="AC171" s="186"/>
    </row>
    <row r="172" spans="1:34">
      <c r="B172" s="63" t="s">
        <v>32</v>
      </c>
      <c r="C172" s="210">
        <v>65230.76112481716</v>
      </c>
      <c r="D172" s="62" t="s">
        <v>433</v>
      </c>
      <c r="F172" s="62"/>
      <c r="G172" s="45"/>
      <c r="H172" s="93"/>
      <c r="I172" s="72"/>
      <c r="J172" s="177"/>
      <c r="P172" s="64"/>
      <c r="T172" s="129"/>
      <c r="U172" s="129"/>
      <c r="V172" s="129"/>
      <c r="W172" s="129"/>
      <c r="X172" s="129"/>
      <c r="Y172" s="129"/>
      <c r="AC172" s="186"/>
    </row>
    <row r="173" spans="1:34">
      <c r="B173" s="63" t="s">
        <v>33</v>
      </c>
      <c r="C173" s="36">
        <f>C172*References!$H$20</f>
        <v>130461522.24963433</v>
      </c>
      <c r="D173" s="36"/>
      <c r="F173" s="36"/>
      <c r="G173" s="36"/>
      <c r="H173" s="178"/>
      <c r="I173" s="72"/>
      <c r="J173" s="177"/>
      <c r="T173" s="129"/>
      <c r="U173" s="129"/>
      <c r="V173" s="129"/>
      <c r="W173" s="129"/>
      <c r="X173" s="129"/>
      <c r="Y173" s="129"/>
      <c r="AC173" s="186"/>
    </row>
    <row r="174" spans="1:34">
      <c r="B174" s="63" t="s">
        <v>5</v>
      </c>
      <c r="C174" s="36">
        <f>F23+F57+F108</f>
        <v>3024776.4161472102</v>
      </c>
      <c r="D174" s="62"/>
      <c r="F174" s="62"/>
      <c r="G174" s="62"/>
      <c r="H174" s="179"/>
      <c r="I174" s="72"/>
      <c r="J174" s="177"/>
      <c r="P174" s="64"/>
      <c r="T174" s="129"/>
      <c r="U174" s="129"/>
      <c r="V174" s="129"/>
      <c r="W174" s="129"/>
      <c r="X174" s="129"/>
      <c r="Y174" s="129"/>
      <c r="AC174" s="186"/>
    </row>
    <row r="175" spans="1:34">
      <c r="B175" s="42" t="s">
        <v>12</v>
      </c>
      <c r="C175" s="35">
        <f>C173/$H$109</f>
        <v>0.79578059154226743</v>
      </c>
      <c r="D175" s="35"/>
      <c r="F175" s="35"/>
      <c r="G175" s="35"/>
      <c r="H175" s="180"/>
      <c r="I175" s="72"/>
      <c r="J175" s="177"/>
      <c r="M175" s="40"/>
      <c r="N175" s="40"/>
      <c r="O175" s="40"/>
      <c r="P175" s="39"/>
      <c r="T175" s="129"/>
      <c r="U175" s="129"/>
      <c r="V175" s="129"/>
      <c r="W175" s="129"/>
      <c r="X175" s="129"/>
      <c r="Y175" s="129"/>
      <c r="AC175" s="186"/>
    </row>
    <row r="176" spans="1:34">
      <c r="G176" s="44"/>
      <c r="H176" s="31"/>
      <c r="I176" s="72"/>
      <c r="J176" s="177"/>
      <c r="M176" s="43"/>
      <c r="N176" s="30"/>
      <c r="O176" s="30"/>
      <c r="P176" s="66"/>
      <c r="T176" s="129"/>
      <c r="U176" s="129"/>
      <c r="V176" s="129"/>
      <c r="W176" s="129"/>
      <c r="X176" s="129"/>
      <c r="Y176" s="129"/>
      <c r="AC176" s="186"/>
    </row>
    <row r="177" spans="4:29">
      <c r="D177" s="34"/>
      <c r="E177" s="33"/>
      <c r="G177" s="44"/>
      <c r="H177" s="31"/>
      <c r="I177" s="72"/>
      <c r="J177" s="177"/>
      <c r="M177" s="43"/>
      <c r="N177" s="30"/>
      <c r="O177" s="30"/>
      <c r="P177" s="66"/>
      <c r="T177" s="129"/>
      <c r="U177" s="129"/>
      <c r="V177" s="129"/>
      <c r="W177" s="129"/>
      <c r="X177" s="129"/>
      <c r="Y177" s="129"/>
      <c r="AC177" s="186"/>
    </row>
    <row r="178" spans="4:29">
      <c r="D178" s="34"/>
      <c r="E178" s="33"/>
      <c r="G178" s="44"/>
      <c r="H178" s="32"/>
      <c r="J178" s="41"/>
      <c r="M178" s="43"/>
      <c r="N178" s="30"/>
      <c r="O178" s="30"/>
      <c r="P178" s="66"/>
      <c r="T178" s="129"/>
      <c r="U178" s="129"/>
      <c r="V178" s="129"/>
      <c r="W178" s="129"/>
      <c r="X178" s="129"/>
      <c r="Y178" s="129"/>
    </row>
    <row r="179" spans="4:29">
      <c r="D179" s="63"/>
      <c r="I179" s="63"/>
      <c r="T179" s="129"/>
      <c r="U179" s="129"/>
      <c r="V179" s="129"/>
      <c r="W179" s="129"/>
      <c r="X179" s="129"/>
      <c r="Y179" s="129"/>
    </row>
    <row r="180" spans="4:29">
      <c r="D180" s="63"/>
      <c r="E180" s="41"/>
      <c r="I180" s="63"/>
      <c r="T180" s="129"/>
      <c r="U180" s="129"/>
      <c r="V180" s="129"/>
      <c r="W180" s="129"/>
      <c r="X180" s="129"/>
      <c r="Y180" s="129"/>
    </row>
    <row r="181" spans="4:29">
      <c r="D181" s="63"/>
      <c r="I181" s="63"/>
      <c r="T181" s="129"/>
      <c r="U181" s="129"/>
      <c r="V181" s="129"/>
      <c r="W181" s="129"/>
      <c r="X181" s="129"/>
      <c r="Y181" s="129"/>
    </row>
    <row r="182" spans="4:29">
      <c r="D182" s="63"/>
      <c r="I182" s="63"/>
      <c r="T182" s="129"/>
      <c r="U182" s="129"/>
      <c r="V182" s="129"/>
      <c r="W182" s="129"/>
      <c r="X182" s="129"/>
      <c r="Y182" s="129"/>
    </row>
    <row r="183" spans="4:29">
      <c r="D183" s="63"/>
    </row>
  </sheetData>
  <mergeCells count="11">
    <mergeCell ref="AG6:AH6"/>
    <mergeCell ref="B170:C170"/>
    <mergeCell ref="A7:A22"/>
    <mergeCell ref="A24:A56"/>
    <mergeCell ref="A58:A107"/>
    <mergeCell ref="A119:A123"/>
    <mergeCell ref="A113:A114"/>
    <mergeCell ref="A124:A133"/>
    <mergeCell ref="A136:A147"/>
    <mergeCell ref="A160:A167"/>
    <mergeCell ref="A148:A159"/>
  </mergeCells>
  <pageMargins left="0.7" right="0.7" top="0.75" bottom="0.75" header="0.3" footer="0.3"/>
  <pageSetup scale="41" fitToWidth="2" fitToHeight="2" pageOrder="overThenDown" orientation="landscape" r:id="rId1"/>
  <headerFooter>
    <oddFooter>&amp;L&amp;F - &amp;A&amp;R&amp;P of &amp;N</oddFooter>
  </headerFooter>
  <colBreaks count="1" manualBreakCount="1">
    <brk id="15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8"/>
  <sheetViews>
    <sheetView topLeftCell="A79" zoomScale="85" zoomScaleNormal="85" zoomScalePageLayoutView="85" workbookViewId="0">
      <selection activeCell="D236" sqref="D236"/>
    </sheetView>
  </sheetViews>
  <sheetFormatPr defaultRowHeight="15"/>
  <cols>
    <col min="1" max="1" width="28.28515625" customWidth="1"/>
    <col min="2" max="2" width="8.140625" bestFit="1" customWidth="1"/>
    <col min="3" max="3" width="10.140625" style="140" customWidth="1"/>
    <col min="4" max="4" width="12" customWidth="1"/>
    <col min="5" max="5" width="8.7109375" bestFit="1" customWidth="1"/>
    <col min="7" max="7" width="20.5703125" bestFit="1" customWidth="1"/>
  </cols>
  <sheetData>
    <row r="1" spans="1:11">
      <c r="A1" s="110" t="s">
        <v>95</v>
      </c>
      <c r="B1" s="101"/>
      <c r="C1" s="138"/>
      <c r="D1" s="102"/>
      <c r="E1" s="102"/>
      <c r="F1" s="102"/>
      <c r="G1" s="102"/>
      <c r="H1" s="102"/>
      <c r="I1" s="102"/>
      <c r="J1" s="102"/>
      <c r="K1" s="102"/>
    </row>
    <row r="2" spans="1:11">
      <c r="A2" s="110" t="s">
        <v>96</v>
      </c>
      <c r="B2" s="101"/>
      <c r="C2" s="138"/>
      <c r="D2" s="102"/>
      <c r="E2" s="102"/>
      <c r="F2" s="102"/>
      <c r="G2" s="102"/>
      <c r="H2" s="102"/>
      <c r="I2" s="102"/>
      <c r="J2" s="102"/>
      <c r="K2" s="102"/>
    </row>
    <row r="3" spans="1:11">
      <c r="A3" s="106" t="s">
        <v>495</v>
      </c>
      <c r="B3" s="102"/>
      <c r="C3" s="126"/>
      <c r="D3" s="102"/>
      <c r="E3" s="102"/>
      <c r="F3" s="102"/>
      <c r="G3" s="102"/>
      <c r="H3" s="102"/>
      <c r="I3" s="104"/>
      <c r="J3" s="102"/>
      <c r="K3" s="102"/>
    </row>
    <row r="4" spans="1:11">
      <c r="A4" s="102"/>
      <c r="B4" s="102"/>
      <c r="C4" s="255" t="s">
        <v>97</v>
      </c>
      <c r="D4" s="219"/>
      <c r="E4" s="220" t="s">
        <v>98</v>
      </c>
      <c r="F4" s="102"/>
      <c r="G4" s="111"/>
      <c r="H4" s="104"/>
      <c r="I4" s="105"/>
      <c r="J4" s="102"/>
      <c r="K4" s="102"/>
    </row>
    <row r="5" spans="1:11">
      <c r="A5" s="102"/>
      <c r="B5" s="102"/>
      <c r="C5" s="255" t="s">
        <v>99</v>
      </c>
      <c r="D5" s="220" t="s">
        <v>100</v>
      </c>
      <c r="E5" s="221">
        <v>42795</v>
      </c>
      <c r="F5" s="102"/>
      <c r="G5" s="112"/>
      <c r="H5" s="104"/>
      <c r="I5" s="104"/>
      <c r="J5" s="102"/>
      <c r="K5" s="102"/>
    </row>
    <row r="6" spans="1:11">
      <c r="A6" s="102"/>
      <c r="B6" s="102"/>
      <c r="C6" s="255" t="s">
        <v>101</v>
      </c>
      <c r="D6" s="220" t="s">
        <v>10</v>
      </c>
      <c r="E6" s="220" t="s">
        <v>101</v>
      </c>
      <c r="F6" s="104"/>
      <c r="G6" s="111"/>
      <c r="H6" s="104"/>
      <c r="I6" s="104"/>
      <c r="J6" s="102"/>
      <c r="K6" s="102"/>
    </row>
    <row r="7" spans="1:11">
      <c r="A7" s="106" t="s">
        <v>441</v>
      </c>
      <c r="B7" s="106"/>
      <c r="C7" s="126"/>
      <c r="D7" s="102"/>
      <c r="E7" s="102"/>
      <c r="F7" s="102"/>
      <c r="G7" s="102"/>
      <c r="H7" s="104"/>
      <c r="I7" s="102"/>
      <c r="J7" s="102"/>
      <c r="K7" s="102"/>
    </row>
    <row r="8" spans="1:11">
      <c r="A8" s="102" t="s">
        <v>102</v>
      </c>
      <c r="B8" s="102" t="s">
        <v>103</v>
      </c>
      <c r="C8" s="126">
        <v>7.75</v>
      </c>
      <c r="D8" s="107">
        <f>'DF Calculation'!L115</f>
        <v>5.3842487212218106E-2</v>
      </c>
      <c r="E8" s="108">
        <f>SUM(C8:D8)</f>
        <v>7.8038424872122185</v>
      </c>
      <c r="F8" s="108"/>
      <c r="G8" s="108"/>
      <c r="H8" s="108"/>
      <c r="I8" s="108"/>
      <c r="J8" s="102"/>
      <c r="K8" s="102"/>
    </row>
    <row r="9" spans="1:11">
      <c r="A9" s="102"/>
      <c r="B9" s="102"/>
      <c r="C9" s="139"/>
      <c r="D9" s="102"/>
      <c r="E9" s="102"/>
      <c r="F9" s="102"/>
      <c r="G9" s="102"/>
      <c r="H9" s="108"/>
      <c r="I9" s="102"/>
      <c r="J9" s="102"/>
      <c r="K9" s="102"/>
    </row>
    <row r="10" spans="1:11">
      <c r="A10" s="106" t="s">
        <v>442</v>
      </c>
      <c r="B10" s="106"/>
      <c r="C10" s="126"/>
      <c r="D10" s="102"/>
      <c r="E10" s="102"/>
      <c r="F10" s="102"/>
      <c r="G10" s="102"/>
      <c r="H10" s="108"/>
      <c r="I10" s="102"/>
      <c r="J10" s="102"/>
      <c r="K10" s="102"/>
    </row>
    <row r="11" spans="1:11">
      <c r="A11" s="102" t="s">
        <v>104</v>
      </c>
      <c r="B11" s="102" t="s">
        <v>103</v>
      </c>
      <c r="C11" s="139">
        <v>13.71</v>
      </c>
      <c r="D11" s="108">
        <f>ROUND('DF Calculation'!L8,2)</f>
        <v>0.14000000000000001</v>
      </c>
      <c r="E11" s="108">
        <f t="shared" ref="E11:E42" si="0">SUM(C11:D11)</f>
        <v>13.850000000000001</v>
      </c>
      <c r="F11" s="102"/>
      <c r="G11" s="108"/>
      <c r="H11" s="108"/>
      <c r="I11" s="108"/>
      <c r="J11" s="102"/>
      <c r="K11" s="102"/>
    </row>
    <row r="12" spans="1:11">
      <c r="A12" s="102" t="s">
        <v>105</v>
      </c>
      <c r="B12" s="102" t="s">
        <v>106</v>
      </c>
      <c r="C12" s="139">
        <v>14.71</v>
      </c>
      <c r="D12" s="108">
        <f>ROUND('DF Calculation'!L9,2)</f>
        <v>0.14000000000000001</v>
      </c>
      <c r="E12" s="108">
        <f t="shared" si="0"/>
        <v>14.850000000000001</v>
      </c>
      <c r="F12" s="102"/>
      <c r="G12" s="108"/>
      <c r="H12" s="108"/>
      <c r="I12" s="108"/>
      <c r="J12" s="102"/>
      <c r="K12" s="102"/>
    </row>
    <row r="13" spans="1:11">
      <c r="A13" s="102" t="s">
        <v>107</v>
      </c>
      <c r="B13" s="102" t="s">
        <v>103</v>
      </c>
      <c r="C13" s="139">
        <v>17.27</v>
      </c>
      <c r="D13" s="108">
        <f>ROUND('DF Calculation'!L11,2)</f>
        <v>0.23</v>
      </c>
      <c r="E13" s="108">
        <f t="shared" si="0"/>
        <v>17.5</v>
      </c>
      <c r="F13" s="102"/>
      <c r="G13" s="108"/>
      <c r="H13" s="108"/>
      <c r="I13" s="108"/>
      <c r="J13" s="102"/>
      <c r="K13" s="102"/>
    </row>
    <row r="14" spans="1:11">
      <c r="A14" s="102" t="s">
        <v>107</v>
      </c>
      <c r="B14" s="102" t="s">
        <v>106</v>
      </c>
      <c r="C14" s="139">
        <v>18.27</v>
      </c>
      <c r="D14" s="108">
        <f>ROUND('DF Calculation'!L12,2)</f>
        <v>0.23</v>
      </c>
      <c r="E14" s="108">
        <f t="shared" si="0"/>
        <v>18.5</v>
      </c>
      <c r="F14" s="102"/>
      <c r="G14" s="108"/>
      <c r="H14" s="108"/>
      <c r="I14" s="108"/>
      <c r="J14" s="102"/>
      <c r="K14" s="102"/>
    </row>
    <row r="15" spans="1:11">
      <c r="A15" s="102" t="s">
        <v>108</v>
      </c>
      <c r="B15" s="102" t="s">
        <v>103</v>
      </c>
      <c r="C15" s="139">
        <v>25.4</v>
      </c>
      <c r="D15" s="108">
        <f>ROUND('DF Calculation'!L13,2)</f>
        <v>0.35</v>
      </c>
      <c r="E15" s="108">
        <f t="shared" si="0"/>
        <v>25.75</v>
      </c>
      <c r="F15" s="102"/>
      <c r="G15" s="108"/>
      <c r="H15" s="108"/>
      <c r="I15" s="108"/>
      <c r="J15" s="102"/>
      <c r="K15" s="102"/>
    </row>
    <row r="16" spans="1:11">
      <c r="A16" s="102" t="s">
        <v>108</v>
      </c>
      <c r="B16" s="102" t="s">
        <v>106</v>
      </c>
      <c r="C16" s="139">
        <v>27.4</v>
      </c>
      <c r="D16" s="108">
        <f>ROUND('DF Calculation'!L14,2)</f>
        <v>0.35</v>
      </c>
      <c r="E16" s="108">
        <f t="shared" si="0"/>
        <v>27.75</v>
      </c>
      <c r="F16" s="102"/>
      <c r="G16" s="108"/>
      <c r="H16" s="108"/>
      <c r="I16" s="108"/>
      <c r="J16" s="102"/>
      <c r="K16" s="102"/>
    </row>
    <row r="17" spans="1:11">
      <c r="A17" s="102" t="s">
        <v>109</v>
      </c>
      <c r="B17" s="102" t="s">
        <v>103</v>
      </c>
      <c r="C17" s="139">
        <v>35.33</v>
      </c>
      <c r="D17" s="108">
        <f>ROUND('DF Calculation'!L15,2)</f>
        <v>0.53</v>
      </c>
      <c r="E17" s="108">
        <f t="shared" si="0"/>
        <v>35.86</v>
      </c>
      <c r="F17" s="102"/>
      <c r="G17" s="108"/>
      <c r="H17" s="108"/>
      <c r="I17" s="108"/>
      <c r="J17" s="102"/>
      <c r="K17" s="102"/>
    </row>
    <row r="18" spans="1:11">
      <c r="A18" s="102" t="s">
        <v>109</v>
      </c>
      <c r="B18" s="102" t="s">
        <v>106</v>
      </c>
      <c r="C18" s="139">
        <v>38.33</v>
      </c>
      <c r="D18" s="108">
        <f>ROUND('DF Calculation'!L16,2)</f>
        <v>0.53</v>
      </c>
      <c r="E18" s="108">
        <f t="shared" si="0"/>
        <v>38.86</v>
      </c>
      <c r="F18" s="102"/>
      <c r="G18" s="108"/>
      <c r="H18" s="108"/>
      <c r="I18" s="108"/>
      <c r="J18" s="102"/>
      <c r="K18" s="102"/>
    </row>
    <row r="19" spans="1:11">
      <c r="A19" s="102" t="s">
        <v>110</v>
      </c>
      <c r="B19" s="102" t="s">
        <v>103</v>
      </c>
      <c r="C19" s="139">
        <v>46.39</v>
      </c>
      <c r="D19" s="108">
        <f>ROUND('DF Calculation'!L17,2)</f>
        <v>0.67</v>
      </c>
      <c r="E19" s="108">
        <f t="shared" si="0"/>
        <v>47.06</v>
      </c>
      <c r="F19" s="102"/>
      <c r="G19" s="108"/>
      <c r="H19" s="108"/>
      <c r="I19" s="108"/>
      <c r="J19" s="102"/>
      <c r="K19" s="102"/>
    </row>
    <row r="20" spans="1:11">
      <c r="A20" s="102" t="s">
        <v>110</v>
      </c>
      <c r="B20" s="102" t="s">
        <v>106</v>
      </c>
      <c r="C20" s="139">
        <v>50.39</v>
      </c>
      <c r="D20" s="108">
        <f>ROUND('DF Calculation'!L18,2)</f>
        <v>0.67</v>
      </c>
      <c r="E20" s="108">
        <f t="shared" si="0"/>
        <v>51.06</v>
      </c>
      <c r="F20" s="102"/>
      <c r="G20" s="108"/>
      <c r="H20" s="108"/>
      <c r="I20" s="108"/>
      <c r="J20" s="102"/>
      <c r="K20" s="102"/>
    </row>
    <row r="21" spans="1:11">
      <c r="A21" s="102" t="s">
        <v>111</v>
      </c>
      <c r="B21" s="102" t="s">
        <v>103</v>
      </c>
      <c r="C21" s="139">
        <v>56.32</v>
      </c>
      <c r="D21" s="108">
        <f>ROUND('DF Calculation'!L19,2)</f>
        <v>0.8</v>
      </c>
      <c r="E21" s="108">
        <f t="shared" si="0"/>
        <v>57.12</v>
      </c>
      <c r="F21" s="102"/>
      <c r="G21" s="108"/>
      <c r="H21" s="108"/>
      <c r="I21" s="108"/>
      <c r="J21" s="102"/>
      <c r="K21" s="102"/>
    </row>
    <row r="22" spans="1:11">
      <c r="A22" s="102" t="s">
        <v>111</v>
      </c>
      <c r="B22" s="102" t="s">
        <v>106</v>
      </c>
      <c r="C22" s="139">
        <v>61.32</v>
      </c>
      <c r="D22" s="108">
        <f>D21</f>
        <v>0.8</v>
      </c>
      <c r="E22" s="108">
        <f t="shared" si="0"/>
        <v>62.12</v>
      </c>
      <c r="F22" s="102"/>
      <c r="G22" s="108"/>
      <c r="H22" s="108"/>
      <c r="I22" s="108"/>
      <c r="J22" s="102"/>
      <c r="K22" s="102"/>
    </row>
    <row r="23" spans="1:11">
      <c r="A23" s="102" t="s">
        <v>112</v>
      </c>
      <c r="B23" s="102" t="s">
        <v>103</v>
      </c>
      <c r="C23" s="139">
        <v>62.47</v>
      </c>
      <c r="D23" s="108">
        <f>ROUND('DF Calculation'!L20,2)</f>
        <v>0.94</v>
      </c>
      <c r="E23" s="108">
        <f t="shared" si="0"/>
        <v>63.41</v>
      </c>
      <c r="F23" s="102"/>
      <c r="G23" s="108"/>
      <c r="H23" s="108"/>
      <c r="I23" s="108"/>
      <c r="J23" s="102"/>
      <c r="K23" s="102"/>
    </row>
    <row r="24" spans="1:11">
      <c r="A24" s="102" t="s">
        <v>112</v>
      </c>
      <c r="B24" s="102" t="s">
        <v>106</v>
      </c>
      <c r="C24" s="139">
        <v>68.47</v>
      </c>
      <c r="D24" s="108">
        <f>D23</f>
        <v>0.94</v>
      </c>
      <c r="E24" s="108">
        <f t="shared" si="0"/>
        <v>69.41</v>
      </c>
      <c r="F24" s="102"/>
      <c r="G24" s="108"/>
      <c r="H24" s="108"/>
      <c r="I24" s="108"/>
      <c r="J24" s="102"/>
      <c r="K24" s="102"/>
    </row>
    <row r="25" spans="1:11">
      <c r="A25" s="102" t="s">
        <v>107</v>
      </c>
      <c r="B25" s="102" t="s">
        <v>113</v>
      </c>
      <c r="C25" s="139">
        <v>10.5</v>
      </c>
      <c r="D25" s="108">
        <f>ROUND('DF Calculation'!L10,2)</f>
        <v>0.05</v>
      </c>
      <c r="E25" s="108">
        <f t="shared" si="0"/>
        <v>10.55</v>
      </c>
      <c r="F25" s="102"/>
      <c r="G25" s="108"/>
      <c r="H25" s="108"/>
      <c r="I25" s="108"/>
      <c r="J25" s="102"/>
      <c r="K25" s="102"/>
    </row>
    <row r="26" spans="1:11">
      <c r="A26" s="102" t="s">
        <v>497</v>
      </c>
      <c r="B26" s="102" t="s">
        <v>103</v>
      </c>
      <c r="C26" s="139">
        <v>33.590000000000003</v>
      </c>
      <c r="D26" s="108">
        <f>ROUND('DF Calculation'!L21,2)</f>
        <v>0.27</v>
      </c>
      <c r="E26" s="108">
        <f t="shared" si="0"/>
        <v>33.860000000000007</v>
      </c>
      <c r="F26" s="102"/>
      <c r="G26" s="108"/>
      <c r="H26" s="108"/>
      <c r="I26" s="108"/>
      <c r="J26" s="102"/>
      <c r="K26" s="102"/>
    </row>
    <row r="27" spans="1:11">
      <c r="A27" s="102" t="s">
        <v>497</v>
      </c>
      <c r="B27" s="102" t="s">
        <v>106</v>
      </c>
      <c r="C27" s="139">
        <v>34.590000000000003</v>
      </c>
      <c r="D27" s="108">
        <f>D26</f>
        <v>0.27</v>
      </c>
      <c r="E27" s="108">
        <f t="shared" si="0"/>
        <v>34.860000000000007</v>
      </c>
      <c r="F27" s="102"/>
      <c r="G27" s="108"/>
      <c r="H27" s="108"/>
      <c r="I27" s="108"/>
      <c r="J27" s="102"/>
      <c r="K27" s="102"/>
    </row>
    <row r="28" spans="1:11">
      <c r="A28" s="102" t="s">
        <v>498</v>
      </c>
      <c r="B28" s="102" t="s">
        <v>103</v>
      </c>
      <c r="C28" s="139">
        <v>67.17</v>
      </c>
      <c r="D28" s="108">
        <f>ROUND('DF Calculation'!L22,2)</f>
        <v>0.55000000000000004</v>
      </c>
      <c r="E28" s="108">
        <f t="shared" si="0"/>
        <v>67.72</v>
      </c>
      <c r="F28" s="102"/>
      <c r="G28" s="108"/>
      <c r="H28" s="108"/>
      <c r="I28" s="108"/>
      <c r="J28" s="102"/>
      <c r="K28" s="102"/>
    </row>
    <row r="29" spans="1:11">
      <c r="A29" s="102" t="s">
        <v>498</v>
      </c>
      <c r="B29" s="102" t="s">
        <v>106</v>
      </c>
      <c r="C29" s="139">
        <v>69.17</v>
      </c>
      <c r="D29" s="108">
        <f>D28</f>
        <v>0.55000000000000004</v>
      </c>
      <c r="E29" s="108">
        <f t="shared" si="0"/>
        <v>69.72</v>
      </c>
      <c r="F29" s="102"/>
      <c r="G29" s="108"/>
      <c r="H29" s="108"/>
      <c r="I29" s="108"/>
      <c r="J29" s="102"/>
      <c r="K29" s="102"/>
    </row>
    <row r="30" spans="1:11">
      <c r="A30" s="102"/>
      <c r="B30" s="102"/>
      <c r="C30" s="139"/>
      <c r="D30" s="108"/>
      <c r="E30" s="108"/>
      <c r="F30" s="102"/>
      <c r="G30" s="108"/>
      <c r="H30" s="108"/>
      <c r="I30" s="108"/>
      <c r="J30" s="102"/>
      <c r="K30" s="102"/>
    </row>
    <row r="31" spans="1:11">
      <c r="A31" s="102" t="s">
        <v>485</v>
      </c>
      <c r="B31" s="102" t="s">
        <v>103</v>
      </c>
      <c r="C31" s="139">
        <v>14.9</v>
      </c>
      <c r="D31" s="108">
        <f>+'DF Calculation'!L136</f>
        <v>0.13724555563898733</v>
      </c>
      <c r="E31" s="108">
        <f t="shared" si="0"/>
        <v>15.037245555638988</v>
      </c>
      <c r="F31" s="102"/>
      <c r="G31" s="108"/>
      <c r="H31" s="108"/>
      <c r="I31" s="108"/>
      <c r="J31" s="102"/>
      <c r="K31" s="102"/>
    </row>
    <row r="32" spans="1:11">
      <c r="A32" s="102" t="s">
        <v>485</v>
      </c>
      <c r="B32" s="102" t="s">
        <v>106</v>
      </c>
      <c r="C32" s="139">
        <v>15.9</v>
      </c>
      <c r="D32" s="108">
        <f>+D31</f>
        <v>0.13724555563898733</v>
      </c>
      <c r="E32" s="108">
        <f t="shared" si="0"/>
        <v>16.037245555638989</v>
      </c>
      <c r="F32" s="102"/>
      <c r="G32" s="108"/>
      <c r="H32" s="108"/>
      <c r="I32" s="108"/>
      <c r="J32" s="102"/>
      <c r="K32" s="102"/>
    </row>
    <row r="33" spans="1:11">
      <c r="A33" s="102" t="s">
        <v>486</v>
      </c>
      <c r="B33" s="102" t="s">
        <v>103</v>
      </c>
      <c r="C33" s="139">
        <v>18.77</v>
      </c>
      <c r="D33" s="108">
        <f>+'DF Calculation'!L137</f>
        <v>0.23331744458627846</v>
      </c>
      <c r="E33" s="108">
        <f t="shared" si="0"/>
        <v>19.00331744458628</v>
      </c>
      <c r="F33" s="102"/>
      <c r="G33" s="108"/>
      <c r="H33" s="108"/>
      <c r="I33" s="108"/>
      <c r="J33" s="102"/>
      <c r="K33" s="102"/>
    </row>
    <row r="34" spans="1:11">
      <c r="A34" s="102" t="s">
        <v>486</v>
      </c>
      <c r="B34" s="102" t="s">
        <v>106</v>
      </c>
      <c r="C34" s="139">
        <v>19.77</v>
      </c>
      <c r="D34" s="108">
        <f>+D33</f>
        <v>0.23331744458627846</v>
      </c>
      <c r="E34" s="108">
        <f t="shared" si="0"/>
        <v>20.00331744458628</v>
      </c>
      <c r="F34" s="102"/>
      <c r="G34" s="108"/>
      <c r="H34" s="108"/>
      <c r="I34" s="108"/>
      <c r="J34" s="102"/>
      <c r="K34" s="102"/>
    </row>
    <row r="35" spans="1:11">
      <c r="A35" s="102" t="s">
        <v>487</v>
      </c>
      <c r="B35" s="102" t="s">
        <v>103</v>
      </c>
      <c r="C35" s="139">
        <v>27.61</v>
      </c>
      <c r="D35" s="108">
        <f>+'DF Calculation'!L138</f>
        <v>0.32227895801642664</v>
      </c>
      <c r="E35" s="108">
        <f t="shared" si="0"/>
        <v>27.932278958016425</v>
      </c>
      <c r="F35" s="102"/>
      <c r="G35" s="108"/>
      <c r="H35" s="108"/>
      <c r="I35" s="108"/>
      <c r="J35" s="102"/>
      <c r="K35" s="102"/>
    </row>
    <row r="36" spans="1:11">
      <c r="A36" s="102" t="s">
        <v>487</v>
      </c>
      <c r="B36" s="102" t="s">
        <v>106</v>
      </c>
      <c r="C36" s="139">
        <v>29.61</v>
      </c>
      <c r="D36" s="108">
        <f>+D35</f>
        <v>0.32227895801642664</v>
      </c>
      <c r="E36" s="108">
        <f t="shared" si="0"/>
        <v>29.932278958016425</v>
      </c>
      <c r="F36" s="102"/>
      <c r="G36" s="108"/>
      <c r="H36" s="108"/>
      <c r="I36" s="108"/>
      <c r="J36" s="102"/>
      <c r="K36" s="102"/>
    </row>
    <row r="37" spans="1:11">
      <c r="A37" s="102" t="s">
        <v>488</v>
      </c>
      <c r="B37" s="102" t="s">
        <v>103</v>
      </c>
      <c r="C37" s="139">
        <v>38.42</v>
      </c>
      <c r="D37" s="108">
        <f>+'DF Calculation'!L139</f>
        <v>0.46627593925780886</v>
      </c>
      <c r="E37" s="108">
        <f t="shared" si="0"/>
        <v>38.886275939257814</v>
      </c>
      <c r="F37" s="102"/>
      <c r="G37" s="108"/>
      <c r="H37" s="108"/>
      <c r="I37" s="108"/>
      <c r="J37" s="102"/>
      <c r="K37" s="102"/>
    </row>
    <row r="38" spans="1:11">
      <c r="A38" s="102" t="s">
        <v>488</v>
      </c>
      <c r="B38" s="102" t="s">
        <v>106</v>
      </c>
      <c r="C38" s="139">
        <v>41.42</v>
      </c>
      <c r="D38" s="108">
        <f>+D37</f>
        <v>0.46627593925780886</v>
      </c>
      <c r="E38" s="108">
        <f t="shared" si="0"/>
        <v>41.886275939257814</v>
      </c>
      <c r="F38" s="102"/>
      <c r="G38" s="108"/>
      <c r="H38" s="108"/>
      <c r="I38" s="108"/>
      <c r="J38" s="102"/>
      <c r="K38" s="102"/>
    </row>
    <row r="39" spans="1:11">
      <c r="A39" s="102" t="s">
        <v>485</v>
      </c>
      <c r="B39" s="102" t="s">
        <v>113</v>
      </c>
      <c r="C39" s="139">
        <v>9.18</v>
      </c>
      <c r="D39" s="108">
        <f>+'DF Calculation'!L140</f>
        <v>3.1672051301304772E-2</v>
      </c>
      <c r="E39" s="108">
        <f t="shared" si="0"/>
        <v>9.2116720513013046</v>
      </c>
      <c r="F39" s="102"/>
      <c r="G39" s="108"/>
      <c r="H39" s="108"/>
      <c r="I39" s="108"/>
      <c r="J39" s="102"/>
      <c r="K39" s="102"/>
    </row>
    <row r="40" spans="1:11">
      <c r="A40" s="102" t="s">
        <v>486</v>
      </c>
      <c r="B40" s="102" t="s">
        <v>113</v>
      </c>
      <c r="C40" s="139">
        <v>11.41</v>
      </c>
      <c r="D40" s="108">
        <f>+'DF Calculation'!L141</f>
        <v>5.3842487212218119E-2</v>
      </c>
      <c r="E40" s="108">
        <f t="shared" si="0"/>
        <v>11.463842487212219</v>
      </c>
      <c r="F40" s="102"/>
      <c r="G40" s="108"/>
      <c r="H40" s="108"/>
      <c r="I40" s="108"/>
      <c r="J40" s="102"/>
      <c r="K40" s="102"/>
    </row>
    <row r="41" spans="1:11">
      <c r="A41" s="102" t="s">
        <v>489</v>
      </c>
      <c r="B41" s="102" t="s">
        <v>113</v>
      </c>
      <c r="C41" s="139">
        <v>17.079999999999998</v>
      </c>
      <c r="D41" s="108">
        <f>+'DF Calculation'!L142</f>
        <v>7.4429320558066211E-2</v>
      </c>
      <c r="E41" s="108">
        <f t="shared" si="0"/>
        <v>17.154429320558066</v>
      </c>
      <c r="F41" s="102"/>
      <c r="G41" s="108"/>
      <c r="H41" s="108"/>
      <c r="I41" s="108"/>
      <c r="J41" s="102"/>
      <c r="K41" s="102"/>
    </row>
    <row r="42" spans="1:11">
      <c r="A42" s="102" t="s">
        <v>488</v>
      </c>
      <c r="B42" s="102" t="s">
        <v>113</v>
      </c>
      <c r="C42" s="139">
        <v>23.9</v>
      </c>
      <c r="D42" s="108">
        <f>+'DF Calculation'!L143</f>
        <v>0.10768497442443624</v>
      </c>
      <c r="E42" s="108">
        <f t="shared" si="0"/>
        <v>24.007684974424436</v>
      </c>
      <c r="F42" s="102"/>
      <c r="G42" s="108"/>
      <c r="H42" s="108"/>
      <c r="I42" s="108"/>
      <c r="J42" s="102"/>
      <c r="K42" s="102"/>
    </row>
    <row r="43" spans="1:11">
      <c r="A43" s="102"/>
      <c r="B43" s="102"/>
      <c r="C43" s="126"/>
      <c r="D43" s="102"/>
      <c r="E43" s="102"/>
      <c r="F43" s="102"/>
      <c r="G43" s="102"/>
      <c r="H43" s="108"/>
      <c r="I43" s="108"/>
      <c r="J43" s="102"/>
      <c r="K43" s="102"/>
    </row>
    <row r="44" spans="1:11">
      <c r="A44" s="106" t="s">
        <v>443</v>
      </c>
      <c r="B44" s="102"/>
      <c r="C44" s="126"/>
      <c r="D44" s="102"/>
      <c r="E44" s="102"/>
      <c r="F44" s="102"/>
      <c r="G44" s="102"/>
      <c r="H44" s="108"/>
      <c r="I44" s="108"/>
      <c r="J44" s="102"/>
      <c r="K44" s="102"/>
    </row>
    <row r="45" spans="1:11">
      <c r="A45" s="102" t="s">
        <v>114</v>
      </c>
      <c r="B45" s="102" t="s">
        <v>115</v>
      </c>
      <c r="C45" s="126">
        <v>4.29</v>
      </c>
      <c r="D45" s="108">
        <f>ROUND('DF Calculation'!L7,2)</f>
        <v>0.05</v>
      </c>
      <c r="E45" s="108">
        <f t="shared" ref="E45:E46" si="1">SUM(C45:D45)</f>
        <v>4.34</v>
      </c>
      <c r="F45" s="102"/>
      <c r="G45" s="108"/>
      <c r="H45" s="108"/>
      <c r="I45" s="108"/>
      <c r="J45" s="102"/>
      <c r="K45" s="102"/>
    </row>
    <row r="46" spans="1:11">
      <c r="A46" s="102" t="s">
        <v>116</v>
      </c>
      <c r="B46" s="102" t="s">
        <v>115</v>
      </c>
      <c r="C46" s="126">
        <v>12.81</v>
      </c>
      <c r="D46" s="108">
        <f>'DF Calculation'!L7</f>
        <v>5.3842487212218106E-2</v>
      </c>
      <c r="E46" s="108">
        <f t="shared" si="1"/>
        <v>12.863842487212219</v>
      </c>
      <c r="F46" s="102"/>
      <c r="G46" s="108"/>
      <c r="H46" s="108"/>
      <c r="I46" s="108"/>
      <c r="J46" s="102"/>
      <c r="K46" s="102"/>
    </row>
    <row r="47" spans="1:11">
      <c r="A47" s="102"/>
      <c r="B47" s="102"/>
      <c r="C47" s="126"/>
      <c r="D47" s="108"/>
      <c r="E47" s="108"/>
      <c r="F47" s="102"/>
      <c r="G47" s="108"/>
      <c r="H47" s="108"/>
      <c r="I47" s="108"/>
      <c r="J47" s="102"/>
      <c r="K47" s="102"/>
    </row>
    <row r="48" spans="1:11">
      <c r="A48" s="102" t="s">
        <v>490</v>
      </c>
      <c r="B48" s="102" t="s">
        <v>115</v>
      </c>
      <c r="C48" s="126">
        <v>10.3</v>
      </c>
      <c r="D48" s="108">
        <f>+'DF Calculation'!L144</f>
        <v>3.1672051301304772E-2</v>
      </c>
      <c r="E48" s="108">
        <f t="shared" ref="E48:E51" si="2">SUM(C48:D48)</f>
        <v>10.331672051301306</v>
      </c>
      <c r="F48" s="102"/>
      <c r="G48" s="108"/>
      <c r="H48" s="108"/>
      <c r="I48" s="108"/>
      <c r="J48" s="102"/>
      <c r="K48" s="102"/>
    </row>
    <row r="49" spans="1:11">
      <c r="A49" s="102" t="s">
        <v>492</v>
      </c>
      <c r="B49" s="102" t="s">
        <v>115</v>
      </c>
      <c r="C49" s="126">
        <v>12.81</v>
      </c>
      <c r="D49" s="108">
        <f>+'DF Calculation'!L145</f>
        <v>5.3842487212218119E-2</v>
      </c>
      <c r="E49" s="108">
        <f t="shared" si="2"/>
        <v>12.863842487212219</v>
      </c>
      <c r="F49" s="102"/>
      <c r="G49" s="108"/>
      <c r="H49" s="108"/>
      <c r="I49" s="108"/>
      <c r="J49" s="102"/>
      <c r="K49" s="102"/>
    </row>
    <row r="50" spans="1:11">
      <c r="A50" s="102" t="s">
        <v>491</v>
      </c>
      <c r="B50" s="102" t="s">
        <v>115</v>
      </c>
      <c r="C50" s="126">
        <v>19.18</v>
      </c>
      <c r="D50" s="108">
        <f>+'DF Calculation'!L146</f>
        <v>7.4429320558066211E-2</v>
      </c>
      <c r="E50" s="108">
        <f t="shared" si="2"/>
        <v>19.254429320558067</v>
      </c>
      <c r="F50" s="102"/>
      <c r="G50" s="108"/>
      <c r="H50" s="108"/>
      <c r="I50" s="108"/>
      <c r="J50" s="102"/>
      <c r="K50" s="102"/>
    </row>
    <row r="51" spans="1:11">
      <c r="A51" s="102" t="s">
        <v>493</v>
      </c>
      <c r="B51" s="102" t="s">
        <v>115</v>
      </c>
      <c r="C51" s="126">
        <v>26.85</v>
      </c>
      <c r="D51" s="108">
        <f>+'DF Calculation'!L147</f>
        <v>0.10768497442443624</v>
      </c>
      <c r="E51" s="108">
        <f t="shared" si="2"/>
        <v>26.957684974424438</v>
      </c>
      <c r="F51" s="102"/>
      <c r="G51" s="108"/>
      <c r="H51" s="108"/>
      <c r="I51" s="108"/>
      <c r="J51" s="102"/>
      <c r="K51" s="102"/>
    </row>
    <row r="52" spans="1:11">
      <c r="A52" s="102"/>
      <c r="B52" s="102"/>
      <c r="C52" s="126"/>
      <c r="D52" s="102"/>
      <c r="E52" s="102"/>
      <c r="F52" s="102"/>
      <c r="G52" s="102"/>
      <c r="H52" s="108"/>
      <c r="I52" s="108"/>
      <c r="J52" s="102"/>
      <c r="K52" s="102"/>
    </row>
    <row r="53" spans="1:11">
      <c r="A53" s="106" t="s">
        <v>117</v>
      </c>
      <c r="B53" s="102"/>
      <c r="C53" s="126"/>
      <c r="D53" s="102"/>
      <c r="E53" s="102"/>
      <c r="F53" s="102"/>
      <c r="G53" s="102"/>
      <c r="H53" s="108"/>
      <c r="I53" s="108"/>
      <c r="J53" s="102"/>
      <c r="K53" s="102"/>
    </row>
    <row r="54" spans="1:11">
      <c r="A54" s="102" t="s">
        <v>107</v>
      </c>
      <c r="B54" s="102" t="s">
        <v>103</v>
      </c>
      <c r="C54" s="126">
        <v>18.77</v>
      </c>
      <c r="D54" s="108">
        <f>ROUND('DF Calculation'!L26,2)</f>
        <v>0.23</v>
      </c>
      <c r="E54" s="108">
        <f t="shared" ref="E54:E66" si="3">SUM(C54:D54)</f>
        <v>19</v>
      </c>
      <c r="F54" s="102"/>
      <c r="G54" s="108"/>
      <c r="H54" s="108"/>
      <c r="I54" s="108"/>
      <c r="J54" s="102"/>
      <c r="K54" s="102"/>
    </row>
    <row r="55" spans="1:11">
      <c r="A55" s="102" t="s">
        <v>107</v>
      </c>
      <c r="B55" s="102" t="s">
        <v>106</v>
      </c>
      <c r="C55" s="126">
        <v>19.52</v>
      </c>
      <c r="D55" s="108">
        <f>ROUND('DF Calculation'!L27,2)</f>
        <v>0.23</v>
      </c>
      <c r="E55" s="108">
        <f t="shared" si="3"/>
        <v>19.75</v>
      </c>
      <c r="F55" s="102"/>
      <c r="G55" s="108"/>
      <c r="H55" s="108"/>
      <c r="I55" s="108"/>
      <c r="J55" s="102"/>
      <c r="K55" s="102"/>
    </row>
    <row r="56" spans="1:11">
      <c r="A56" s="102" t="s">
        <v>108</v>
      </c>
      <c r="B56" s="102" t="s">
        <v>103</v>
      </c>
      <c r="C56" s="126">
        <v>29.46</v>
      </c>
      <c r="D56" s="108">
        <f>ROUND('DF Calculation'!L28,2)</f>
        <v>0.35</v>
      </c>
      <c r="E56" s="108">
        <f t="shared" si="3"/>
        <v>29.810000000000002</v>
      </c>
      <c r="F56" s="102"/>
      <c r="G56" s="108"/>
      <c r="H56" s="108"/>
      <c r="I56" s="108"/>
      <c r="J56" s="102"/>
      <c r="K56" s="102"/>
    </row>
    <row r="57" spans="1:11">
      <c r="A57" s="102" t="s">
        <v>108</v>
      </c>
      <c r="B57" s="102" t="s">
        <v>106</v>
      </c>
      <c r="C57" s="126">
        <v>30.21</v>
      </c>
      <c r="D57" s="108">
        <f>ROUND('DF Calculation'!L29,2)</f>
        <v>0.35</v>
      </c>
      <c r="E57" s="108">
        <f t="shared" si="3"/>
        <v>30.560000000000002</v>
      </c>
      <c r="F57" s="102"/>
      <c r="G57" s="108"/>
      <c r="H57" s="108"/>
      <c r="I57" s="108"/>
      <c r="J57" s="102"/>
      <c r="K57" s="102"/>
    </row>
    <row r="58" spans="1:11">
      <c r="A58" s="102" t="s">
        <v>109</v>
      </c>
      <c r="B58" s="102" t="s">
        <v>103</v>
      </c>
      <c r="C58" s="126">
        <v>43.37</v>
      </c>
      <c r="D58" s="108">
        <f>ROUND('DF Calculation'!L30,2)</f>
        <v>0.53</v>
      </c>
      <c r="E58" s="108">
        <f t="shared" si="3"/>
        <v>43.9</v>
      </c>
      <c r="F58" s="102"/>
      <c r="G58" s="108"/>
      <c r="H58" s="108"/>
      <c r="I58" s="108"/>
      <c r="J58" s="102"/>
      <c r="K58" s="102"/>
    </row>
    <row r="59" spans="1:11">
      <c r="A59" s="102" t="s">
        <v>109</v>
      </c>
      <c r="B59" s="102" t="s">
        <v>106</v>
      </c>
      <c r="C59" s="126">
        <v>44.12</v>
      </c>
      <c r="D59" s="108">
        <f>ROUND('DF Calculation'!L31,2)</f>
        <v>0.53</v>
      </c>
      <c r="E59" s="108">
        <f t="shared" si="3"/>
        <v>44.65</v>
      </c>
      <c r="F59" s="102"/>
      <c r="G59" s="108"/>
      <c r="H59" s="108"/>
      <c r="I59" s="108"/>
      <c r="J59" s="102"/>
      <c r="K59" s="102"/>
    </row>
    <row r="60" spans="1:11">
      <c r="A60" s="102" t="s">
        <v>110</v>
      </c>
      <c r="B60" s="102" t="s">
        <v>103</v>
      </c>
      <c r="C60" s="126">
        <v>57.29</v>
      </c>
      <c r="D60" s="108">
        <f>ROUND('DF Calculation'!L32,2)</f>
        <v>0.67</v>
      </c>
      <c r="E60" s="108">
        <f t="shared" si="3"/>
        <v>57.96</v>
      </c>
      <c r="F60" s="102"/>
      <c r="G60" s="108"/>
      <c r="H60" s="108"/>
      <c r="I60" s="108"/>
      <c r="J60" s="102"/>
      <c r="K60" s="102"/>
    </row>
    <row r="61" spans="1:11">
      <c r="A61" s="102" t="s">
        <v>110</v>
      </c>
      <c r="B61" s="102" t="s">
        <v>106</v>
      </c>
      <c r="C61" s="126">
        <v>58.04</v>
      </c>
      <c r="D61" s="108">
        <f>ROUND('DF Calculation'!L33,2)</f>
        <v>0.67</v>
      </c>
      <c r="E61" s="108">
        <f t="shared" si="3"/>
        <v>58.71</v>
      </c>
      <c r="F61" s="102"/>
      <c r="G61" s="108"/>
      <c r="H61" s="108"/>
      <c r="I61" s="108"/>
      <c r="J61" s="102"/>
      <c r="K61" s="102"/>
    </row>
    <row r="62" spans="1:11">
      <c r="A62" s="102" t="s">
        <v>111</v>
      </c>
      <c r="B62" s="102" t="s">
        <v>103</v>
      </c>
      <c r="C62" s="126">
        <v>72.010000000000005</v>
      </c>
      <c r="D62" s="108">
        <f>ROUND('DF Calculation'!L113,2)</f>
        <v>0.8</v>
      </c>
      <c r="E62" s="108">
        <f t="shared" si="3"/>
        <v>72.81</v>
      </c>
      <c r="F62" s="102"/>
      <c r="G62" s="108"/>
      <c r="H62" s="108"/>
      <c r="I62" s="108"/>
      <c r="J62" s="102"/>
      <c r="K62" s="102"/>
    </row>
    <row r="63" spans="1:11">
      <c r="A63" s="102" t="s">
        <v>111</v>
      </c>
      <c r="B63" s="102" t="s">
        <v>106</v>
      </c>
      <c r="C63" s="126">
        <v>72.760000000000005</v>
      </c>
      <c r="D63" s="108">
        <f>D62</f>
        <v>0.8</v>
      </c>
      <c r="E63" s="108">
        <f t="shared" si="3"/>
        <v>73.56</v>
      </c>
      <c r="F63" s="102"/>
      <c r="G63" s="108"/>
      <c r="H63" s="108"/>
      <c r="I63" s="108"/>
      <c r="J63" s="102"/>
      <c r="K63" s="102"/>
    </row>
    <row r="64" spans="1:11">
      <c r="A64" s="102" t="s">
        <v>112</v>
      </c>
      <c r="B64" s="102" t="s">
        <v>103</v>
      </c>
      <c r="C64" s="126">
        <v>86.19</v>
      </c>
      <c r="D64" s="108">
        <f>ROUND('DF Calculation'!L114,2)</f>
        <v>0.94</v>
      </c>
      <c r="E64" s="108">
        <f t="shared" si="3"/>
        <v>87.13</v>
      </c>
      <c r="F64" s="102"/>
      <c r="G64" s="108"/>
      <c r="H64" s="108"/>
      <c r="I64" s="108"/>
      <c r="J64" s="102"/>
      <c r="K64" s="102"/>
    </row>
    <row r="65" spans="1:11">
      <c r="A65" s="102" t="s">
        <v>112</v>
      </c>
      <c r="B65" s="102" t="s">
        <v>106</v>
      </c>
      <c r="C65" s="126">
        <v>86.94</v>
      </c>
      <c r="D65" s="108">
        <f>D64</f>
        <v>0.94</v>
      </c>
      <c r="E65" s="108">
        <f t="shared" si="3"/>
        <v>87.88</v>
      </c>
      <c r="F65" s="102"/>
      <c r="G65" s="108"/>
      <c r="H65" s="108"/>
      <c r="I65" s="108"/>
      <c r="J65" s="102"/>
      <c r="K65" s="102"/>
    </row>
    <row r="66" spans="1:11">
      <c r="A66" s="102" t="s">
        <v>497</v>
      </c>
      <c r="B66" s="102" t="s">
        <v>103</v>
      </c>
      <c r="C66" s="139">
        <v>33.590000000000003</v>
      </c>
      <c r="D66" s="108">
        <f>D26</f>
        <v>0.27</v>
      </c>
      <c r="E66" s="108">
        <f t="shared" si="3"/>
        <v>33.860000000000007</v>
      </c>
      <c r="F66" s="102"/>
      <c r="G66" s="108"/>
      <c r="H66" s="108"/>
      <c r="I66" s="108"/>
      <c r="J66" s="102"/>
      <c r="K66" s="102"/>
    </row>
    <row r="67" spans="1:11">
      <c r="A67" s="102" t="s">
        <v>497</v>
      </c>
      <c r="B67" s="102" t="s">
        <v>106</v>
      </c>
      <c r="C67" s="139">
        <v>34.340000000000003</v>
      </c>
      <c r="D67" s="108">
        <f>D66</f>
        <v>0.27</v>
      </c>
      <c r="E67" s="108">
        <f t="shared" ref="E67:E76" si="4">SUM(C67:D67)</f>
        <v>34.610000000000007</v>
      </c>
      <c r="F67" s="102"/>
      <c r="G67" s="108"/>
      <c r="H67" s="108"/>
      <c r="I67" s="108"/>
      <c r="J67" s="102"/>
      <c r="K67" s="102"/>
    </row>
    <row r="68" spans="1:11">
      <c r="A68" s="102"/>
      <c r="B68" s="102"/>
      <c r="C68" s="139"/>
      <c r="D68" s="108"/>
      <c r="E68" s="108"/>
      <c r="F68" s="102"/>
      <c r="G68" s="108"/>
      <c r="H68" s="108"/>
      <c r="I68" s="108"/>
      <c r="J68" s="102"/>
      <c r="K68" s="102"/>
    </row>
    <row r="69" spans="1:11">
      <c r="A69" s="102" t="s">
        <v>485</v>
      </c>
      <c r="B69" s="102" t="s">
        <v>103</v>
      </c>
      <c r="C69" s="139">
        <v>16.2</v>
      </c>
      <c r="D69" s="108">
        <f>+'DF Calculation'!L148</f>
        <v>0.13713998213464965</v>
      </c>
      <c r="E69" s="108">
        <f t="shared" si="4"/>
        <v>16.337139982134648</v>
      </c>
      <c r="F69" s="102"/>
      <c r="G69" s="108"/>
      <c r="H69" s="108"/>
      <c r="I69" s="108"/>
      <c r="J69" s="102"/>
      <c r="K69" s="102"/>
    </row>
    <row r="70" spans="1:11">
      <c r="A70" s="102" t="s">
        <v>485</v>
      </c>
      <c r="B70" s="102" t="s">
        <v>106</v>
      </c>
      <c r="C70" s="139">
        <v>16.95</v>
      </c>
      <c r="D70" s="108">
        <f>+D69</f>
        <v>0.13713998213464965</v>
      </c>
      <c r="E70" s="108">
        <f t="shared" si="4"/>
        <v>17.087139982134648</v>
      </c>
      <c r="F70" s="102"/>
      <c r="G70" s="108"/>
      <c r="H70" s="108"/>
      <c r="I70" s="108"/>
      <c r="J70" s="102"/>
      <c r="K70" s="102"/>
    </row>
    <row r="71" spans="1:11">
      <c r="A71" s="102" t="s">
        <v>486</v>
      </c>
      <c r="B71" s="102" t="s">
        <v>103</v>
      </c>
      <c r="C71" s="139">
        <v>20.399999999999999</v>
      </c>
      <c r="D71" s="108">
        <f>+'DF Calculation'!L149</f>
        <v>0.23313796962890443</v>
      </c>
      <c r="E71" s="108">
        <f t="shared" si="4"/>
        <v>20.633137969628905</v>
      </c>
      <c r="F71" s="102"/>
      <c r="G71" s="108"/>
      <c r="H71" s="108"/>
      <c r="I71" s="108"/>
      <c r="J71" s="102"/>
      <c r="K71" s="102"/>
    </row>
    <row r="72" spans="1:11">
      <c r="A72" s="102" t="s">
        <v>486</v>
      </c>
      <c r="B72" s="102" t="s">
        <v>106</v>
      </c>
      <c r="C72" s="139">
        <v>21.15</v>
      </c>
      <c r="D72" s="108">
        <f>+D71</f>
        <v>0.23313796962890443</v>
      </c>
      <c r="E72" s="108">
        <f t="shared" si="4"/>
        <v>21.383137969628905</v>
      </c>
      <c r="F72" s="102"/>
      <c r="G72" s="108"/>
      <c r="H72" s="108"/>
      <c r="I72" s="108"/>
      <c r="J72" s="102"/>
      <c r="K72" s="102"/>
    </row>
    <row r="73" spans="1:11">
      <c r="A73" s="102" t="s">
        <v>487</v>
      </c>
      <c r="B73" s="102" t="s">
        <v>103</v>
      </c>
      <c r="C73" s="139">
        <v>32.020000000000003</v>
      </c>
      <c r="D73" s="108">
        <f>+'DF Calculation'!L150</f>
        <v>0.32227895801642664</v>
      </c>
      <c r="E73" s="108">
        <f t="shared" si="4"/>
        <v>32.342278958016429</v>
      </c>
      <c r="F73" s="102"/>
      <c r="G73" s="108"/>
      <c r="H73" s="108"/>
      <c r="I73" s="108"/>
      <c r="J73" s="102"/>
      <c r="K73" s="102"/>
    </row>
    <row r="74" spans="1:11">
      <c r="A74" s="102" t="s">
        <v>487</v>
      </c>
      <c r="B74" s="102" t="s">
        <v>106</v>
      </c>
      <c r="C74" s="139">
        <v>32.770000000000003</v>
      </c>
      <c r="D74" s="108">
        <f>+D73</f>
        <v>0.32227895801642664</v>
      </c>
      <c r="E74" s="108">
        <f t="shared" si="4"/>
        <v>33.092278958016429</v>
      </c>
      <c r="F74" s="102"/>
      <c r="G74" s="108"/>
      <c r="H74" s="108"/>
      <c r="I74" s="108"/>
      <c r="J74" s="102"/>
      <c r="K74" s="102"/>
    </row>
    <row r="75" spans="1:11">
      <c r="A75" s="102" t="s">
        <v>488</v>
      </c>
      <c r="B75" s="102" t="s">
        <v>103</v>
      </c>
      <c r="C75" s="139">
        <v>47.17</v>
      </c>
      <c r="D75" s="108">
        <f>+'DF Calculation'!L151</f>
        <v>0.46627593925780886</v>
      </c>
      <c r="E75" s="108">
        <f t="shared" si="4"/>
        <v>47.636275939257814</v>
      </c>
      <c r="F75" s="102"/>
      <c r="G75" s="108"/>
      <c r="H75" s="108"/>
      <c r="I75" s="108"/>
      <c r="J75" s="102"/>
      <c r="K75" s="102"/>
    </row>
    <row r="76" spans="1:11">
      <c r="A76" s="102" t="s">
        <v>488</v>
      </c>
      <c r="B76" s="102" t="s">
        <v>106</v>
      </c>
      <c r="C76" s="139">
        <v>47.92</v>
      </c>
      <c r="D76" s="108">
        <f>+D75</f>
        <v>0.46627593925780886</v>
      </c>
      <c r="E76" s="108">
        <f t="shared" si="4"/>
        <v>48.386275939257814</v>
      </c>
      <c r="F76" s="102"/>
      <c r="G76" s="108"/>
      <c r="H76" s="108"/>
      <c r="I76" s="108"/>
      <c r="J76" s="102"/>
      <c r="K76" s="102"/>
    </row>
    <row r="77" spans="1:11">
      <c r="A77" s="102"/>
      <c r="B77" s="102"/>
      <c r="C77" s="139"/>
      <c r="D77" s="102"/>
      <c r="E77" s="102"/>
      <c r="F77" s="102"/>
      <c r="G77" s="102"/>
      <c r="H77" s="108"/>
      <c r="I77" s="108"/>
      <c r="J77" s="102"/>
      <c r="K77" s="102"/>
    </row>
    <row r="78" spans="1:11">
      <c r="A78" s="106" t="s">
        <v>118</v>
      </c>
      <c r="B78" s="102"/>
      <c r="C78" s="126"/>
      <c r="D78" s="102"/>
      <c r="E78" s="102"/>
      <c r="F78" s="102"/>
      <c r="G78" s="102"/>
      <c r="H78" s="108"/>
      <c r="I78" s="108"/>
      <c r="J78" s="102"/>
      <c r="K78" s="102"/>
    </row>
    <row r="79" spans="1:11">
      <c r="A79" s="102" t="s">
        <v>114</v>
      </c>
      <c r="B79" s="102" t="s">
        <v>115</v>
      </c>
      <c r="C79" s="126">
        <v>4.29</v>
      </c>
      <c r="D79" s="108">
        <f>ROUND('DF Calculation'!L24,2)</f>
        <v>0.05</v>
      </c>
      <c r="E79" s="108">
        <f t="shared" ref="E79:E85" si="5">SUM(C79:D79)</f>
        <v>4.34</v>
      </c>
      <c r="F79" s="102"/>
      <c r="G79" s="108"/>
      <c r="H79" s="108"/>
      <c r="I79" s="108"/>
      <c r="J79" s="102"/>
      <c r="K79" s="102"/>
    </row>
    <row r="80" spans="1:11">
      <c r="A80" s="102" t="s">
        <v>116</v>
      </c>
      <c r="B80" s="102" t="s">
        <v>115</v>
      </c>
      <c r="C80" s="126">
        <v>18.059999999999999</v>
      </c>
      <c r="D80" s="108">
        <f>D79</f>
        <v>0.05</v>
      </c>
      <c r="E80" s="108">
        <f t="shared" si="5"/>
        <v>18.11</v>
      </c>
      <c r="F80" s="102"/>
      <c r="G80" s="108"/>
      <c r="H80" s="108"/>
      <c r="I80" s="108"/>
      <c r="J80" s="102"/>
      <c r="K80" s="102"/>
    </row>
    <row r="81" spans="1:11">
      <c r="A81" s="102"/>
      <c r="B81" s="102"/>
      <c r="C81" s="126"/>
      <c r="D81" s="108"/>
      <c r="E81" s="108"/>
      <c r="F81" s="102"/>
      <c r="G81" s="108"/>
      <c r="H81" s="108"/>
      <c r="I81" s="108"/>
      <c r="J81" s="102"/>
      <c r="K81" s="102"/>
    </row>
    <row r="82" spans="1:11">
      <c r="A82" s="102" t="s">
        <v>490</v>
      </c>
      <c r="B82" s="102" t="s">
        <v>115</v>
      </c>
      <c r="C82" s="126">
        <v>14.53</v>
      </c>
      <c r="D82" s="108">
        <f>+'DF Calculation'!L152</f>
        <v>3.1672051301304772E-2</v>
      </c>
      <c r="E82" s="108">
        <f t="shared" si="5"/>
        <v>14.561672051301304</v>
      </c>
      <c r="F82" s="102"/>
      <c r="G82" s="108"/>
      <c r="H82" s="108"/>
      <c r="I82" s="108"/>
      <c r="J82" s="102"/>
      <c r="K82" s="102"/>
    </row>
    <row r="83" spans="1:11">
      <c r="A83" s="102" t="s">
        <v>492</v>
      </c>
      <c r="B83" s="102" t="s">
        <v>115</v>
      </c>
      <c r="C83" s="126">
        <v>18.059999999999999</v>
      </c>
      <c r="D83" s="108">
        <f>+'DF Calculation'!L153</f>
        <v>5.3842487212218119E-2</v>
      </c>
      <c r="E83" s="108">
        <f t="shared" si="5"/>
        <v>18.113842487212217</v>
      </c>
      <c r="F83" s="102"/>
      <c r="G83" s="108"/>
      <c r="H83" s="108"/>
      <c r="I83" s="108"/>
      <c r="J83" s="102"/>
      <c r="K83" s="102"/>
    </row>
    <row r="84" spans="1:11">
      <c r="A84" s="102" t="s">
        <v>491</v>
      </c>
      <c r="B84" s="102" t="s">
        <v>115</v>
      </c>
      <c r="C84" s="126">
        <v>27.05</v>
      </c>
      <c r="D84" s="108">
        <f>+'DF Calculation'!L154</f>
        <v>7.4429320558066211E-2</v>
      </c>
      <c r="E84" s="108">
        <f t="shared" si="5"/>
        <v>27.124429320558068</v>
      </c>
      <c r="F84" s="102"/>
      <c r="G84" s="108"/>
      <c r="H84" s="108"/>
      <c r="I84" s="108"/>
      <c r="J84" s="102"/>
      <c r="K84" s="102"/>
    </row>
    <row r="85" spans="1:11">
      <c r="A85" s="102" t="s">
        <v>493</v>
      </c>
      <c r="B85" s="102" t="s">
        <v>115</v>
      </c>
      <c r="C85" s="126">
        <v>37.85</v>
      </c>
      <c r="D85" s="108">
        <f>+'DF Calculation'!L155</f>
        <v>0.10768497442443624</v>
      </c>
      <c r="E85" s="108">
        <f t="shared" si="5"/>
        <v>37.957684974424438</v>
      </c>
      <c r="F85" s="102"/>
      <c r="G85" s="108"/>
      <c r="H85" s="108"/>
      <c r="I85" s="108"/>
      <c r="J85" s="102"/>
      <c r="K85" s="102"/>
    </row>
    <row r="86" spans="1:11">
      <c r="A86" s="102"/>
      <c r="B86" s="102"/>
      <c r="C86" s="139"/>
      <c r="D86" s="102"/>
      <c r="E86" s="102"/>
      <c r="F86" s="102"/>
      <c r="G86" s="102"/>
      <c r="H86" s="108"/>
      <c r="I86" s="108"/>
      <c r="J86" s="102"/>
      <c r="K86" s="102"/>
    </row>
    <row r="87" spans="1:11">
      <c r="A87" s="106" t="s">
        <v>444</v>
      </c>
      <c r="B87" s="102"/>
      <c r="C87" s="126"/>
      <c r="D87" s="102"/>
      <c r="E87" s="102"/>
      <c r="F87" s="102"/>
      <c r="G87" s="102"/>
      <c r="H87" s="108"/>
      <c r="I87" s="108"/>
      <c r="J87" s="102"/>
      <c r="K87" s="102"/>
    </row>
    <row r="88" spans="1:11">
      <c r="A88" s="102" t="s">
        <v>432</v>
      </c>
      <c r="B88" s="102" t="s">
        <v>115</v>
      </c>
      <c r="C88" s="126">
        <v>3.14</v>
      </c>
      <c r="D88" s="201">
        <f>'DF Calculation'!L8/References!C11</f>
        <v>3.1672051301304772E-2</v>
      </c>
      <c r="E88" s="108">
        <f t="shared" ref="E88" si="6">SUM(C88:D88)</f>
        <v>3.171672051301305</v>
      </c>
      <c r="F88" s="102"/>
      <c r="G88" s="102"/>
      <c r="H88" s="108"/>
      <c r="I88" s="108"/>
      <c r="J88" s="102"/>
      <c r="K88" s="102"/>
    </row>
    <row r="89" spans="1:11">
      <c r="A89" s="102" t="s">
        <v>431</v>
      </c>
      <c r="B89" s="102" t="s">
        <v>115</v>
      </c>
      <c r="C89" s="126">
        <v>3.97</v>
      </c>
      <c r="D89" s="108">
        <f>ROUND('DF Calculation'!L35,2)</f>
        <v>0.05</v>
      </c>
      <c r="E89" s="108">
        <f t="shared" ref="E89:E94" si="7">SUM(C89:D89)</f>
        <v>4.0200000000000005</v>
      </c>
      <c r="F89" s="102"/>
      <c r="G89" s="108"/>
      <c r="H89" s="108"/>
      <c r="I89" s="108"/>
      <c r="J89" s="102"/>
      <c r="K89" s="102"/>
    </row>
    <row r="90" spans="1:11">
      <c r="A90" s="102"/>
      <c r="B90" s="102"/>
      <c r="C90" s="126"/>
      <c r="D90" s="108"/>
      <c r="E90" s="108"/>
      <c r="F90" s="102"/>
      <c r="G90" s="108"/>
      <c r="H90" s="108"/>
      <c r="I90" s="108"/>
      <c r="J90" s="102"/>
      <c r="K90" s="102"/>
    </row>
    <row r="91" spans="1:11">
      <c r="A91" s="102" t="s">
        <v>504</v>
      </c>
      <c r="B91" s="102" t="s">
        <v>115</v>
      </c>
      <c r="C91" s="126">
        <v>3.47</v>
      </c>
      <c r="D91" s="108">
        <f>D82</f>
        <v>3.1672051301304772E-2</v>
      </c>
      <c r="E91" s="108">
        <f t="shared" si="7"/>
        <v>3.5016720513013051</v>
      </c>
      <c r="F91" s="102"/>
      <c r="G91" s="108"/>
      <c r="H91" s="108"/>
      <c r="I91" s="108"/>
      <c r="J91" s="102"/>
      <c r="K91" s="102"/>
    </row>
    <row r="92" spans="1:11">
      <c r="A92" s="102" t="s">
        <v>505</v>
      </c>
      <c r="B92" s="102" t="s">
        <v>115</v>
      </c>
      <c r="C92" s="126">
        <v>4.29</v>
      </c>
      <c r="D92" s="108">
        <f t="shared" ref="D92:D94" si="8">D83</f>
        <v>5.3842487212218119E-2</v>
      </c>
      <c r="E92" s="108">
        <f t="shared" si="7"/>
        <v>4.3438424872122186</v>
      </c>
      <c r="F92" s="102"/>
      <c r="G92" s="108"/>
      <c r="H92" s="108"/>
      <c r="I92" s="108"/>
      <c r="J92" s="102"/>
      <c r="K92" s="102"/>
    </row>
    <row r="93" spans="1:11">
      <c r="A93" s="102" t="s">
        <v>506</v>
      </c>
      <c r="B93" s="102" t="s">
        <v>115</v>
      </c>
      <c r="C93" s="126">
        <v>6.38</v>
      </c>
      <c r="D93" s="108">
        <f t="shared" si="8"/>
        <v>7.4429320558066211E-2</v>
      </c>
      <c r="E93" s="108">
        <f t="shared" si="7"/>
        <v>6.4544293205580665</v>
      </c>
      <c r="F93" s="102"/>
      <c r="G93" s="108"/>
      <c r="H93" s="108"/>
      <c r="I93" s="108"/>
      <c r="J93" s="102"/>
      <c r="K93" s="102"/>
    </row>
    <row r="94" spans="1:11">
      <c r="A94" s="102" t="s">
        <v>507</v>
      </c>
      <c r="B94" s="102" t="s">
        <v>115</v>
      </c>
      <c r="C94" s="126">
        <v>8.89</v>
      </c>
      <c r="D94" s="108">
        <f t="shared" si="8"/>
        <v>0.10768497442443624</v>
      </c>
      <c r="E94" s="108">
        <f t="shared" si="7"/>
        <v>8.9976849744244376</v>
      </c>
      <c r="F94" s="102"/>
      <c r="G94" s="108"/>
      <c r="H94" s="108"/>
      <c r="I94" s="108"/>
      <c r="J94" s="102"/>
      <c r="K94" s="102"/>
    </row>
    <row r="95" spans="1:11">
      <c r="A95" s="102"/>
      <c r="B95" s="102"/>
      <c r="C95" s="139"/>
      <c r="D95" s="102"/>
      <c r="E95" s="102"/>
      <c r="F95" s="102"/>
      <c r="G95" s="102"/>
      <c r="H95" s="108"/>
      <c r="I95" s="108"/>
      <c r="J95" s="102"/>
      <c r="K95" s="102"/>
    </row>
    <row r="96" spans="1:11">
      <c r="A96" s="106" t="s">
        <v>445</v>
      </c>
      <c r="B96" s="102"/>
      <c r="C96" s="126"/>
      <c r="D96" s="102"/>
      <c r="E96" s="102"/>
      <c r="F96" s="102"/>
      <c r="G96" s="102"/>
      <c r="H96" s="108"/>
      <c r="I96" s="108"/>
      <c r="J96" s="102"/>
      <c r="K96" s="102"/>
    </row>
    <row r="97" spans="1:11">
      <c r="A97" s="102" t="s">
        <v>119</v>
      </c>
      <c r="B97" s="102" t="s">
        <v>115</v>
      </c>
      <c r="C97" s="126">
        <v>25.46</v>
      </c>
      <c r="D97" s="108">
        <f>ROUND('DF Calculation'!L37,2)</f>
        <v>0.28000000000000003</v>
      </c>
      <c r="E97" s="108">
        <f t="shared" ref="E97:E101" si="9">SUM(C97:D97)</f>
        <v>25.740000000000002</v>
      </c>
      <c r="F97" s="102"/>
      <c r="G97" s="108"/>
      <c r="H97" s="108"/>
      <c r="I97" s="108"/>
      <c r="J97" s="102"/>
      <c r="K97" s="109"/>
    </row>
    <row r="98" spans="1:11">
      <c r="A98" s="102" t="s">
        <v>120</v>
      </c>
      <c r="B98" s="102" t="s">
        <v>115</v>
      </c>
      <c r="C98" s="126">
        <v>35.72</v>
      </c>
      <c r="D98" s="108">
        <f>ROUND('DF Calculation'!L38,2)</f>
        <v>0.4</v>
      </c>
      <c r="E98" s="108">
        <f t="shared" si="9"/>
        <v>36.119999999999997</v>
      </c>
      <c r="F98" s="102"/>
      <c r="G98" s="108"/>
      <c r="H98" s="108"/>
      <c r="I98" s="108"/>
      <c r="J98" s="102"/>
      <c r="K98" s="102"/>
    </row>
    <row r="99" spans="1:11">
      <c r="A99" s="102" t="s">
        <v>121</v>
      </c>
      <c r="B99" s="102" t="s">
        <v>115</v>
      </c>
      <c r="C99" s="126">
        <v>45.07</v>
      </c>
      <c r="D99" s="108">
        <f>ROUND('DF Calculation'!L41,2)</f>
        <v>0.51</v>
      </c>
      <c r="E99" s="108">
        <f t="shared" si="9"/>
        <v>45.58</v>
      </c>
      <c r="F99" s="102"/>
      <c r="G99" s="108"/>
      <c r="H99" s="108"/>
      <c r="I99" s="108"/>
      <c r="J99" s="102"/>
      <c r="K99" s="102"/>
    </row>
    <row r="100" spans="1:11">
      <c r="A100" s="102" t="s">
        <v>122</v>
      </c>
      <c r="B100" s="102" t="s">
        <v>115</v>
      </c>
      <c r="C100" s="126">
        <v>85.72</v>
      </c>
      <c r="D100" s="108">
        <f>ROUND('DF Calculation'!L44,2)</f>
        <v>0.97</v>
      </c>
      <c r="E100" s="108">
        <f t="shared" si="9"/>
        <v>86.69</v>
      </c>
      <c r="F100" s="102"/>
      <c r="G100" s="108"/>
      <c r="H100" s="108"/>
      <c r="I100" s="108"/>
      <c r="J100" s="102"/>
      <c r="K100" s="102"/>
    </row>
    <row r="101" spans="1:11">
      <c r="A101" s="102" t="s">
        <v>123</v>
      </c>
      <c r="B101" s="102" t="s">
        <v>115</v>
      </c>
      <c r="C101" s="126">
        <v>120.57</v>
      </c>
      <c r="D101" s="108">
        <f>ROUND('DF Calculation'!L46,2)</f>
        <v>1.33</v>
      </c>
      <c r="E101" s="108">
        <f t="shared" si="9"/>
        <v>121.89999999999999</v>
      </c>
      <c r="F101" s="102"/>
      <c r="G101" s="108"/>
      <c r="H101" s="108"/>
      <c r="I101" s="108"/>
      <c r="J101" s="102"/>
      <c r="K101" s="102"/>
    </row>
    <row r="102" spans="1:11">
      <c r="A102" s="102"/>
      <c r="B102" s="102"/>
      <c r="C102" s="139"/>
      <c r="D102" s="102"/>
      <c r="E102" s="102"/>
      <c r="F102" s="102"/>
      <c r="G102" s="102"/>
      <c r="H102" s="108"/>
      <c r="I102" s="108"/>
      <c r="J102" s="102"/>
      <c r="K102" s="102"/>
    </row>
    <row r="103" spans="1:11">
      <c r="A103" s="102" t="s">
        <v>124</v>
      </c>
      <c r="B103" s="102"/>
      <c r="C103" s="126"/>
      <c r="D103" s="102"/>
      <c r="E103" s="102"/>
      <c r="F103" s="102"/>
      <c r="G103" s="102"/>
      <c r="H103" s="108"/>
      <c r="I103" s="108"/>
      <c r="J103" s="102"/>
      <c r="K103" s="102"/>
    </row>
    <row r="104" spans="1:11">
      <c r="A104" s="102" t="s">
        <v>119</v>
      </c>
      <c r="B104" s="102" t="s">
        <v>115</v>
      </c>
      <c r="C104" s="126">
        <v>27.47</v>
      </c>
      <c r="D104" s="108">
        <f>D97</f>
        <v>0.28000000000000003</v>
      </c>
      <c r="E104" s="107">
        <f t="shared" ref="E104:E108" si="10">SUM(C104:D104)</f>
        <v>27.75</v>
      </c>
      <c r="F104" s="102"/>
      <c r="G104" s="108"/>
      <c r="H104" s="108"/>
      <c r="I104" s="108"/>
      <c r="J104" s="102"/>
      <c r="K104" s="102"/>
    </row>
    <row r="105" spans="1:11">
      <c r="A105" s="102" t="s">
        <v>120</v>
      </c>
      <c r="B105" s="102" t="s">
        <v>115</v>
      </c>
      <c r="C105" s="126">
        <v>37.74</v>
      </c>
      <c r="D105" s="108">
        <f t="shared" ref="D105:D108" si="11">D98</f>
        <v>0.4</v>
      </c>
      <c r="E105" s="107">
        <f t="shared" si="10"/>
        <v>38.14</v>
      </c>
      <c r="F105" s="102"/>
      <c r="G105" s="108"/>
      <c r="H105" s="108"/>
      <c r="I105" s="108"/>
      <c r="J105" s="102"/>
      <c r="K105" s="102"/>
    </row>
    <row r="106" spans="1:11">
      <c r="A106" s="102" t="s">
        <v>121</v>
      </c>
      <c r="B106" s="102" t="s">
        <v>115</v>
      </c>
      <c r="C106" s="126">
        <v>47.08</v>
      </c>
      <c r="D106" s="108">
        <f t="shared" si="11"/>
        <v>0.51</v>
      </c>
      <c r="E106" s="107">
        <f t="shared" si="10"/>
        <v>47.589999999999996</v>
      </c>
      <c r="F106" s="102"/>
      <c r="G106" s="108"/>
      <c r="H106" s="108"/>
      <c r="I106" s="108"/>
      <c r="J106" s="102"/>
      <c r="K106" s="102"/>
    </row>
    <row r="107" spans="1:11">
      <c r="A107" s="102" t="s">
        <v>122</v>
      </c>
      <c r="B107" s="102" t="s">
        <v>115</v>
      </c>
      <c r="C107" s="126">
        <v>87.73</v>
      </c>
      <c r="D107" s="108">
        <f t="shared" si="11"/>
        <v>0.97</v>
      </c>
      <c r="E107" s="107">
        <f t="shared" si="10"/>
        <v>88.7</v>
      </c>
      <c r="F107" s="102"/>
      <c r="G107" s="108"/>
      <c r="H107" s="108"/>
      <c r="I107" s="108"/>
      <c r="J107" s="102"/>
      <c r="K107" s="102"/>
    </row>
    <row r="108" spans="1:11">
      <c r="A108" s="102" t="s">
        <v>123</v>
      </c>
      <c r="B108" s="102" t="s">
        <v>115</v>
      </c>
      <c r="C108" s="126">
        <v>122.59</v>
      </c>
      <c r="D108" s="108">
        <f t="shared" si="11"/>
        <v>1.33</v>
      </c>
      <c r="E108" s="107">
        <f t="shared" si="10"/>
        <v>123.92</v>
      </c>
      <c r="F108" s="102"/>
      <c r="G108" s="108"/>
      <c r="H108" s="108"/>
      <c r="I108" s="108"/>
      <c r="J108" s="102"/>
      <c r="K108" s="102"/>
    </row>
    <row r="109" spans="1:11">
      <c r="A109" s="102"/>
      <c r="B109" s="102"/>
      <c r="C109" s="139"/>
      <c r="D109" s="102"/>
      <c r="E109" s="103"/>
      <c r="F109" s="102"/>
      <c r="G109" s="102"/>
      <c r="H109" s="108"/>
      <c r="I109" s="108"/>
      <c r="J109" s="102"/>
      <c r="K109" s="102"/>
    </row>
    <row r="110" spans="1:11">
      <c r="A110" s="102" t="s">
        <v>125</v>
      </c>
      <c r="B110" s="102"/>
      <c r="C110" s="126"/>
      <c r="D110" s="102"/>
      <c r="E110" s="103"/>
      <c r="F110" s="102"/>
      <c r="G110" s="102"/>
      <c r="H110" s="108"/>
      <c r="I110" s="108"/>
      <c r="J110" s="102"/>
      <c r="K110" s="102"/>
    </row>
    <row r="111" spans="1:11">
      <c r="A111" s="102" t="s">
        <v>119</v>
      </c>
      <c r="B111" s="102" t="s">
        <v>115</v>
      </c>
      <c r="C111" s="126">
        <v>27.47</v>
      </c>
      <c r="D111" s="108">
        <f>D104</f>
        <v>0.28000000000000003</v>
      </c>
      <c r="E111" s="107">
        <f t="shared" ref="E111:E115" si="12">SUM(C111:D111)</f>
        <v>27.75</v>
      </c>
      <c r="F111" s="102"/>
      <c r="G111" s="108"/>
      <c r="H111" s="108"/>
      <c r="I111" s="108"/>
      <c r="J111" s="102"/>
      <c r="K111" s="102"/>
    </row>
    <row r="112" spans="1:11">
      <c r="A112" s="102" t="s">
        <v>120</v>
      </c>
      <c r="B112" s="102" t="s">
        <v>115</v>
      </c>
      <c r="C112" s="126">
        <v>37.74</v>
      </c>
      <c r="D112" s="108">
        <f t="shared" ref="D112:D115" si="13">D105</f>
        <v>0.4</v>
      </c>
      <c r="E112" s="107">
        <f t="shared" si="12"/>
        <v>38.14</v>
      </c>
      <c r="F112" s="102"/>
      <c r="G112" s="108"/>
      <c r="H112" s="108"/>
      <c r="I112" s="108"/>
      <c r="J112" s="102"/>
      <c r="K112" s="102"/>
    </row>
    <row r="113" spans="1:11">
      <c r="A113" s="102" t="s">
        <v>121</v>
      </c>
      <c r="B113" s="102" t="s">
        <v>115</v>
      </c>
      <c r="C113" s="126">
        <v>47.08</v>
      </c>
      <c r="D113" s="108">
        <f t="shared" si="13"/>
        <v>0.51</v>
      </c>
      <c r="E113" s="107">
        <f t="shared" si="12"/>
        <v>47.589999999999996</v>
      </c>
      <c r="F113" s="102"/>
      <c r="G113" s="108"/>
      <c r="H113" s="108"/>
      <c r="I113" s="108"/>
      <c r="J113" s="102"/>
      <c r="K113" s="102"/>
    </row>
    <row r="114" spans="1:11">
      <c r="A114" s="102" t="s">
        <v>122</v>
      </c>
      <c r="B114" s="102" t="s">
        <v>115</v>
      </c>
      <c r="C114" s="126">
        <v>87.73</v>
      </c>
      <c r="D114" s="108">
        <f t="shared" si="13"/>
        <v>0.97</v>
      </c>
      <c r="E114" s="108">
        <f t="shared" si="12"/>
        <v>88.7</v>
      </c>
      <c r="F114" s="102"/>
      <c r="G114" s="108"/>
      <c r="H114" s="108"/>
      <c r="I114" s="108"/>
      <c r="J114" s="102"/>
      <c r="K114" s="102"/>
    </row>
    <row r="115" spans="1:11">
      <c r="A115" s="102" t="s">
        <v>123</v>
      </c>
      <c r="B115" s="102" t="s">
        <v>115</v>
      </c>
      <c r="C115" s="126">
        <v>122.59</v>
      </c>
      <c r="D115" s="108">
        <f t="shared" si="13"/>
        <v>1.33</v>
      </c>
      <c r="E115" s="108">
        <f t="shared" si="12"/>
        <v>123.92</v>
      </c>
      <c r="F115" s="102"/>
      <c r="G115" s="108"/>
      <c r="H115" s="108"/>
      <c r="I115" s="108"/>
      <c r="J115" s="102"/>
      <c r="K115" s="102"/>
    </row>
    <row r="116" spans="1:11">
      <c r="A116" s="102"/>
      <c r="B116" s="102"/>
      <c r="C116" s="139"/>
      <c r="D116" s="102"/>
      <c r="E116" s="102"/>
      <c r="F116" s="102"/>
      <c r="G116" s="102"/>
      <c r="H116" s="108"/>
      <c r="I116" s="108"/>
      <c r="J116" s="102"/>
      <c r="K116" s="102"/>
    </row>
    <row r="117" spans="1:11">
      <c r="A117" s="106" t="s">
        <v>446</v>
      </c>
      <c r="B117" s="102"/>
      <c r="C117" s="126"/>
      <c r="D117" s="102"/>
      <c r="E117" s="102"/>
      <c r="F117" s="102"/>
      <c r="G117" s="102"/>
      <c r="H117" s="108"/>
      <c r="I117" s="108"/>
      <c r="J117" s="102"/>
      <c r="K117" s="102"/>
    </row>
    <row r="118" spans="1:11">
      <c r="A118" s="102" t="s">
        <v>126</v>
      </c>
      <c r="B118" s="102" t="s">
        <v>115</v>
      </c>
      <c r="C118" s="126">
        <v>23.38</v>
      </c>
      <c r="D118" s="107">
        <f>ROUND('DF Calculation'!L125,2)</f>
        <v>0.11</v>
      </c>
      <c r="E118" s="108">
        <f t="shared" ref="E118:E119" si="14">SUM(C118:D118)</f>
        <v>23.49</v>
      </c>
      <c r="F118" s="102"/>
      <c r="G118" s="108"/>
      <c r="H118" s="108"/>
      <c r="I118" s="108"/>
      <c r="J118" s="109"/>
      <c r="K118" s="102"/>
    </row>
    <row r="119" spans="1:11">
      <c r="A119" s="102" t="s">
        <v>127</v>
      </c>
      <c r="B119" s="102" t="s">
        <v>115</v>
      </c>
      <c r="C119" s="126">
        <v>28.42</v>
      </c>
      <c r="D119" s="107">
        <f>D118</f>
        <v>0.11</v>
      </c>
      <c r="E119" s="108">
        <f t="shared" si="14"/>
        <v>28.53</v>
      </c>
      <c r="F119" s="102"/>
      <c r="G119" s="108"/>
      <c r="H119" s="108"/>
      <c r="I119" s="108"/>
      <c r="J119" s="109"/>
      <c r="K119" s="102"/>
    </row>
    <row r="120" spans="1:11">
      <c r="A120" s="102"/>
      <c r="B120" s="102"/>
      <c r="C120" s="139"/>
      <c r="D120" s="102"/>
      <c r="E120" s="102"/>
      <c r="F120" s="102"/>
      <c r="G120" s="102"/>
      <c r="H120" s="108"/>
      <c r="I120" s="108"/>
      <c r="J120" s="102"/>
      <c r="K120" s="102"/>
    </row>
    <row r="121" spans="1:11">
      <c r="A121" s="106" t="s">
        <v>458</v>
      </c>
      <c r="B121" s="102"/>
      <c r="C121" s="126"/>
      <c r="D121" s="102"/>
      <c r="E121" s="102"/>
      <c r="F121" s="102"/>
      <c r="G121" s="102"/>
      <c r="H121" s="108"/>
      <c r="I121" s="108"/>
      <c r="J121" s="102"/>
      <c r="K121" s="102"/>
    </row>
    <row r="122" spans="1:11">
      <c r="A122" s="102" t="s">
        <v>128</v>
      </c>
      <c r="B122" s="102" t="s">
        <v>115</v>
      </c>
      <c r="C122" s="139">
        <v>23.1</v>
      </c>
      <c r="D122" s="108">
        <f>ROUND('DF Calculation'!L59,2)</f>
        <v>0.2</v>
      </c>
      <c r="E122" s="108">
        <f t="shared" ref="E122:E127" si="15">SUM(C122:D122)</f>
        <v>23.3</v>
      </c>
      <c r="F122" s="102"/>
      <c r="G122" s="108"/>
      <c r="H122" s="108"/>
      <c r="I122" s="108"/>
      <c r="J122" s="109"/>
      <c r="K122" s="102"/>
    </row>
    <row r="123" spans="1:11">
      <c r="A123" s="102" t="s">
        <v>129</v>
      </c>
      <c r="B123" s="102" t="s">
        <v>115</v>
      </c>
      <c r="C123" s="139">
        <v>23.1</v>
      </c>
      <c r="D123" s="108">
        <f>D122</f>
        <v>0.2</v>
      </c>
      <c r="E123" s="108">
        <f t="shared" si="15"/>
        <v>23.3</v>
      </c>
      <c r="F123" s="102"/>
      <c r="G123" s="108"/>
      <c r="H123" s="108"/>
      <c r="I123" s="108"/>
      <c r="J123" s="109"/>
      <c r="K123" s="102"/>
    </row>
    <row r="124" spans="1:11">
      <c r="A124" s="102" t="s">
        <v>130</v>
      </c>
      <c r="B124" s="102" t="s">
        <v>115</v>
      </c>
      <c r="C124" s="139">
        <v>23.1</v>
      </c>
      <c r="D124" s="108">
        <f>D123</f>
        <v>0.2</v>
      </c>
      <c r="E124" s="108">
        <f t="shared" si="15"/>
        <v>23.3</v>
      </c>
      <c r="F124" s="102"/>
      <c r="G124" s="108"/>
      <c r="H124" s="108"/>
      <c r="I124" s="108"/>
      <c r="J124" s="109"/>
      <c r="K124" s="102"/>
    </row>
    <row r="125" spans="1:11">
      <c r="A125" s="102" t="s">
        <v>130</v>
      </c>
      <c r="B125" s="102" t="s">
        <v>115</v>
      </c>
      <c r="C125" s="139">
        <v>23.1</v>
      </c>
      <c r="D125" s="108">
        <f>D124</f>
        <v>0.2</v>
      </c>
      <c r="E125" s="108">
        <f t="shared" si="15"/>
        <v>23.3</v>
      </c>
      <c r="F125" s="102"/>
      <c r="G125" s="108"/>
      <c r="H125" s="108"/>
      <c r="I125" s="108"/>
      <c r="J125" s="109"/>
      <c r="K125" s="102"/>
    </row>
    <row r="126" spans="1:11">
      <c r="A126" s="102" t="s">
        <v>131</v>
      </c>
      <c r="B126" s="102" t="s">
        <v>115</v>
      </c>
      <c r="C126" s="139">
        <v>23.1</v>
      </c>
      <c r="D126" s="108">
        <f>D125</f>
        <v>0.2</v>
      </c>
      <c r="E126" s="108">
        <f t="shared" si="15"/>
        <v>23.3</v>
      </c>
      <c r="F126" s="102"/>
      <c r="G126" s="108"/>
      <c r="H126" s="108"/>
      <c r="I126" s="108"/>
      <c r="J126" s="109"/>
      <c r="K126" s="102"/>
    </row>
    <row r="127" spans="1:11">
      <c r="A127" s="102" t="s">
        <v>131</v>
      </c>
      <c r="B127" s="102" t="s">
        <v>115</v>
      </c>
      <c r="C127" s="139">
        <v>23.1</v>
      </c>
      <c r="D127" s="108">
        <f>D126</f>
        <v>0.2</v>
      </c>
      <c r="E127" s="108">
        <f t="shared" si="15"/>
        <v>23.3</v>
      </c>
      <c r="F127" s="102"/>
      <c r="G127" s="108"/>
      <c r="H127" s="108"/>
      <c r="I127" s="108"/>
      <c r="J127" s="109"/>
      <c r="K127" s="102"/>
    </row>
    <row r="128" spans="1:11">
      <c r="A128" s="102"/>
      <c r="B128" s="102"/>
      <c r="C128" s="139"/>
      <c r="D128" s="102"/>
      <c r="E128" s="102"/>
      <c r="F128" s="102"/>
      <c r="G128" s="102"/>
      <c r="H128" s="108"/>
      <c r="I128" s="108"/>
      <c r="J128" s="102"/>
      <c r="K128" s="102"/>
    </row>
    <row r="129" spans="1:11">
      <c r="A129" s="106" t="s">
        <v>447</v>
      </c>
      <c r="B129" s="102"/>
      <c r="C129" s="126"/>
      <c r="D129" s="102"/>
      <c r="E129" s="102"/>
      <c r="F129" s="102"/>
      <c r="G129" s="102"/>
      <c r="H129" s="108"/>
      <c r="I129" s="108"/>
      <c r="J129" s="102"/>
      <c r="K129" s="102"/>
    </row>
    <row r="130" spans="1:11">
      <c r="A130" s="102" t="s">
        <v>132</v>
      </c>
      <c r="B130" s="102" t="s">
        <v>133</v>
      </c>
      <c r="C130" s="126">
        <v>153.47999999999999</v>
      </c>
      <c r="D130" s="109">
        <f>References!C61</f>
        <v>3.9000000000000057</v>
      </c>
      <c r="E130" s="108">
        <f t="shared" ref="E130" si="16">SUM(C130:D130)</f>
        <v>157.38</v>
      </c>
      <c r="F130" s="102"/>
      <c r="G130" s="109"/>
      <c r="H130" s="108"/>
      <c r="I130" s="108"/>
      <c r="J130" s="102"/>
      <c r="K130" s="102"/>
    </row>
    <row r="131" spans="1:11">
      <c r="A131" s="102" t="s">
        <v>494</v>
      </c>
      <c r="B131" s="102" t="s">
        <v>133</v>
      </c>
      <c r="C131" s="126">
        <v>33</v>
      </c>
      <c r="D131" s="258">
        <f>+E131-C131</f>
        <v>7</v>
      </c>
      <c r="E131" s="108">
        <v>40</v>
      </c>
      <c r="F131" s="102"/>
      <c r="G131" s="102"/>
      <c r="H131" s="108"/>
      <c r="I131" s="108"/>
      <c r="J131" s="102"/>
      <c r="K131" s="102"/>
    </row>
    <row r="132" spans="1:11">
      <c r="A132" s="102"/>
      <c r="B132" s="102"/>
      <c r="C132" s="139"/>
      <c r="D132" s="102"/>
      <c r="E132" s="102"/>
      <c r="F132" s="102"/>
      <c r="G132" s="102"/>
      <c r="H132" s="108"/>
      <c r="I132" s="108"/>
      <c r="J132" s="102"/>
      <c r="K132" s="102"/>
    </row>
    <row r="133" spans="1:11">
      <c r="A133" s="106" t="s">
        <v>448</v>
      </c>
      <c r="B133" s="102"/>
      <c r="C133" s="126"/>
      <c r="D133" s="102"/>
      <c r="E133" s="102"/>
      <c r="F133" s="102"/>
      <c r="G133" s="102"/>
      <c r="H133" s="108"/>
      <c r="I133" s="108"/>
      <c r="J133" s="102"/>
      <c r="K133" s="102"/>
    </row>
    <row r="134" spans="1:11">
      <c r="A134" s="102" t="s">
        <v>119</v>
      </c>
      <c r="B134" s="102" t="s">
        <v>115</v>
      </c>
      <c r="C134" s="126">
        <v>21.05</v>
      </c>
      <c r="D134" s="108">
        <f>ROUND('DF Calculation'!L64,2)</f>
        <v>0.28000000000000003</v>
      </c>
      <c r="E134" s="108">
        <f t="shared" ref="E134:E138" si="17">SUM(C134:D134)</f>
        <v>21.330000000000002</v>
      </c>
      <c r="F134" s="102"/>
      <c r="G134" s="108"/>
      <c r="H134" s="108"/>
      <c r="I134" s="108"/>
      <c r="J134" s="109"/>
      <c r="K134" s="102"/>
    </row>
    <row r="135" spans="1:11">
      <c r="A135" s="102" t="s">
        <v>120</v>
      </c>
      <c r="B135" s="102" t="s">
        <v>115</v>
      </c>
      <c r="C135" s="126">
        <v>29.1</v>
      </c>
      <c r="D135" s="108">
        <f>ROUND('DF Calculation'!L65,2)</f>
        <v>0.4</v>
      </c>
      <c r="E135" s="108">
        <f t="shared" si="17"/>
        <v>29.5</v>
      </c>
      <c r="F135" s="102"/>
      <c r="G135" s="108"/>
      <c r="H135" s="108"/>
      <c r="I135" s="108"/>
      <c r="J135" s="109"/>
      <c r="K135" s="102"/>
    </row>
    <row r="136" spans="1:11">
      <c r="A136" s="102" t="s">
        <v>121</v>
      </c>
      <c r="B136" s="102" t="s">
        <v>115</v>
      </c>
      <c r="C136" s="126">
        <v>36.25</v>
      </c>
      <c r="D136" s="108">
        <f>ROUND('DF Calculation'!L66,2)</f>
        <v>0.51</v>
      </c>
      <c r="E136" s="108">
        <f t="shared" si="17"/>
        <v>36.76</v>
      </c>
      <c r="F136" s="108"/>
      <c r="G136" s="108"/>
      <c r="H136" s="108"/>
      <c r="I136" s="108"/>
      <c r="J136" s="109"/>
      <c r="K136" s="102"/>
    </row>
    <row r="137" spans="1:11">
      <c r="A137" s="102" t="s">
        <v>122</v>
      </c>
      <c r="B137" s="102" t="s">
        <v>115</v>
      </c>
      <c r="C137" s="126">
        <v>68.08</v>
      </c>
      <c r="D137" s="108">
        <f>ROUND('DF Calculation'!L69,2)</f>
        <v>0.97</v>
      </c>
      <c r="E137" s="108">
        <f t="shared" si="17"/>
        <v>69.05</v>
      </c>
      <c r="F137" s="102"/>
      <c r="G137" s="108"/>
      <c r="H137" s="108"/>
      <c r="I137" s="108"/>
      <c r="J137" s="109"/>
      <c r="K137" s="102"/>
    </row>
    <row r="138" spans="1:11">
      <c r="A138" s="102" t="s">
        <v>123</v>
      </c>
      <c r="B138" s="102" t="s">
        <v>115</v>
      </c>
      <c r="C138" s="126">
        <v>94.11</v>
      </c>
      <c r="D138" s="108">
        <f>ROUND('DF Calculation'!L73,2)</f>
        <v>1.33</v>
      </c>
      <c r="E138" s="108">
        <f t="shared" si="17"/>
        <v>95.44</v>
      </c>
      <c r="F138" s="102"/>
      <c r="G138" s="108"/>
      <c r="H138" s="108"/>
      <c r="I138" s="108"/>
      <c r="J138" s="109"/>
      <c r="K138" s="102"/>
    </row>
    <row r="139" spans="1:11">
      <c r="A139" s="102"/>
      <c r="B139" s="102"/>
      <c r="C139" s="139"/>
      <c r="D139" s="102"/>
      <c r="E139" s="102"/>
      <c r="F139" s="102"/>
      <c r="G139" s="102"/>
      <c r="H139" s="108"/>
      <c r="I139" s="108"/>
      <c r="J139" s="102"/>
      <c r="K139" s="102"/>
    </row>
    <row r="140" spans="1:11">
      <c r="A140" s="102" t="s">
        <v>124</v>
      </c>
      <c r="B140" s="102"/>
      <c r="C140" s="126"/>
      <c r="D140" s="102"/>
      <c r="E140" s="102"/>
      <c r="F140" s="102"/>
      <c r="G140" s="102"/>
      <c r="H140" s="108"/>
      <c r="I140" s="108"/>
      <c r="J140" s="102"/>
      <c r="K140" s="102"/>
    </row>
    <row r="141" spans="1:11">
      <c r="A141" s="102" t="s">
        <v>119</v>
      </c>
      <c r="B141" s="102" t="s">
        <v>115</v>
      </c>
      <c r="C141" s="126">
        <v>23.06</v>
      </c>
      <c r="D141" s="108">
        <f>D134</f>
        <v>0.28000000000000003</v>
      </c>
      <c r="E141" s="108">
        <f t="shared" ref="E141:E145" si="18">SUM(C141:D141)</f>
        <v>23.34</v>
      </c>
      <c r="F141" s="102"/>
      <c r="G141" s="108"/>
      <c r="H141" s="108"/>
      <c r="I141" s="108"/>
      <c r="J141" s="109"/>
      <c r="K141" s="102"/>
    </row>
    <row r="142" spans="1:11">
      <c r="A142" s="102" t="s">
        <v>120</v>
      </c>
      <c r="B142" s="102" t="s">
        <v>115</v>
      </c>
      <c r="C142" s="126">
        <v>31.12</v>
      </c>
      <c r="D142" s="108">
        <f t="shared" ref="D142:D145" si="19">D135</f>
        <v>0.4</v>
      </c>
      <c r="E142" s="108">
        <f t="shared" si="18"/>
        <v>31.52</v>
      </c>
      <c r="F142" s="102"/>
      <c r="G142" s="108"/>
      <c r="H142" s="108"/>
      <c r="I142" s="108"/>
      <c r="J142" s="109"/>
      <c r="K142" s="102"/>
    </row>
    <row r="143" spans="1:11">
      <c r="A143" s="102" t="s">
        <v>121</v>
      </c>
      <c r="B143" s="102" t="s">
        <v>115</v>
      </c>
      <c r="C143" s="126">
        <v>38.26</v>
      </c>
      <c r="D143" s="108">
        <f t="shared" si="19"/>
        <v>0.51</v>
      </c>
      <c r="E143" s="108">
        <f t="shared" si="18"/>
        <v>38.769999999999996</v>
      </c>
      <c r="F143" s="102"/>
      <c r="G143" s="108"/>
      <c r="H143" s="108"/>
      <c r="I143" s="108"/>
      <c r="J143" s="109"/>
      <c r="K143" s="102"/>
    </row>
    <row r="144" spans="1:11">
      <c r="A144" s="102" t="s">
        <v>122</v>
      </c>
      <c r="B144" s="102" t="s">
        <v>115</v>
      </c>
      <c r="C144" s="126">
        <v>70.09</v>
      </c>
      <c r="D144" s="108">
        <f t="shared" si="19"/>
        <v>0.97</v>
      </c>
      <c r="E144" s="108">
        <f t="shared" si="18"/>
        <v>71.06</v>
      </c>
      <c r="F144" s="102"/>
      <c r="G144" s="108"/>
      <c r="H144" s="108"/>
      <c r="I144" s="108"/>
      <c r="J144" s="109"/>
      <c r="K144" s="102"/>
    </row>
    <row r="145" spans="1:11">
      <c r="A145" s="102" t="s">
        <v>123</v>
      </c>
      <c r="B145" s="102" t="s">
        <v>115</v>
      </c>
      <c r="C145" s="126">
        <v>96.13</v>
      </c>
      <c r="D145" s="108">
        <f t="shared" si="19"/>
        <v>1.33</v>
      </c>
      <c r="E145" s="108">
        <f t="shared" si="18"/>
        <v>97.46</v>
      </c>
      <c r="F145" s="102"/>
      <c r="G145" s="108"/>
      <c r="H145" s="108"/>
      <c r="I145" s="108"/>
      <c r="J145" s="109"/>
      <c r="K145" s="102"/>
    </row>
    <row r="146" spans="1:11">
      <c r="A146" s="102"/>
      <c r="B146" s="102"/>
      <c r="C146" s="139"/>
      <c r="D146" s="102"/>
      <c r="E146" s="102"/>
      <c r="F146" s="102"/>
      <c r="G146" s="102"/>
      <c r="H146" s="108"/>
      <c r="I146" s="108"/>
      <c r="J146" s="102"/>
      <c r="K146" s="102"/>
    </row>
    <row r="147" spans="1:11">
      <c r="A147" s="102" t="s">
        <v>125</v>
      </c>
      <c r="B147" s="102"/>
      <c r="C147" s="126"/>
      <c r="D147" s="102"/>
      <c r="E147" s="102"/>
      <c r="F147" s="102"/>
      <c r="G147" s="102"/>
      <c r="H147" s="108"/>
      <c r="I147" s="108"/>
      <c r="J147" s="102"/>
      <c r="K147" s="102"/>
    </row>
    <row r="148" spans="1:11">
      <c r="A148" s="102" t="s">
        <v>119</v>
      </c>
      <c r="B148" s="102" t="s">
        <v>115</v>
      </c>
      <c r="C148" s="126">
        <v>23.06</v>
      </c>
      <c r="D148" s="108">
        <f>D141</f>
        <v>0.28000000000000003</v>
      </c>
      <c r="E148" s="108">
        <f t="shared" ref="E148:E152" si="20">SUM(C148:D148)</f>
        <v>23.34</v>
      </c>
      <c r="F148" s="102"/>
      <c r="G148" s="108"/>
      <c r="H148" s="108"/>
      <c r="I148" s="108"/>
      <c r="J148" s="102"/>
      <c r="K148" s="102"/>
    </row>
    <row r="149" spans="1:11">
      <c r="A149" s="102" t="s">
        <v>120</v>
      </c>
      <c r="B149" s="102" t="s">
        <v>115</v>
      </c>
      <c r="C149" s="126">
        <v>31.12</v>
      </c>
      <c r="D149" s="108">
        <f t="shared" ref="D149:D152" si="21">D142</f>
        <v>0.4</v>
      </c>
      <c r="E149" s="108">
        <f t="shared" si="20"/>
        <v>31.52</v>
      </c>
      <c r="F149" s="102"/>
      <c r="G149" s="108"/>
      <c r="H149" s="108"/>
      <c r="I149" s="108"/>
      <c r="J149" s="102"/>
      <c r="K149" s="102"/>
    </row>
    <row r="150" spans="1:11">
      <c r="A150" s="102" t="s">
        <v>121</v>
      </c>
      <c r="B150" s="102" t="s">
        <v>115</v>
      </c>
      <c r="C150" s="126">
        <v>38.26</v>
      </c>
      <c r="D150" s="108">
        <f t="shared" si="21"/>
        <v>0.51</v>
      </c>
      <c r="E150" s="108">
        <f t="shared" si="20"/>
        <v>38.769999999999996</v>
      </c>
      <c r="F150" s="102"/>
      <c r="G150" s="108"/>
      <c r="H150" s="108"/>
      <c r="I150" s="108"/>
      <c r="J150" s="102"/>
      <c r="K150" s="102"/>
    </row>
    <row r="151" spans="1:11">
      <c r="A151" s="102" t="s">
        <v>122</v>
      </c>
      <c r="B151" s="102" t="s">
        <v>115</v>
      </c>
      <c r="C151" s="126">
        <v>70.09</v>
      </c>
      <c r="D151" s="108">
        <f t="shared" si="21"/>
        <v>0.97</v>
      </c>
      <c r="E151" s="108">
        <f t="shared" si="20"/>
        <v>71.06</v>
      </c>
      <c r="F151" s="102"/>
      <c r="G151" s="108"/>
      <c r="H151" s="108"/>
      <c r="I151" s="108"/>
      <c r="J151" s="102"/>
      <c r="K151" s="102"/>
    </row>
    <row r="152" spans="1:11">
      <c r="A152" s="102" t="s">
        <v>123</v>
      </c>
      <c r="B152" s="102" t="s">
        <v>115</v>
      </c>
      <c r="C152" s="126">
        <v>96.13</v>
      </c>
      <c r="D152" s="108">
        <f t="shared" si="21"/>
        <v>1.33</v>
      </c>
      <c r="E152" s="108">
        <f t="shared" si="20"/>
        <v>97.46</v>
      </c>
      <c r="F152" s="102"/>
      <c r="G152" s="108"/>
      <c r="H152" s="108"/>
      <c r="I152" s="108"/>
      <c r="J152" s="102"/>
      <c r="K152" s="102"/>
    </row>
    <row r="153" spans="1:11">
      <c r="A153" s="102"/>
      <c r="B153" s="102"/>
      <c r="C153" s="139"/>
      <c r="D153" s="102"/>
      <c r="E153" s="102"/>
      <c r="F153" s="102"/>
      <c r="G153" s="102"/>
      <c r="H153" s="108"/>
      <c r="I153" s="108"/>
      <c r="J153" s="102"/>
      <c r="K153" s="102"/>
    </row>
    <row r="154" spans="1:11">
      <c r="A154" s="106" t="s">
        <v>449</v>
      </c>
      <c r="B154" s="102"/>
      <c r="C154" s="126"/>
      <c r="D154" s="102"/>
      <c r="E154" s="102"/>
      <c r="F154" s="102"/>
      <c r="G154" s="102"/>
      <c r="H154" s="108"/>
      <c r="I154" s="108"/>
      <c r="J154" s="102"/>
      <c r="K154" s="102"/>
    </row>
    <row r="155" spans="1:11">
      <c r="A155" s="102" t="s">
        <v>134</v>
      </c>
      <c r="B155" s="102" t="s">
        <v>115</v>
      </c>
      <c r="C155" s="126">
        <v>4.04</v>
      </c>
      <c r="D155" s="107">
        <f>ROUND('DF Calculation'!L58,2)</f>
        <v>0.05</v>
      </c>
      <c r="E155" s="108">
        <f t="shared" ref="E155:E168" si="22">SUM(C155:D155)</f>
        <v>4.09</v>
      </c>
      <c r="F155" s="109"/>
      <c r="G155" s="108"/>
      <c r="H155" s="108"/>
      <c r="I155" s="108"/>
      <c r="J155" s="102"/>
      <c r="K155" s="102"/>
    </row>
    <row r="156" spans="1:11">
      <c r="A156" s="102" t="s">
        <v>135</v>
      </c>
      <c r="B156" s="102" t="s">
        <v>115</v>
      </c>
      <c r="C156" s="126">
        <f>C155</f>
        <v>4.04</v>
      </c>
      <c r="D156" s="107">
        <f>D155</f>
        <v>0.05</v>
      </c>
      <c r="E156" s="108">
        <f t="shared" si="22"/>
        <v>4.09</v>
      </c>
      <c r="F156" s="102"/>
      <c r="G156" s="108"/>
      <c r="H156" s="108"/>
      <c r="I156" s="108"/>
      <c r="J156" s="102"/>
      <c r="K156" s="102"/>
    </row>
    <row r="157" spans="1:11">
      <c r="A157" s="102" t="s">
        <v>136</v>
      </c>
      <c r="B157" s="102" t="s">
        <v>115</v>
      </c>
      <c r="C157" s="126">
        <f>C155</f>
        <v>4.04</v>
      </c>
      <c r="D157" s="107">
        <f>D155</f>
        <v>0.05</v>
      </c>
      <c r="E157" s="108">
        <f t="shared" si="22"/>
        <v>4.09</v>
      </c>
      <c r="F157" s="102"/>
      <c r="G157" s="108"/>
      <c r="H157" s="108"/>
      <c r="I157" s="108"/>
      <c r="J157" s="102"/>
      <c r="K157" s="102"/>
    </row>
    <row r="158" spans="1:11">
      <c r="A158" s="102" t="s">
        <v>137</v>
      </c>
      <c r="B158" s="102" t="s">
        <v>427</v>
      </c>
      <c r="C158" s="126">
        <v>17.510000000000002</v>
      </c>
      <c r="D158" s="108">
        <f>ROUND('DF Calculation'!L60,2)</f>
        <v>0.2</v>
      </c>
      <c r="E158" s="108">
        <f t="shared" si="22"/>
        <v>17.71</v>
      </c>
      <c r="F158" s="109"/>
      <c r="G158" s="108"/>
      <c r="H158" s="108"/>
      <c r="I158" s="108"/>
      <c r="J158" s="102"/>
      <c r="K158" s="102"/>
    </row>
    <row r="159" spans="1:11">
      <c r="A159" s="102" t="s">
        <v>114</v>
      </c>
      <c r="B159" s="102" t="s">
        <v>115</v>
      </c>
      <c r="C159" s="126">
        <v>4.26</v>
      </c>
      <c r="D159" s="109">
        <f>ROUND('DF Calculation'!L58,2)</f>
        <v>0.05</v>
      </c>
      <c r="E159" s="108">
        <f t="shared" si="22"/>
        <v>4.3099999999999996</v>
      </c>
      <c r="F159" s="102"/>
      <c r="G159" s="108"/>
      <c r="H159" s="242"/>
      <c r="I159" s="108"/>
      <c r="J159" s="109"/>
      <c r="K159" s="102"/>
    </row>
    <row r="160" spans="1:11">
      <c r="A160" s="102"/>
      <c r="B160" s="102"/>
      <c r="C160" s="126"/>
      <c r="D160" s="109"/>
      <c r="E160" s="108"/>
      <c r="F160" s="102"/>
      <c r="G160" s="108"/>
      <c r="H160" s="242"/>
      <c r="I160" s="108"/>
      <c r="J160" s="109"/>
      <c r="K160" s="102"/>
    </row>
    <row r="161" spans="1:11">
      <c r="A161" s="102" t="s">
        <v>485</v>
      </c>
      <c r="B161" s="102" t="s">
        <v>115</v>
      </c>
      <c r="C161" s="126">
        <v>3.53</v>
      </c>
      <c r="D161" s="109">
        <f>+'DF Calculation'!L160</f>
        <v>3.1672051301304772E-2</v>
      </c>
      <c r="E161" s="108">
        <f t="shared" si="22"/>
        <v>3.5616720513013047</v>
      </c>
      <c r="F161" s="102"/>
      <c r="G161" s="108"/>
      <c r="H161" s="242"/>
      <c r="I161" s="108"/>
      <c r="J161" s="109"/>
      <c r="K161" s="102"/>
    </row>
    <row r="162" spans="1:11">
      <c r="A162" s="102" t="s">
        <v>137</v>
      </c>
      <c r="B162" s="102" t="s">
        <v>427</v>
      </c>
      <c r="C162" s="126">
        <v>15.31</v>
      </c>
      <c r="D162" s="109">
        <f>+'DF Calculation'!L164</f>
        <v>0.13713998213464965</v>
      </c>
      <c r="E162" s="108">
        <f t="shared" si="22"/>
        <v>15.447139982134651</v>
      </c>
      <c r="F162" s="102"/>
      <c r="G162" s="108"/>
      <c r="H162" s="242"/>
      <c r="I162" s="108"/>
      <c r="J162" s="109"/>
      <c r="K162" s="102"/>
    </row>
    <row r="163" spans="1:11">
      <c r="A163" s="102" t="s">
        <v>486</v>
      </c>
      <c r="B163" s="102" t="s">
        <v>115</v>
      </c>
      <c r="C163" s="126">
        <v>4.3899999999999997</v>
      </c>
      <c r="D163" s="109">
        <f>+'DF Calculation'!L161</f>
        <v>5.3842487212218119E-2</v>
      </c>
      <c r="E163" s="108">
        <f t="shared" si="22"/>
        <v>4.4438424872122182</v>
      </c>
      <c r="F163" s="102"/>
      <c r="G163" s="108"/>
      <c r="H163" s="242"/>
      <c r="I163" s="108"/>
      <c r="J163" s="109"/>
      <c r="K163" s="102"/>
    </row>
    <row r="164" spans="1:11">
      <c r="A164" s="102" t="s">
        <v>137</v>
      </c>
      <c r="B164" s="102" t="s">
        <v>427</v>
      </c>
      <c r="C164" s="126">
        <v>19.03</v>
      </c>
      <c r="D164" s="109">
        <f>+'DF Calculation'!L165</f>
        <v>0.23313796962890443</v>
      </c>
      <c r="E164" s="108">
        <f t="shared" si="22"/>
        <v>19.263137969628907</v>
      </c>
      <c r="F164" s="102"/>
      <c r="G164" s="108"/>
      <c r="H164" s="242"/>
      <c r="I164" s="108"/>
      <c r="J164" s="109"/>
      <c r="K164" s="102"/>
    </row>
    <row r="165" spans="1:11">
      <c r="A165" s="102" t="s">
        <v>487</v>
      </c>
      <c r="B165" s="102" t="s">
        <v>115</v>
      </c>
      <c r="C165" s="126">
        <v>6.58</v>
      </c>
      <c r="D165" s="109">
        <f>+'DF Calculation'!L162</f>
        <v>7.4429320558066211E-2</v>
      </c>
      <c r="E165" s="108">
        <f t="shared" si="22"/>
        <v>6.6544293205580667</v>
      </c>
      <c r="F165" s="102"/>
      <c r="G165" s="108"/>
      <c r="H165" s="242"/>
      <c r="I165" s="108"/>
      <c r="J165" s="109"/>
      <c r="K165" s="102"/>
    </row>
    <row r="166" spans="1:11">
      <c r="A166" s="102" t="s">
        <v>137</v>
      </c>
      <c r="B166" s="102" t="s">
        <v>427</v>
      </c>
      <c r="C166" s="126">
        <v>28.51</v>
      </c>
      <c r="D166" s="109">
        <f>+'DF Calculation'!L166</f>
        <v>0.32227895801642664</v>
      </c>
      <c r="E166" s="108">
        <f t="shared" si="22"/>
        <v>28.832278958016428</v>
      </c>
      <c r="F166" s="102"/>
      <c r="G166" s="108"/>
      <c r="H166" s="242"/>
      <c r="I166" s="108"/>
      <c r="J166" s="109"/>
      <c r="K166" s="102"/>
    </row>
    <row r="167" spans="1:11">
      <c r="A167" s="102" t="s">
        <v>488</v>
      </c>
      <c r="B167" s="102" t="s">
        <v>115</v>
      </c>
      <c r="C167" s="126">
        <v>9.1999999999999993</v>
      </c>
      <c r="D167" s="109">
        <f>+'DF Calculation'!L163</f>
        <v>0.10768497442443624</v>
      </c>
      <c r="E167" s="108">
        <f t="shared" si="22"/>
        <v>9.3076849744244363</v>
      </c>
      <c r="F167" s="102"/>
      <c r="G167" s="108"/>
      <c r="H167" s="242"/>
      <c r="I167" s="108"/>
      <c r="J167" s="109"/>
      <c r="K167" s="102"/>
    </row>
    <row r="168" spans="1:11">
      <c r="A168" s="102" t="s">
        <v>137</v>
      </c>
      <c r="B168" s="102" t="s">
        <v>427</v>
      </c>
      <c r="C168" s="126">
        <v>39.880000000000003</v>
      </c>
      <c r="D168" s="109">
        <f>+'DF Calculation'!L167</f>
        <v>0.46627593925780886</v>
      </c>
      <c r="E168" s="108">
        <f t="shared" si="22"/>
        <v>40.346275939257808</v>
      </c>
      <c r="F168" s="102"/>
      <c r="G168" s="109"/>
      <c r="H168" s="108"/>
      <c r="I168" s="108"/>
      <c r="J168" s="102"/>
      <c r="K168" s="102"/>
    </row>
    <row r="169" spans="1:11">
      <c r="A169" s="102"/>
      <c r="B169" s="102"/>
      <c r="C169" s="126"/>
      <c r="D169" s="102"/>
      <c r="E169" s="109"/>
      <c r="F169" s="102"/>
      <c r="G169" s="109"/>
      <c r="H169" s="108"/>
      <c r="I169" s="108"/>
      <c r="J169" s="102"/>
      <c r="K169" s="102"/>
    </row>
    <row r="170" spans="1:11">
      <c r="A170" s="106" t="s">
        <v>450</v>
      </c>
      <c r="B170" s="102"/>
      <c r="C170" s="126"/>
      <c r="D170" s="102"/>
      <c r="E170" s="102"/>
      <c r="F170" s="102"/>
      <c r="G170" s="102"/>
      <c r="H170" s="108"/>
      <c r="I170" s="108"/>
      <c r="J170" s="102"/>
      <c r="K170" s="102"/>
    </row>
    <row r="171" spans="1:11">
      <c r="A171" s="102" t="s">
        <v>121</v>
      </c>
      <c r="B171" s="104">
        <v>2.25</v>
      </c>
      <c r="C171" s="126">
        <v>77.180000000000007</v>
      </c>
      <c r="D171" s="108">
        <f>ROUND('DF Calculation'!L78,2)</f>
        <v>1.1499999999999999</v>
      </c>
      <c r="E171" s="108">
        <f t="shared" ref="E171:E177" si="23">SUM(C171:D171)</f>
        <v>78.330000000000013</v>
      </c>
      <c r="F171" s="102"/>
      <c r="G171" s="108"/>
      <c r="H171" s="108"/>
      <c r="I171" s="108"/>
      <c r="J171" s="109"/>
      <c r="K171" s="102"/>
    </row>
    <row r="172" spans="1:11">
      <c r="A172" s="102" t="s">
        <v>122</v>
      </c>
      <c r="B172" s="104">
        <v>2.25</v>
      </c>
      <c r="C172" s="126">
        <v>139.94</v>
      </c>
      <c r="D172" s="108">
        <f>ROUND('DF Calculation'!L79,2)</f>
        <v>2.1800000000000002</v>
      </c>
      <c r="E172" s="108">
        <f>ROUND(C172+D172,2)</f>
        <v>142.12</v>
      </c>
      <c r="F172" s="102"/>
      <c r="G172" s="108"/>
      <c r="H172" s="108"/>
      <c r="I172" s="108"/>
      <c r="J172" s="109"/>
      <c r="K172" s="102"/>
    </row>
    <row r="173" spans="1:11">
      <c r="A173" s="102" t="s">
        <v>123</v>
      </c>
      <c r="B173" s="104">
        <v>2.25</v>
      </c>
      <c r="C173" s="126">
        <v>196.83</v>
      </c>
      <c r="D173" s="108">
        <f>ROUND('DF Calculation'!L126,2)</f>
        <v>2.99</v>
      </c>
      <c r="E173" s="108">
        <f t="shared" si="23"/>
        <v>199.82000000000002</v>
      </c>
      <c r="F173" s="103"/>
      <c r="G173" s="107"/>
      <c r="H173" s="108"/>
      <c r="I173" s="108"/>
      <c r="J173" s="109"/>
      <c r="K173" s="102"/>
    </row>
    <row r="174" spans="1:11">
      <c r="A174" s="102" t="s">
        <v>138</v>
      </c>
      <c r="B174" s="104"/>
      <c r="C174" s="126"/>
      <c r="D174" s="108"/>
      <c r="E174" s="103"/>
      <c r="F174" s="103"/>
      <c r="G174" s="103"/>
      <c r="H174" s="108"/>
      <c r="I174" s="108"/>
      <c r="J174" s="102"/>
      <c r="K174" s="102"/>
    </row>
    <row r="175" spans="1:11">
      <c r="A175" s="102" t="s">
        <v>121</v>
      </c>
      <c r="B175" s="104">
        <v>2.25</v>
      </c>
      <c r="C175" s="126">
        <v>83.23</v>
      </c>
      <c r="D175" s="108">
        <f>D171</f>
        <v>1.1499999999999999</v>
      </c>
      <c r="E175" s="108">
        <f t="shared" si="23"/>
        <v>84.38000000000001</v>
      </c>
      <c r="F175" s="103"/>
      <c r="G175" s="107"/>
      <c r="H175" s="108"/>
      <c r="I175" s="108"/>
      <c r="J175" s="109"/>
      <c r="K175" s="102"/>
    </row>
    <row r="176" spans="1:11">
      <c r="A176" s="102" t="s">
        <v>122</v>
      </c>
      <c r="B176" s="104">
        <v>2.25</v>
      </c>
      <c r="C176" s="126">
        <v>145.99</v>
      </c>
      <c r="D176" s="108">
        <f t="shared" ref="D176:D177" si="24">D172</f>
        <v>2.1800000000000002</v>
      </c>
      <c r="E176" s="108">
        <f t="shared" si="23"/>
        <v>148.17000000000002</v>
      </c>
      <c r="F176" s="103"/>
      <c r="G176" s="107"/>
      <c r="H176" s="108"/>
      <c r="I176" s="108"/>
      <c r="J176" s="109"/>
      <c r="K176" s="102"/>
    </row>
    <row r="177" spans="1:11">
      <c r="A177" s="102" t="s">
        <v>123</v>
      </c>
      <c r="B177" s="104">
        <v>2.25</v>
      </c>
      <c r="C177" s="126">
        <v>202.88</v>
      </c>
      <c r="D177" s="108">
        <f t="shared" si="24"/>
        <v>2.99</v>
      </c>
      <c r="E177" s="108">
        <f t="shared" si="23"/>
        <v>205.87</v>
      </c>
      <c r="F177" s="103"/>
      <c r="G177" s="107"/>
      <c r="H177" s="108"/>
      <c r="I177" s="108"/>
      <c r="J177" s="109"/>
      <c r="K177" s="102"/>
    </row>
    <row r="178" spans="1:11">
      <c r="A178" s="102"/>
      <c r="B178" s="102"/>
      <c r="C178" s="139"/>
      <c r="D178" s="102"/>
      <c r="E178" s="103"/>
      <c r="F178" s="103"/>
      <c r="G178" s="103"/>
      <c r="H178" s="108"/>
      <c r="I178" s="108"/>
      <c r="J178" s="102"/>
      <c r="K178" s="102"/>
    </row>
    <row r="179" spans="1:11">
      <c r="A179" s="106" t="s">
        <v>451</v>
      </c>
      <c r="B179" s="102"/>
      <c r="C179" s="126"/>
      <c r="D179" s="102"/>
      <c r="E179" s="103"/>
      <c r="F179" s="103"/>
      <c r="G179" s="103"/>
      <c r="H179" s="108"/>
      <c r="I179" s="108"/>
      <c r="J179" s="102"/>
      <c r="K179" s="102"/>
    </row>
    <row r="180" spans="1:11">
      <c r="A180" s="102" t="s">
        <v>121</v>
      </c>
      <c r="B180" s="104">
        <v>3</v>
      </c>
      <c r="C180" s="126">
        <v>98.14</v>
      </c>
      <c r="D180" s="107">
        <f>ROUND('DF Calculation'!L127,2)</f>
        <v>1.54</v>
      </c>
      <c r="E180" s="108">
        <f t="shared" ref="E180:E188" si="25">SUM(C180:D180)</f>
        <v>99.68</v>
      </c>
      <c r="F180" s="103"/>
      <c r="G180" s="107"/>
      <c r="H180" s="108"/>
      <c r="I180" s="108"/>
      <c r="J180" s="109"/>
      <c r="K180" s="102"/>
    </row>
    <row r="181" spans="1:11">
      <c r="A181" s="102" t="s">
        <v>139</v>
      </c>
      <c r="B181" s="104">
        <v>3</v>
      </c>
      <c r="C181" s="126">
        <v>133.79</v>
      </c>
      <c r="D181" s="107">
        <f>ROUND('DF Calculation'!L87,2)</f>
        <v>2.25</v>
      </c>
      <c r="E181" s="108">
        <f t="shared" si="25"/>
        <v>136.04</v>
      </c>
      <c r="F181" s="103"/>
      <c r="G181" s="107"/>
      <c r="H181" s="108"/>
      <c r="I181" s="108"/>
      <c r="J181" s="109"/>
      <c r="K181" s="102"/>
    </row>
    <row r="182" spans="1:11">
      <c r="A182" s="102" t="s">
        <v>122</v>
      </c>
      <c r="B182" s="104">
        <v>3</v>
      </c>
      <c r="C182" s="126">
        <v>165.8</v>
      </c>
      <c r="D182" s="107">
        <f>ROUND('DF Calculation'!L128,2)</f>
        <v>2.91</v>
      </c>
      <c r="E182" s="108">
        <f t="shared" si="25"/>
        <v>168.71</v>
      </c>
      <c r="F182" s="103"/>
      <c r="G182" s="107"/>
      <c r="H182" s="108"/>
      <c r="I182" s="108"/>
      <c r="J182" s="109"/>
      <c r="K182" s="102"/>
    </row>
    <row r="183" spans="1:11">
      <c r="A183" s="102" t="s">
        <v>123</v>
      </c>
      <c r="B183" s="104">
        <v>3</v>
      </c>
      <c r="C183" s="126">
        <v>247.11</v>
      </c>
      <c r="D183" s="107">
        <f>ROUND('DF Calculation'!L84,2)</f>
        <v>3.99</v>
      </c>
      <c r="E183" s="108">
        <f t="shared" si="25"/>
        <v>251.10000000000002</v>
      </c>
      <c r="F183" s="103"/>
      <c r="G183" s="107"/>
      <c r="H183" s="108"/>
      <c r="I183" s="108"/>
      <c r="J183" s="109"/>
      <c r="K183" s="102"/>
    </row>
    <row r="184" spans="1:11">
      <c r="A184" s="106" t="s">
        <v>138</v>
      </c>
      <c r="B184" s="104"/>
      <c r="C184" s="126"/>
      <c r="D184" s="108"/>
      <c r="E184" s="103"/>
      <c r="F184" s="103"/>
      <c r="G184" s="103"/>
      <c r="H184" s="108"/>
      <c r="I184" s="108"/>
      <c r="J184" s="109"/>
      <c r="K184" s="102"/>
    </row>
    <row r="185" spans="1:11">
      <c r="A185" s="102" t="s">
        <v>121</v>
      </c>
      <c r="B185" s="104">
        <v>3</v>
      </c>
      <c r="C185" s="126">
        <v>104.19</v>
      </c>
      <c r="D185" s="108">
        <f>D180</f>
        <v>1.54</v>
      </c>
      <c r="E185" s="108">
        <f t="shared" si="25"/>
        <v>105.73</v>
      </c>
      <c r="F185" s="103"/>
      <c r="G185" s="107"/>
      <c r="H185" s="108"/>
      <c r="I185" s="108"/>
      <c r="J185" s="109"/>
      <c r="K185" s="102"/>
    </row>
    <row r="186" spans="1:11">
      <c r="A186" s="102" t="s">
        <v>139</v>
      </c>
      <c r="B186" s="104">
        <v>3</v>
      </c>
      <c r="C186" s="126">
        <v>139.84</v>
      </c>
      <c r="D186" s="108">
        <f t="shared" ref="D186:D188" si="26">D181</f>
        <v>2.25</v>
      </c>
      <c r="E186" s="108">
        <f t="shared" si="25"/>
        <v>142.09</v>
      </c>
      <c r="F186" s="103"/>
      <c r="G186" s="107"/>
      <c r="H186" s="108"/>
      <c r="I186" s="108"/>
      <c r="J186" s="109"/>
      <c r="K186" s="102"/>
    </row>
    <row r="187" spans="1:11">
      <c r="A187" s="102" t="s">
        <v>122</v>
      </c>
      <c r="B187" s="104">
        <v>3</v>
      </c>
      <c r="C187" s="126">
        <v>171.85</v>
      </c>
      <c r="D187" s="108">
        <f t="shared" si="26"/>
        <v>2.91</v>
      </c>
      <c r="E187" s="108">
        <f t="shared" si="25"/>
        <v>174.76</v>
      </c>
      <c r="F187" s="103"/>
      <c r="G187" s="107"/>
      <c r="H187" s="108"/>
      <c r="I187" s="108"/>
      <c r="J187" s="109"/>
      <c r="K187" s="102"/>
    </row>
    <row r="188" spans="1:11">
      <c r="A188" s="102" t="s">
        <v>123</v>
      </c>
      <c r="B188" s="104">
        <v>3</v>
      </c>
      <c r="C188" s="126">
        <v>253.16</v>
      </c>
      <c r="D188" s="108">
        <f t="shared" si="26"/>
        <v>3.99</v>
      </c>
      <c r="E188" s="108">
        <f t="shared" si="25"/>
        <v>257.14999999999998</v>
      </c>
      <c r="F188" s="103"/>
      <c r="G188" s="107"/>
      <c r="H188" s="108"/>
      <c r="I188" s="108"/>
      <c r="J188" s="109"/>
      <c r="K188" s="102"/>
    </row>
    <row r="189" spans="1:11">
      <c r="A189" s="102"/>
      <c r="B189" s="102"/>
      <c r="C189" s="139"/>
      <c r="D189" s="102"/>
      <c r="E189" s="103"/>
      <c r="F189" s="103"/>
      <c r="G189" s="103"/>
      <c r="H189" s="108"/>
      <c r="I189" s="108"/>
      <c r="J189" s="102"/>
      <c r="K189" s="102"/>
    </row>
    <row r="190" spans="1:11">
      <c r="A190" s="106" t="s">
        <v>452</v>
      </c>
      <c r="B190" s="102"/>
      <c r="C190" s="126"/>
      <c r="D190" s="102"/>
      <c r="E190" s="103"/>
      <c r="F190" s="103"/>
      <c r="G190" s="103"/>
      <c r="H190" s="108"/>
      <c r="I190" s="108"/>
      <c r="J190" s="102"/>
      <c r="K190" s="102"/>
    </row>
    <row r="191" spans="1:11">
      <c r="A191" s="102" t="s">
        <v>139</v>
      </c>
      <c r="B191" s="104">
        <v>4</v>
      </c>
      <c r="C191" s="126">
        <v>169.64</v>
      </c>
      <c r="D191" s="108">
        <f>ROUND('DF Calculation'!L129,2)</f>
        <v>3</v>
      </c>
      <c r="E191" s="108">
        <f t="shared" ref="E191:E197" si="27">SUM(C191:D191)</f>
        <v>172.64</v>
      </c>
      <c r="F191" s="103"/>
      <c r="G191" s="107"/>
      <c r="H191" s="108"/>
      <c r="I191" s="108"/>
      <c r="J191" s="109"/>
      <c r="K191" s="102"/>
    </row>
    <row r="192" spans="1:11">
      <c r="A192" s="102" t="s">
        <v>122</v>
      </c>
      <c r="B192" s="104">
        <v>4</v>
      </c>
      <c r="C192" s="126">
        <v>223.17</v>
      </c>
      <c r="D192" s="108">
        <f>ROUND('DF Calculation'!L80,2)</f>
        <v>3.88</v>
      </c>
      <c r="E192" s="108">
        <f t="shared" si="27"/>
        <v>227.04999999999998</v>
      </c>
      <c r="F192" s="107"/>
      <c r="G192" s="107"/>
      <c r="H192" s="108"/>
      <c r="I192" s="108"/>
      <c r="J192" s="109"/>
      <c r="K192" s="102"/>
    </row>
    <row r="193" spans="1:11">
      <c r="A193" s="102" t="s">
        <v>123</v>
      </c>
      <c r="B193" s="104">
        <v>4</v>
      </c>
      <c r="C193" s="126">
        <v>318.14</v>
      </c>
      <c r="D193" s="107">
        <f>ROUND('DF Calculation'!L86,2)</f>
        <v>5.32</v>
      </c>
      <c r="E193" s="108">
        <f t="shared" si="27"/>
        <v>323.45999999999998</v>
      </c>
      <c r="F193" s="103"/>
      <c r="G193" s="107"/>
      <c r="H193" s="108"/>
      <c r="I193" s="108"/>
      <c r="J193" s="109"/>
      <c r="K193" s="102"/>
    </row>
    <row r="194" spans="1:11">
      <c r="A194" s="102" t="s">
        <v>138</v>
      </c>
      <c r="B194" s="104"/>
      <c r="C194" s="126"/>
      <c r="D194" s="108"/>
      <c r="E194" s="103"/>
      <c r="F194" s="103"/>
      <c r="G194" s="103"/>
      <c r="H194" s="108"/>
      <c r="I194" s="108"/>
      <c r="J194" s="109"/>
      <c r="K194" s="102"/>
    </row>
    <row r="195" spans="1:11">
      <c r="A195" s="102" t="s">
        <v>139</v>
      </c>
      <c r="B195" s="104">
        <v>4</v>
      </c>
      <c r="C195" s="126">
        <v>175.69</v>
      </c>
      <c r="D195" s="108">
        <f>D191</f>
        <v>3</v>
      </c>
      <c r="E195" s="108">
        <f t="shared" si="27"/>
        <v>178.69</v>
      </c>
      <c r="F195" s="103"/>
      <c r="G195" s="107"/>
      <c r="H195" s="108"/>
      <c r="I195" s="108"/>
      <c r="J195" s="109"/>
      <c r="K195" s="102"/>
    </row>
    <row r="196" spans="1:11">
      <c r="A196" s="102" t="s">
        <v>122</v>
      </c>
      <c r="B196" s="104">
        <v>4</v>
      </c>
      <c r="C196" s="126">
        <v>229.22</v>
      </c>
      <c r="D196" s="108">
        <f t="shared" ref="D196:D197" si="28">D192</f>
        <v>3.88</v>
      </c>
      <c r="E196" s="108">
        <f t="shared" si="27"/>
        <v>233.1</v>
      </c>
      <c r="F196" s="103"/>
      <c r="G196" s="107"/>
      <c r="H196" s="108"/>
      <c r="I196" s="108"/>
      <c r="J196" s="109"/>
      <c r="K196" s="102"/>
    </row>
    <row r="197" spans="1:11">
      <c r="A197" s="102" t="s">
        <v>123</v>
      </c>
      <c r="B197" s="104">
        <v>4</v>
      </c>
      <c r="C197" s="126">
        <v>324.19</v>
      </c>
      <c r="D197" s="107">
        <f t="shared" si="28"/>
        <v>5.32</v>
      </c>
      <c r="E197" s="108">
        <f t="shared" si="27"/>
        <v>329.51</v>
      </c>
      <c r="F197" s="103"/>
      <c r="G197" s="107"/>
      <c r="H197" s="108"/>
      <c r="I197" s="108"/>
      <c r="J197" s="109"/>
      <c r="K197" s="102"/>
    </row>
    <row r="198" spans="1:11">
      <c r="A198" s="102"/>
      <c r="B198" s="102"/>
      <c r="C198" s="139"/>
      <c r="D198" s="102"/>
      <c r="E198" s="103"/>
      <c r="F198" s="103"/>
      <c r="G198" s="103"/>
      <c r="H198" s="108"/>
      <c r="I198" s="108"/>
      <c r="J198" s="102"/>
      <c r="K198" s="102"/>
    </row>
    <row r="199" spans="1:11">
      <c r="A199" s="106" t="s">
        <v>453</v>
      </c>
      <c r="B199" s="102"/>
      <c r="C199" s="126"/>
      <c r="D199" s="102"/>
      <c r="E199" s="103"/>
      <c r="F199" s="103"/>
      <c r="G199" s="103"/>
      <c r="H199" s="108"/>
      <c r="I199" s="108"/>
      <c r="J199" s="102"/>
      <c r="K199" s="102"/>
    </row>
    <row r="200" spans="1:11">
      <c r="A200" s="102" t="s">
        <v>122</v>
      </c>
      <c r="B200" s="104">
        <v>5</v>
      </c>
      <c r="C200" s="126">
        <v>241.51</v>
      </c>
      <c r="D200" s="108">
        <f>ROUND('DF Calculation'!L81,2)</f>
        <v>4.8499999999999996</v>
      </c>
      <c r="E200" s="108">
        <f t="shared" ref="E200:E201" si="29">SUM(C200:D200)</f>
        <v>246.35999999999999</v>
      </c>
      <c r="F200" s="103"/>
      <c r="G200" s="107"/>
      <c r="H200" s="108"/>
      <c r="I200" s="108"/>
      <c r="J200" s="109"/>
      <c r="K200" s="102"/>
    </row>
    <row r="201" spans="1:11">
      <c r="A201" s="102" t="s">
        <v>123</v>
      </c>
      <c r="B201" s="104">
        <v>5</v>
      </c>
      <c r="C201" s="126">
        <v>344.72</v>
      </c>
      <c r="D201" s="107">
        <f>ROUND('DF Calculation'!L130,2)</f>
        <v>6.65</v>
      </c>
      <c r="E201" s="108">
        <f t="shared" si="29"/>
        <v>351.37</v>
      </c>
      <c r="F201" s="103"/>
      <c r="G201" s="107"/>
      <c r="H201" s="108"/>
      <c r="I201" s="108"/>
      <c r="J201" s="109"/>
      <c r="K201" s="102"/>
    </row>
    <row r="202" spans="1:11">
      <c r="A202" s="102" t="s">
        <v>138</v>
      </c>
      <c r="B202" s="104"/>
      <c r="C202" s="126"/>
      <c r="D202" s="108"/>
      <c r="E202" s="103"/>
      <c r="F202" s="103"/>
      <c r="G202" s="103"/>
      <c r="H202" s="108"/>
      <c r="I202" s="108"/>
      <c r="J202" s="109"/>
      <c r="K202" s="102"/>
    </row>
    <row r="203" spans="1:11">
      <c r="A203" s="102" t="s">
        <v>122</v>
      </c>
      <c r="B203" s="104">
        <v>5</v>
      </c>
      <c r="C203" s="126">
        <v>247.56</v>
      </c>
      <c r="D203" s="108">
        <f>D200</f>
        <v>4.8499999999999996</v>
      </c>
      <c r="E203" s="108">
        <f t="shared" ref="E203:E204" si="30">SUM(C203:D203)</f>
        <v>252.41</v>
      </c>
      <c r="F203" s="103"/>
      <c r="G203" s="107"/>
      <c r="H203" s="108"/>
      <c r="I203" s="108"/>
      <c r="J203" s="109"/>
      <c r="K203" s="102"/>
    </row>
    <row r="204" spans="1:11">
      <c r="A204" s="102" t="s">
        <v>123</v>
      </c>
      <c r="B204" s="104">
        <v>5</v>
      </c>
      <c r="C204" s="126">
        <v>350.77</v>
      </c>
      <c r="D204" s="108">
        <f>D201</f>
        <v>6.65</v>
      </c>
      <c r="E204" s="108">
        <f t="shared" si="30"/>
        <v>357.41999999999996</v>
      </c>
      <c r="F204" s="103"/>
      <c r="G204" s="107"/>
      <c r="H204" s="108"/>
      <c r="I204" s="108"/>
      <c r="J204" s="109"/>
      <c r="K204" s="102"/>
    </row>
    <row r="205" spans="1:11">
      <c r="A205" s="102"/>
      <c r="B205" s="102"/>
      <c r="C205" s="139"/>
      <c r="D205" s="102"/>
      <c r="E205" s="103"/>
      <c r="F205" s="103"/>
      <c r="G205" s="103"/>
      <c r="H205" s="108"/>
      <c r="I205" s="108"/>
      <c r="J205" s="102"/>
      <c r="K205" s="102"/>
    </row>
    <row r="206" spans="1:11">
      <c r="A206" s="106" t="s">
        <v>454</v>
      </c>
      <c r="B206" s="102"/>
      <c r="C206" s="126"/>
      <c r="D206" s="102"/>
      <c r="E206" s="103"/>
      <c r="F206" s="103"/>
      <c r="G206" s="103"/>
      <c r="H206" s="108"/>
      <c r="I206" s="108"/>
      <c r="J206" s="102"/>
      <c r="K206" s="102"/>
    </row>
    <row r="207" spans="1:11">
      <c r="A207" s="102" t="s">
        <v>121</v>
      </c>
      <c r="B207" s="104">
        <v>2.25</v>
      </c>
      <c r="C207" s="126">
        <v>97.03</v>
      </c>
      <c r="D207" s="108">
        <f>D171</f>
        <v>1.1499999999999999</v>
      </c>
      <c r="E207" s="108">
        <f t="shared" ref="E207:E213" si="31">SUM(C207:D207)</f>
        <v>98.18</v>
      </c>
      <c r="F207" s="103"/>
      <c r="G207" s="107"/>
      <c r="H207" s="108"/>
      <c r="I207" s="108"/>
      <c r="J207" s="108"/>
      <c r="K207" s="108"/>
    </row>
    <row r="208" spans="1:11">
      <c r="A208" s="102" t="s">
        <v>122</v>
      </c>
      <c r="B208" s="104">
        <v>2.25</v>
      </c>
      <c r="C208" s="126">
        <v>179.63</v>
      </c>
      <c r="D208" s="108">
        <f t="shared" ref="D208:D209" si="32">D172</f>
        <v>2.1800000000000002</v>
      </c>
      <c r="E208" s="108">
        <f t="shared" si="31"/>
        <v>181.81</v>
      </c>
      <c r="F208" s="103"/>
      <c r="G208" s="107"/>
      <c r="H208" s="108"/>
      <c r="I208" s="108"/>
      <c r="J208" s="108"/>
      <c r="K208" s="108"/>
    </row>
    <row r="209" spans="1:11">
      <c r="A209" s="102" t="s">
        <v>123</v>
      </c>
      <c r="B209" s="104">
        <v>2.25</v>
      </c>
      <c r="C209" s="126">
        <v>256.37</v>
      </c>
      <c r="D209" s="108">
        <f t="shared" si="32"/>
        <v>2.99</v>
      </c>
      <c r="E209" s="108">
        <f t="shared" si="31"/>
        <v>259.36</v>
      </c>
      <c r="F209" s="103"/>
      <c r="G209" s="107"/>
      <c r="H209" s="108"/>
      <c r="I209" s="108"/>
      <c r="J209" s="108"/>
      <c r="K209" s="108"/>
    </row>
    <row r="210" spans="1:11">
      <c r="A210" s="102" t="s">
        <v>138</v>
      </c>
      <c r="B210" s="104"/>
      <c r="C210" s="126"/>
      <c r="D210" s="108"/>
      <c r="E210" s="103"/>
      <c r="F210" s="103"/>
      <c r="G210" s="103"/>
      <c r="H210" s="108"/>
      <c r="I210" s="108"/>
      <c r="J210" s="102"/>
      <c r="K210" s="102"/>
    </row>
    <row r="211" spans="1:11">
      <c r="A211" s="102" t="s">
        <v>121</v>
      </c>
      <c r="B211" s="104">
        <v>2.25</v>
      </c>
      <c r="C211" s="126">
        <v>103.08</v>
      </c>
      <c r="D211" s="108">
        <f>D207</f>
        <v>1.1499999999999999</v>
      </c>
      <c r="E211" s="108">
        <f t="shared" si="31"/>
        <v>104.23</v>
      </c>
      <c r="F211" s="103"/>
      <c r="G211" s="107"/>
      <c r="H211" s="108"/>
      <c r="I211" s="108"/>
      <c r="J211" s="108"/>
      <c r="K211" s="108"/>
    </row>
    <row r="212" spans="1:11">
      <c r="A212" s="102" t="s">
        <v>122</v>
      </c>
      <c r="B212" s="104">
        <v>2.25</v>
      </c>
      <c r="C212" s="126">
        <v>185.68</v>
      </c>
      <c r="D212" s="108">
        <f t="shared" ref="D212:D213" si="33">D208</f>
        <v>2.1800000000000002</v>
      </c>
      <c r="E212" s="108">
        <f t="shared" si="31"/>
        <v>187.86</v>
      </c>
      <c r="F212" s="103"/>
      <c r="G212" s="107"/>
      <c r="H212" s="108"/>
      <c r="I212" s="108"/>
      <c r="J212" s="108"/>
      <c r="K212" s="108"/>
    </row>
    <row r="213" spans="1:11">
      <c r="A213" s="102" t="s">
        <v>123</v>
      </c>
      <c r="B213" s="104">
        <v>2.25</v>
      </c>
      <c r="C213" s="126">
        <v>262.42</v>
      </c>
      <c r="D213" s="108">
        <f t="shared" si="33"/>
        <v>2.99</v>
      </c>
      <c r="E213" s="108">
        <f t="shared" si="31"/>
        <v>265.41000000000003</v>
      </c>
      <c r="F213" s="103"/>
      <c r="G213" s="107"/>
      <c r="H213" s="108"/>
      <c r="I213" s="108"/>
      <c r="J213" s="108"/>
      <c r="K213" s="108"/>
    </row>
    <row r="214" spans="1:11">
      <c r="A214" s="102"/>
      <c r="B214" s="102"/>
      <c r="C214" s="139"/>
      <c r="D214" s="102"/>
      <c r="E214" s="103"/>
      <c r="F214" s="103"/>
      <c r="G214" s="103"/>
      <c r="H214" s="108"/>
      <c r="I214" s="108"/>
      <c r="J214" s="102"/>
      <c r="K214" s="102"/>
    </row>
    <row r="215" spans="1:11">
      <c r="A215" s="106" t="s">
        <v>455</v>
      </c>
      <c r="B215" s="102"/>
      <c r="C215" s="126"/>
      <c r="D215" s="102"/>
      <c r="E215" s="103"/>
      <c r="F215" s="103"/>
      <c r="G215" s="103"/>
      <c r="H215" s="108"/>
      <c r="I215" s="108"/>
      <c r="J215" s="102"/>
      <c r="K215" s="102"/>
    </row>
    <row r="216" spans="1:11">
      <c r="A216" s="102" t="s">
        <v>121</v>
      </c>
      <c r="B216" s="104">
        <v>3</v>
      </c>
      <c r="C216" s="126">
        <v>124.6</v>
      </c>
      <c r="D216" s="108">
        <f>D180</f>
        <v>1.54</v>
      </c>
      <c r="E216" s="108">
        <f t="shared" ref="E216:E219" si="34">SUM(C216:D216)</f>
        <v>126.14</v>
      </c>
      <c r="F216" s="103"/>
      <c r="G216" s="107"/>
      <c r="H216" s="108"/>
      <c r="I216" s="108"/>
      <c r="J216" s="108"/>
      <c r="K216" s="108"/>
    </row>
    <row r="217" spans="1:11">
      <c r="A217" s="102" t="s">
        <v>139</v>
      </c>
      <c r="B217" s="104">
        <v>3</v>
      </c>
      <c r="C217" s="126">
        <v>173.48</v>
      </c>
      <c r="D217" s="108">
        <f t="shared" ref="D217:D219" si="35">D181</f>
        <v>2.25</v>
      </c>
      <c r="E217" s="108">
        <f t="shared" si="34"/>
        <v>175.73</v>
      </c>
      <c r="F217" s="103"/>
      <c r="G217" s="107"/>
      <c r="H217" s="108"/>
      <c r="I217" s="108"/>
      <c r="J217" s="108"/>
      <c r="K217" s="108"/>
    </row>
    <row r="218" spans="1:11">
      <c r="A218" s="102" t="s">
        <v>122</v>
      </c>
      <c r="B218" s="104">
        <v>3</v>
      </c>
      <c r="C218" s="126">
        <v>218.72</v>
      </c>
      <c r="D218" s="108">
        <f t="shared" si="35"/>
        <v>2.91</v>
      </c>
      <c r="E218" s="108">
        <f t="shared" si="34"/>
        <v>221.63</v>
      </c>
      <c r="F218" s="103"/>
      <c r="G218" s="107"/>
      <c r="H218" s="108"/>
      <c r="I218" s="108"/>
      <c r="J218" s="108"/>
      <c r="K218" s="108"/>
    </row>
    <row r="219" spans="1:11">
      <c r="A219" s="102" t="s">
        <v>123</v>
      </c>
      <c r="B219" s="104">
        <v>3</v>
      </c>
      <c r="C219" s="126">
        <v>326.49</v>
      </c>
      <c r="D219" s="108">
        <f t="shared" si="35"/>
        <v>3.99</v>
      </c>
      <c r="E219" s="108">
        <f t="shared" si="34"/>
        <v>330.48</v>
      </c>
      <c r="F219" s="103"/>
      <c r="G219" s="107"/>
      <c r="H219" s="108"/>
      <c r="I219" s="108"/>
      <c r="J219" s="108"/>
      <c r="K219" s="108"/>
    </row>
    <row r="220" spans="1:11">
      <c r="A220" s="106" t="s">
        <v>138</v>
      </c>
      <c r="B220" s="104"/>
      <c r="C220" s="126"/>
      <c r="D220" s="108"/>
      <c r="E220" s="103"/>
      <c r="F220" s="103"/>
      <c r="G220" s="103"/>
      <c r="H220" s="108"/>
      <c r="I220" s="108"/>
      <c r="J220" s="102"/>
      <c r="K220" s="102"/>
    </row>
    <row r="221" spans="1:11">
      <c r="A221" s="102" t="s">
        <v>121</v>
      </c>
      <c r="B221" s="104">
        <v>3</v>
      </c>
      <c r="C221" s="126">
        <v>130.65</v>
      </c>
      <c r="D221" s="108">
        <f>D216</f>
        <v>1.54</v>
      </c>
      <c r="E221" s="108">
        <f t="shared" ref="E221:E224" si="36">SUM(C221:D221)</f>
        <v>132.19</v>
      </c>
      <c r="F221" s="103"/>
      <c r="G221" s="107"/>
      <c r="H221" s="108"/>
      <c r="I221" s="108"/>
      <c r="J221" s="102"/>
      <c r="K221" s="102"/>
    </row>
    <row r="222" spans="1:11">
      <c r="A222" s="102" t="s">
        <v>139</v>
      </c>
      <c r="B222" s="104">
        <v>3</v>
      </c>
      <c r="C222" s="126">
        <v>179.53</v>
      </c>
      <c r="D222" s="108">
        <f t="shared" ref="D222:D224" si="37">D217</f>
        <v>2.25</v>
      </c>
      <c r="E222" s="108">
        <f t="shared" si="36"/>
        <v>181.78</v>
      </c>
      <c r="F222" s="103"/>
      <c r="G222" s="107"/>
      <c r="H222" s="108"/>
      <c r="I222" s="108"/>
      <c r="J222" s="102"/>
      <c r="K222" s="102"/>
    </row>
    <row r="223" spans="1:11">
      <c r="A223" s="102" t="s">
        <v>122</v>
      </c>
      <c r="B223" s="104">
        <v>3</v>
      </c>
      <c r="C223" s="126">
        <v>224.77</v>
      </c>
      <c r="D223" s="108">
        <f t="shared" si="37"/>
        <v>2.91</v>
      </c>
      <c r="E223" s="108">
        <f t="shared" si="36"/>
        <v>227.68</v>
      </c>
      <c r="F223" s="103"/>
      <c r="G223" s="107"/>
      <c r="H223" s="108"/>
      <c r="I223" s="108"/>
      <c r="J223" s="102"/>
      <c r="K223" s="102"/>
    </row>
    <row r="224" spans="1:11">
      <c r="A224" s="102" t="s">
        <v>123</v>
      </c>
      <c r="B224" s="104">
        <v>3</v>
      </c>
      <c r="C224" s="126">
        <v>332.54</v>
      </c>
      <c r="D224" s="108">
        <f t="shared" si="37"/>
        <v>3.99</v>
      </c>
      <c r="E224" s="108">
        <f t="shared" si="36"/>
        <v>336.53000000000003</v>
      </c>
      <c r="F224" s="103"/>
      <c r="G224" s="107"/>
      <c r="H224" s="108"/>
      <c r="I224" s="108"/>
      <c r="J224" s="102"/>
      <c r="K224" s="102"/>
    </row>
    <row r="225" spans="1:11">
      <c r="A225" s="102"/>
      <c r="B225" s="102"/>
      <c r="C225" s="139"/>
      <c r="D225" s="102"/>
      <c r="E225" s="103"/>
      <c r="F225" s="103"/>
      <c r="G225" s="103"/>
      <c r="H225" s="108"/>
      <c r="I225" s="108"/>
      <c r="J225" s="102"/>
      <c r="K225" s="102"/>
    </row>
    <row r="226" spans="1:11">
      <c r="A226" s="106" t="s">
        <v>456</v>
      </c>
      <c r="B226" s="102"/>
      <c r="C226" s="126"/>
      <c r="D226" s="102"/>
      <c r="E226" s="103"/>
      <c r="F226" s="103"/>
      <c r="G226" s="103"/>
      <c r="H226" s="108"/>
      <c r="I226" s="108"/>
      <c r="J226" s="102"/>
      <c r="K226" s="102"/>
    </row>
    <row r="227" spans="1:11">
      <c r="A227" s="102" t="s">
        <v>139</v>
      </c>
      <c r="B227" s="104">
        <v>4</v>
      </c>
      <c r="C227" s="126">
        <v>222.56</v>
      </c>
      <c r="D227" s="107">
        <f>D191</f>
        <v>3</v>
      </c>
      <c r="E227" s="108">
        <f t="shared" ref="E227:E229" si="38">SUM(C227:D227)</f>
        <v>225.56</v>
      </c>
      <c r="F227" s="103"/>
      <c r="G227" s="107"/>
      <c r="H227" s="108"/>
      <c r="I227" s="108"/>
      <c r="J227" s="102"/>
      <c r="K227" s="102"/>
    </row>
    <row r="228" spans="1:11">
      <c r="A228" s="102" t="s">
        <v>122</v>
      </c>
      <c r="B228" s="104">
        <v>4</v>
      </c>
      <c r="C228" s="126">
        <v>293.73</v>
      </c>
      <c r="D228" s="107">
        <f t="shared" ref="D228:D229" si="39">D192</f>
        <v>3.88</v>
      </c>
      <c r="E228" s="108">
        <f t="shared" si="38"/>
        <v>297.61</v>
      </c>
      <c r="F228" s="103"/>
      <c r="G228" s="107"/>
      <c r="H228" s="108"/>
      <c r="I228" s="108"/>
      <c r="J228" s="102"/>
      <c r="K228" s="102"/>
    </row>
    <row r="229" spans="1:11">
      <c r="A229" s="102" t="s">
        <v>123</v>
      </c>
      <c r="B229" s="104">
        <v>4</v>
      </c>
      <c r="C229" s="126">
        <v>423.98</v>
      </c>
      <c r="D229" s="107">
        <f t="shared" si="39"/>
        <v>5.32</v>
      </c>
      <c r="E229" s="108">
        <f t="shared" si="38"/>
        <v>429.3</v>
      </c>
      <c r="F229" s="103"/>
      <c r="G229" s="107"/>
      <c r="H229" s="108"/>
      <c r="I229" s="108"/>
      <c r="J229" s="102"/>
      <c r="K229" s="102"/>
    </row>
    <row r="230" spans="1:11">
      <c r="A230" s="102" t="s">
        <v>138</v>
      </c>
      <c r="B230" s="104"/>
      <c r="C230" s="126"/>
      <c r="D230" s="107"/>
      <c r="E230" s="107"/>
      <c r="F230" s="103"/>
      <c r="G230" s="107"/>
      <c r="H230" s="108"/>
      <c r="I230" s="108"/>
      <c r="J230" s="102"/>
      <c r="K230" s="102"/>
    </row>
    <row r="231" spans="1:11">
      <c r="A231" s="102" t="s">
        <v>139</v>
      </c>
      <c r="B231" s="104">
        <v>4</v>
      </c>
      <c r="C231" s="126">
        <v>228.61</v>
      </c>
      <c r="D231" s="107">
        <f>D227</f>
        <v>3</v>
      </c>
      <c r="E231" s="108">
        <f t="shared" ref="E231:E233" si="40">SUM(C231:D231)</f>
        <v>231.61</v>
      </c>
      <c r="F231" s="103"/>
      <c r="G231" s="107"/>
      <c r="H231" s="108"/>
      <c r="I231" s="108"/>
      <c r="J231" s="102"/>
      <c r="K231" s="102"/>
    </row>
    <row r="232" spans="1:11">
      <c r="A232" s="102" t="s">
        <v>122</v>
      </c>
      <c r="B232" s="104">
        <v>4</v>
      </c>
      <c r="C232" s="126">
        <v>299.77999999999997</v>
      </c>
      <c r="D232" s="107">
        <f t="shared" ref="D232:D233" si="41">D228</f>
        <v>3.88</v>
      </c>
      <c r="E232" s="108">
        <f t="shared" si="40"/>
        <v>303.65999999999997</v>
      </c>
      <c r="F232" s="103"/>
      <c r="G232" s="107"/>
      <c r="H232" s="108"/>
      <c r="I232" s="108"/>
      <c r="J232" s="102"/>
      <c r="K232" s="102"/>
    </row>
    <row r="233" spans="1:11">
      <c r="A233" s="102" t="s">
        <v>123</v>
      </c>
      <c r="B233" s="104">
        <v>4</v>
      </c>
      <c r="C233" s="126">
        <v>430.03</v>
      </c>
      <c r="D233" s="107">
        <f t="shared" si="41"/>
        <v>5.32</v>
      </c>
      <c r="E233" s="108">
        <f t="shared" si="40"/>
        <v>435.34999999999997</v>
      </c>
      <c r="F233" s="103"/>
      <c r="G233" s="107"/>
      <c r="H233" s="108"/>
      <c r="I233" s="108"/>
      <c r="J233" s="102"/>
      <c r="K233" s="102"/>
    </row>
    <row r="234" spans="1:11">
      <c r="A234" s="102"/>
      <c r="B234" s="102"/>
      <c r="C234" s="139"/>
      <c r="D234" s="102"/>
      <c r="E234" s="107"/>
      <c r="F234" s="103"/>
      <c r="G234" s="107"/>
      <c r="H234" s="108"/>
      <c r="I234" s="108"/>
      <c r="J234" s="102"/>
      <c r="K234" s="102"/>
    </row>
    <row r="235" spans="1:11">
      <c r="A235" s="106" t="s">
        <v>457</v>
      </c>
      <c r="B235" s="102"/>
      <c r="C235" s="126"/>
      <c r="D235" s="102"/>
      <c r="E235" s="107"/>
      <c r="F235" s="103"/>
      <c r="G235" s="107"/>
      <c r="H235" s="108"/>
      <c r="I235" s="108"/>
      <c r="J235" s="102"/>
      <c r="K235" s="102"/>
    </row>
    <row r="236" spans="1:11">
      <c r="A236" s="102" t="s">
        <v>122</v>
      </c>
      <c r="B236" s="104">
        <v>5</v>
      </c>
      <c r="C236" s="126">
        <v>339.21</v>
      </c>
      <c r="D236" s="108">
        <f>D200</f>
        <v>4.8499999999999996</v>
      </c>
      <c r="E236" s="108">
        <f t="shared" ref="E236:E237" si="42">SUM(C236:D236)</f>
        <v>344.06</v>
      </c>
      <c r="F236" s="103"/>
      <c r="G236" s="107"/>
      <c r="H236" s="108"/>
      <c r="I236" s="108"/>
      <c r="J236" s="102"/>
      <c r="K236" s="102"/>
    </row>
    <row r="237" spans="1:11">
      <c r="A237" s="102" t="s">
        <v>123</v>
      </c>
      <c r="B237" s="104">
        <v>5</v>
      </c>
      <c r="C237" s="126">
        <v>490.04</v>
      </c>
      <c r="D237" s="108">
        <f>D201</f>
        <v>6.65</v>
      </c>
      <c r="E237" s="108">
        <f t="shared" si="42"/>
        <v>496.69</v>
      </c>
      <c r="F237" s="103"/>
      <c r="G237" s="107"/>
      <c r="H237" s="108"/>
      <c r="I237" s="108"/>
      <c r="J237" s="102"/>
      <c r="K237" s="102"/>
    </row>
    <row r="238" spans="1:11">
      <c r="A238" s="102" t="s">
        <v>138</v>
      </c>
      <c r="B238" s="104"/>
      <c r="C238" s="126"/>
      <c r="D238" s="108"/>
      <c r="E238" s="107"/>
      <c r="F238" s="103"/>
      <c r="G238" s="107"/>
      <c r="H238" s="108"/>
      <c r="I238" s="108"/>
      <c r="J238" s="102"/>
      <c r="K238" s="102"/>
    </row>
    <row r="239" spans="1:11">
      <c r="A239" s="102" t="s">
        <v>122</v>
      </c>
      <c r="B239" s="104">
        <v>5</v>
      </c>
      <c r="C239" s="126">
        <v>345.26</v>
      </c>
      <c r="D239" s="108">
        <f>D236</f>
        <v>4.8499999999999996</v>
      </c>
      <c r="E239" s="108">
        <f t="shared" ref="E239:E240" si="43">SUM(C239:D239)</f>
        <v>350.11</v>
      </c>
      <c r="F239" s="103"/>
      <c r="G239" s="107"/>
      <c r="H239" s="108"/>
      <c r="I239" s="108"/>
      <c r="J239" s="102"/>
      <c r="K239" s="102"/>
    </row>
    <row r="240" spans="1:11">
      <c r="A240" s="102" t="s">
        <v>123</v>
      </c>
      <c r="B240" s="104">
        <v>5</v>
      </c>
      <c r="C240" s="126">
        <v>496.09</v>
      </c>
      <c r="D240" s="108">
        <f>D237</f>
        <v>6.65</v>
      </c>
      <c r="E240" s="108">
        <f t="shared" si="43"/>
        <v>502.73999999999995</v>
      </c>
      <c r="F240" s="103"/>
      <c r="G240" s="107"/>
      <c r="H240" s="108"/>
      <c r="I240" s="108"/>
      <c r="J240" s="102"/>
      <c r="K240" s="102"/>
    </row>
    <row r="241" spans="1:11">
      <c r="A241" s="102"/>
      <c r="B241" s="102"/>
      <c r="C241" s="139"/>
      <c r="D241" s="102"/>
      <c r="E241" s="103"/>
      <c r="F241" s="103"/>
      <c r="G241" s="103"/>
      <c r="H241" s="102"/>
      <c r="I241" s="108"/>
      <c r="J241" s="102"/>
      <c r="K241" s="102"/>
    </row>
    <row r="242" spans="1:11">
      <c r="A242" s="102"/>
      <c r="B242" s="102"/>
      <c r="C242" s="126"/>
      <c r="D242" s="102"/>
      <c r="E242" s="103"/>
      <c r="F242" s="103"/>
      <c r="G242" s="103"/>
      <c r="H242" s="102"/>
      <c r="I242" s="108"/>
      <c r="J242" s="102"/>
      <c r="K242" s="102"/>
    </row>
    <row r="243" spans="1:11">
      <c r="A243" s="102"/>
      <c r="B243" s="102"/>
      <c r="C243" s="126"/>
      <c r="D243" s="102"/>
      <c r="E243" s="103"/>
      <c r="F243" s="103"/>
      <c r="G243" s="103"/>
      <c r="H243" s="102"/>
      <c r="I243" s="108"/>
      <c r="J243" s="102"/>
      <c r="K243" s="102"/>
    </row>
    <row r="244" spans="1:11">
      <c r="A244" s="102"/>
      <c r="B244" s="102"/>
      <c r="C244" s="139"/>
      <c r="D244" s="102"/>
      <c r="E244" s="103"/>
      <c r="F244" s="103"/>
      <c r="G244" s="103"/>
      <c r="H244" s="102"/>
      <c r="I244" s="108"/>
      <c r="J244" s="102"/>
      <c r="K244" s="102"/>
    </row>
    <row r="245" spans="1:11">
      <c r="A245" s="103"/>
      <c r="B245" s="103"/>
      <c r="C245" s="139"/>
      <c r="D245" s="102"/>
      <c r="E245" s="103"/>
      <c r="F245" s="103"/>
      <c r="G245" s="103"/>
      <c r="H245" s="102"/>
      <c r="I245" s="108"/>
      <c r="J245" s="102"/>
      <c r="K245" s="102"/>
    </row>
    <row r="246" spans="1:11">
      <c r="A246" s="102"/>
      <c r="B246" s="102"/>
      <c r="C246" s="139"/>
      <c r="D246" s="102"/>
      <c r="E246" s="103"/>
      <c r="F246" s="103"/>
      <c r="G246" s="103"/>
      <c r="H246" s="102"/>
      <c r="I246" s="108"/>
      <c r="J246" s="102"/>
      <c r="K246" s="102"/>
    </row>
    <row r="247" spans="1:11">
      <c r="A247" s="106"/>
      <c r="B247" s="102"/>
      <c r="C247" s="139"/>
      <c r="D247" s="102"/>
      <c r="E247" s="103"/>
      <c r="F247" s="103"/>
      <c r="G247" s="103"/>
      <c r="H247" s="102"/>
      <c r="I247" s="108"/>
      <c r="J247" s="102"/>
      <c r="K247" s="102"/>
    </row>
    <row r="248" spans="1:11">
      <c r="A248" s="106"/>
      <c r="B248" s="102"/>
      <c r="C248" s="139"/>
      <c r="D248" s="102"/>
      <c r="E248" s="103"/>
      <c r="F248" s="103"/>
      <c r="G248" s="103"/>
      <c r="H248" s="102"/>
      <c r="I248" s="108"/>
      <c r="J248" s="102"/>
      <c r="K248" s="102"/>
    </row>
  </sheetData>
  <pageMargins left="0.7" right="0.7" top="0.75" bottom="0.75" header="0.3" footer="0.3"/>
  <pageSetup scale="87" orientation="portrait" r:id="rId1"/>
  <headerFooter>
    <oddFooter>&amp;L&amp;F - &amp;A&amp;R&amp;P of &amp;N</oddFooter>
  </headerFooter>
  <rowBreaks count="3" manualBreakCount="3">
    <brk id="77" max="16383" man="1"/>
    <brk id="132" max="16383" man="1"/>
    <brk id="1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9"/>
  <sheetViews>
    <sheetView zoomScale="85" zoomScaleNormal="85" zoomScalePageLayoutView="85" workbookViewId="0">
      <pane xSplit="1" ySplit="6" topLeftCell="B61" activePane="bottomRight" state="frozen"/>
      <selection pane="topRight" activeCell="B1" sqref="B1"/>
      <selection pane="bottomLeft" activeCell="A7" sqref="A7"/>
      <selection pane="bottomRight" activeCell="A103" sqref="A103"/>
    </sheetView>
  </sheetViews>
  <sheetFormatPr defaultRowHeight="15"/>
  <cols>
    <col min="1" max="1" width="32.5703125" style="231" customWidth="1"/>
    <col min="2" max="2" width="17.5703125" style="231" customWidth="1"/>
    <col min="3" max="3" width="15.85546875" style="231" bestFit="1" customWidth="1"/>
    <col min="4" max="5" width="15.85546875" style="231" customWidth="1"/>
    <col min="6" max="6" width="2.28515625" style="231" customWidth="1"/>
    <col min="7" max="7" width="15.5703125" style="231" customWidth="1"/>
    <col min="8" max="8" width="13.85546875" style="231" customWidth="1"/>
    <col min="9" max="16384" width="9.140625" style="231"/>
  </cols>
  <sheetData>
    <row r="1" spans="1:5">
      <c r="A1" s="235" t="s">
        <v>95</v>
      </c>
      <c r="E1" s="120"/>
    </row>
    <row r="2" spans="1:5">
      <c r="A2" s="235" t="s">
        <v>96</v>
      </c>
    </row>
    <row r="3" spans="1:5">
      <c r="A3" s="120" t="s">
        <v>407</v>
      </c>
      <c r="B3" s="190" t="s">
        <v>415</v>
      </c>
      <c r="C3" s="191" t="s">
        <v>413</v>
      </c>
      <c r="D3" s="191" t="s">
        <v>16</v>
      </c>
      <c r="E3" s="120"/>
    </row>
    <row r="4" spans="1:5">
      <c r="A4" s="230" t="s">
        <v>461</v>
      </c>
      <c r="B4" s="118" t="s">
        <v>81</v>
      </c>
      <c r="C4" s="118" t="s">
        <v>81</v>
      </c>
      <c r="D4" s="118" t="s">
        <v>81</v>
      </c>
      <c r="E4" s="118" t="s">
        <v>247</v>
      </c>
    </row>
    <row r="5" spans="1:5">
      <c r="B5" s="118" t="s">
        <v>140</v>
      </c>
      <c r="C5" s="118" t="s">
        <v>140</v>
      </c>
      <c r="D5" s="118" t="s">
        <v>140</v>
      </c>
      <c r="E5" s="118" t="s">
        <v>140</v>
      </c>
    </row>
    <row r="6" spans="1:5">
      <c r="A6" s="117" t="s">
        <v>89</v>
      </c>
      <c r="B6" s="118" t="s">
        <v>82</v>
      </c>
      <c r="C6" s="118" t="s">
        <v>82</v>
      </c>
      <c r="D6" s="118" t="s">
        <v>82</v>
      </c>
      <c r="E6" s="118" t="s">
        <v>82</v>
      </c>
    </row>
    <row r="7" spans="1:5">
      <c r="A7" s="236" t="s">
        <v>141</v>
      </c>
    </row>
    <row r="8" spans="1:5">
      <c r="A8" s="114" t="s">
        <v>253</v>
      </c>
      <c r="B8" s="222">
        <v>345593.61428571423</v>
      </c>
      <c r="C8" s="223">
        <v>186093.68516674964</v>
      </c>
      <c r="D8" s="223">
        <f>SUM(B8:C8)</f>
        <v>531687.29945246386</v>
      </c>
      <c r="E8" s="224">
        <f>ROUND(D8/References!$H$23,0)</f>
        <v>44307</v>
      </c>
    </row>
    <row r="9" spans="1:5">
      <c r="A9" s="114" t="s">
        <v>254</v>
      </c>
      <c r="B9" s="222">
        <v>389729.47887323948</v>
      </c>
      <c r="C9" s="223">
        <v>208994.31267605635</v>
      </c>
      <c r="D9" s="223">
        <f t="shared" ref="D9:D50" si="0">SUM(B9:C9)</f>
        <v>598723.79154929589</v>
      </c>
      <c r="E9" s="224">
        <f>ROUND(D9/References!$H$23,0)</f>
        <v>49894</v>
      </c>
    </row>
    <row r="10" spans="1:5">
      <c r="A10" s="114" t="s">
        <v>255</v>
      </c>
      <c r="B10" s="222">
        <v>8522.1690140845076</v>
      </c>
      <c r="C10" s="223">
        <v>4954.4471830985922</v>
      </c>
      <c r="D10" s="223">
        <f t="shared" si="0"/>
        <v>13476.616197183099</v>
      </c>
      <c r="E10" s="224">
        <f>ROUND(D10/References!$H$23,0)</f>
        <v>1123</v>
      </c>
    </row>
    <row r="11" spans="1:5">
      <c r="A11" s="114"/>
      <c r="B11" s="222"/>
      <c r="C11" s="223"/>
      <c r="D11" s="223"/>
      <c r="E11" s="224"/>
    </row>
    <row r="12" spans="1:5">
      <c r="A12" s="114" t="s">
        <v>256</v>
      </c>
      <c r="B12" s="222">
        <v>2049.029126213592</v>
      </c>
      <c r="C12" s="223">
        <v>957.99999999999989</v>
      </c>
      <c r="D12" s="223">
        <f t="shared" si="0"/>
        <v>3007.029126213592</v>
      </c>
      <c r="E12" s="224">
        <f>ROUND(D12/References!$H$23,0)</f>
        <v>251</v>
      </c>
    </row>
    <row r="13" spans="1:5">
      <c r="A13" s="114"/>
      <c r="B13" s="222"/>
      <c r="C13" s="223"/>
      <c r="D13" s="223"/>
      <c r="E13" s="223"/>
    </row>
    <row r="14" spans="1:5">
      <c r="A14" s="114" t="s">
        <v>257</v>
      </c>
      <c r="B14" s="222">
        <v>109702.44284798634</v>
      </c>
      <c r="C14" s="223">
        <v>53254.84063312324</v>
      </c>
      <c r="D14" s="223">
        <f t="shared" si="0"/>
        <v>162957.2834811096</v>
      </c>
      <c r="E14" s="224">
        <f>ROUND(D14/References!$H$23,0)</f>
        <v>13580</v>
      </c>
    </row>
    <row r="15" spans="1:5">
      <c r="A15" s="114" t="s">
        <v>258</v>
      </c>
      <c r="B15" s="222">
        <v>274.86666666666667</v>
      </c>
      <c r="C15" s="223">
        <v>164</v>
      </c>
      <c r="D15" s="223">
        <f t="shared" si="0"/>
        <v>438.86666666666667</v>
      </c>
      <c r="E15" s="224">
        <f>ROUND(D15/References!$H$23,0)</f>
        <v>37</v>
      </c>
    </row>
    <row r="16" spans="1:5" s="232" customFormat="1">
      <c r="A16" s="114" t="s">
        <v>259</v>
      </c>
      <c r="B16" s="222">
        <v>1985.566017316017</v>
      </c>
      <c r="C16" s="223">
        <v>1766.3062770562772</v>
      </c>
      <c r="D16" s="223">
        <f t="shared" si="0"/>
        <v>3751.8722943722942</v>
      </c>
      <c r="E16" s="224">
        <f>ROUND(D16/References!$H$23,0)</f>
        <v>313</v>
      </c>
    </row>
    <row r="17" spans="1:5" s="232" customFormat="1">
      <c r="A17" s="114" t="s">
        <v>260</v>
      </c>
      <c r="B17" s="222">
        <v>717.22330097087365</v>
      </c>
      <c r="C17" s="223">
        <v>446.99029126213594</v>
      </c>
      <c r="D17" s="223">
        <f t="shared" si="0"/>
        <v>1164.2135922330096</v>
      </c>
      <c r="E17" s="224">
        <f>ROUND(D17/References!$H$23,0)</f>
        <v>97</v>
      </c>
    </row>
    <row r="18" spans="1:5" s="232" customFormat="1">
      <c r="A18" s="114" t="s">
        <v>261</v>
      </c>
      <c r="B18" s="222">
        <v>48</v>
      </c>
      <c r="C18" s="223">
        <v>31.000000000000004</v>
      </c>
      <c r="D18" s="223">
        <f t="shared" si="0"/>
        <v>79</v>
      </c>
      <c r="E18" s="224">
        <f>ROUND(D18/References!$H$23,0)</f>
        <v>7</v>
      </c>
    </row>
    <row r="19" spans="1:5">
      <c r="A19" s="114" t="s">
        <v>262</v>
      </c>
      <c r="B19" s="222">
        <v>0</v>
      </c>
      <c r="C19" s="223">
        <v>0</v>
      </c>
      <c r="D19" s="223">
        <f t="shared" si="0"/>
        <v>0</v>
      </c>
      <c r="E19" s="224">
        <f>ROUND(D19/References!$H$23,0)</f>
        <v>0</v>
      </c>
    </row>
    <row r="20" spans="1:5">
      <c r="A20" s="114" t="s">
        <v>263</v>
      </c>
      <c r="B20" s="222">
        <v>33</v>
      </c>
      <c r="C20" s="223">
        <v>7.7532467532467528</v>
      </c>
      <c r="D20" s="223">
        <f t="shared" si="0"/>
        <v>40.753246753246756</v>
      </c>
      <c r="E20" s="224">
        <f>ROUND(D20/References!$H$23,0)</f>
        <v>3</v>
      </c>
    </row>
    <row r="21" spans="1:5">
      <c r="A21" s="114" t="s">
        <v>264</v>
      </c>
      <c r="B21" s="222">
        <v>99.739436619718319</v>
      </c>
      <c r="C21" s="223">
        <v>79.544174135723438</v>
      </c>
      <c r="D21" s="223"/>
      <c r="E21" s="224"/>
    </row>
    <row r="22" spans="1:5">
      <c r="A22" s="114"/>
      <c r="B22" s="222"/>
      <c r="C22" s="223"/>
      <c r="D22" s="223"/>
      <c r="E22" s="224"/>
    </row>
    <row r="23" spans="1:5">
      <c r="A23" s="114" t="s">
        <v>265</v>
      </c>
      <c r="B23" s="222">
        <v>2647.5830206378987</v>
      </c>
      <c r="C23" s="223">
        <v>1086.3287992495309</v>
      </c>
      <c r="D23" s="223">
        <f t="shared" si="0"/>
        <v>3733.9118198874294</v>
      </c>
      <c r="E23" s="224">
        <f>ROUND(D23/References!$H$23,0)</f>
        <v>311</v>
      </c>
    </row>
    <row r="24" spans="1:5">
      <c r="A24" s="114" t="s">
        <v>266</v>
      </c>
      <c r="B24" s="222">
        <v>67.887065637065646</v>
      </c>
      <c r="C24" s="223">
        <v>22.999999999999996</v>
      </c>
      <c r="D24" s="223">
        <f t="shared" si="0"/>
        <v>90.887065637065646</v>
      </c>
      <c r="E24" s="224">
        <f>ROUND(D24/References!$H$23,0)</f>
        <v>8</v>
      </c>
    </row>
    <row r="25" spans="1:5">
      <c r="A25" s="114" t="s">
        <v>143</v>
      </c>
      <c r="B25" s="222">
        <v>39.933226065969436</v>
      </c>
      <c r="C25" s="223">
        <v>36</v>
      </c>
      <c r="D25" s="223">
        <f t="shared" si="0"/>
        <v>75.933226065969436</v>
      </c>
      <c r="E25" s="224">
        <f>ROUND(D25/References!$H$23,0)</f>
        <v>6</v>
      </c>
    </row>
    <row r="26" spans="1:5">
      <c r="A26" s="114" t="s">
        <v>267</v>
      </c>
      <c r="B26" s="222">
        <v>910.7894144144143</v>
      </c>
      <c r="C26" s="223">
        <v>818.04054054054029</v>
      </c>
      <c r="D26" s="223">
        <f t="shared" si="0"/>
        <v>1728.8299549549547</v>
      </c>
      <c r="E26" s="224">
        <f>ROUND(D26/References!$H$23,0)</f>
        <v>144</v>
      </c>
    </row>
    <row r="27" spans="1:5">
      <c r="A27" s="114"/>
      <c r="B27" s="222"/>
      <c r="C27" s="223"/>
      <c r="D27" s="223"/>
      <c r="E27" s="224"/>
    </row>
    <row r="28" spans="1:5">
      <c r="A28" s="114" t="s">
        <v>268</v>
      </c>
      <c r="B28" s="222">
        <v>98.96255506607929</v>
      </c>
      <c r="C28" s="223">
        <v>42.654185022026425</v>
      </c>
      <c r="D28" s="223">
        <f t="shared" si="0"/>
        <v>141.6167400881057</v>
      </c>
      <c r="E28" s="224">
        <f>ROUND(D28/References!$H$23,0)</f>
        <v>12</v>
      </c>
    </row>
    <row r="29" spans="1:5">
      <c r="A29" s="114" t="s">
        <v>269</v>
      </c>
      <c r="B29" s="222">
        <v>15</v>
      </c>
      <c r="C29" s="223">
        <v>10</v>
      </c>
      <c r="D29" s="223">
        <f t="shared" si="0"/>
        <v>25</v>
      </c>
      <c r="E29" s="224">
        <f>ROUND(D29/References!$H$23,0)</f>
        <v>2</v>
      </c>
    </row>
    <row r="30" spans="1:5">
      <c r="A30" s="114" t="s">
        <v>270</v>
      </c>
      <c r="B30" s="222">
        <v>236389.22970903522</v>
      </c>
      <c r="C30" s="223">
        <v>100992.11026033689</v>
      </c>
      <c r="D30" s="223">
        <f t="shared" si="0"/>
        <v>337381.33996937214</v>
      </c>
      <c r="E30" s="224">
        <f>ROUND(D30/References!$H$23,0)</f>
        <v>28115</v>
      </c>
    </row>
    <row r="31" spans="1:5">
      <c r="A31" s="114" t="s">
        <v>271</v>
      </c>
      <c r="B31" s="222">
        <v>47</v>
      </c>
      <c r="C31" s="223">
        <v>15.000000000000002</v>
      </c>
      <c r="D31" s="223"/>
      <c r="E31" s="224">
        <f>ROUND(D31/References!$H$23,0)</f>
        <v>0</v>
      </c>
    </row>
    <row r="32" spans="1:5">
      <c r="A32" s="114" t="s">
        <v>272</v>
      </c>
      <c r="B32" s="222">
        <v>412</v>
      </c>
      <c r="C32" s="223">
        <v>303.99999999999994</v>
      </c>
      <c r="D32" s="223"/>
      <c r="E32" s="224">
        <f>ROUND(D32/References!$H$23,0)</f>
        <v>0</v>
      </c>
    </row>
    <row r="33" spans="1:8">
      <c r="A33" s="114"/>
      <c r="B33" s="222"/>
      <c r="C33" s="223"/>
      <c r="D33" s="223"/>
      <c r="E33" s="224"/>
    </row>
    <row r="34" spans="1:8">
      <c r="A34" s="114" t="s">
        <v>273</v>
      </c>
      <c r="B34" s="222">
        <v>10328.246284188732</v>
      </c>
      <c r="C34" s="223">
        <v>6371.5252642475753</v>
      </c>
      <c r="D34" s="223">
        <f t="shared" si="0"/>
        <v>16699.771548436307</v>
      </c>
      <c r="E34" s="224">
        <f>ROUND(D34/References!$H$23,0)</f>
        <v>1392</v>
      </c>
      <c r="G34" s="115"/>
      <c r="H34" s="115"/>
    </row>
    <row r="35" spans="1:8">
      <c r="A35" s="114" t="s">
        <v>274</v>
      </c>
      <c r="B35" s="222">
        <v>144.60717489455971</v>
      </c>
      <c r="C35" s="223">
        <v>65.704808869373011</v>
      </c>
      <c r="D35" s="223">
        <f t="shared" si="0"/>
        <v>210.31198376393272</v>
      </c>
      <c r="E35" s="224">
        <f>ROUND(D35/References!$H$23,0)</f>
        <v>18</v>
      </c>
      <c r="G35" s="115"/>
      <c r="H35" s="115"/>
    </row>
    <row r="36" spans="1:8">
      <c r="A36" s="114" t="s">
        <v>275</v>
      </c>
      <c r="B36" s="222">
        <v>5449.462982945648</v>
      </c>
      <c r="C36" s="223">
        <v>3282.85543660849</v>
      </c>
      <c r="D36" s="223">
        <f t="shared" si="0"/>
        <v>8732.318419554138</v>
      </c>
      <c r="E36" s="224">
        <f>ROUND(D36/References!$H$23,0)</f>
        <v>728</v>
      </c>
      <c r="G36" s="115"/>
      <c r="H36" s="115"/>
    </row>
    <row r="37" spans="1:8">
      <c r="A37" s="114" t="s">
        <v>276</v>
      </c>
      <c r="B37" s="222">
        <v>277734.7579097547</v>
      </c>
      <c r="C37" s="223">
        <v>150061.2662750179</v>
      </c>
      <c r="D37" s="223">
        <f t="shared" si="0"/>
        <v>427796.02418477263</v>
      </c>
      <c r="E37" s="224">
        <f>ROUND(D37/References!$H$23,0)</f>
        <v>35650</v>
      </c>
      <c r="G37" s="115"/>
      <c r="H37" s="115"/>
    </row>
    <row r="38" spans="1:8">
      <c r="A38" s="114" t="s">
        <v>277</v>
      </c>
      <c r="B38" s="222">
        <v>4464.3257530525607</v>
      </c>
      <c r="C38" s="223">
        <v>2465.9006862931637</v>
      </c>
      <c r="D38" s="223">
        <f t="shared" si="0"/>
        <v>6930.2264393457244</v>
      </c>
      <c r="E38" s="224">
        <f>ROUND(D38/References!$H$23,0)</f>
        <v>578</v>
      </c>
      <c r="G38" s="115"/>
      <c r="H38" s="115"/>
    </row>
    <row r="39" spans="1:8">
      <c r="A39" s="114" t="s">
        <v>278</v>
      </c>
      <c r="B39" s="222">
        <v>89485.74259909564</v>
      </c>
      <c r="C39" s="223">
        <v>45486.718695018353</v>
      </c>
      <c r="D39" s="223">
        <f t="shared" si="0"/>
        <v>134972.46129411401</v>
      </c>
      <c r="E39" s="224">
        <f>ROUND(D39/References!$H$23,0)</f>
        <v>11248</v>
      </c>
      <c r="G39" s="115"/>
      <c r="H39" s="115"/>
    </row>
    <row r="40" spans="1:8">
      <c r="A40" s="114" t="s">
        <v>279</v>
      </c>
      <c r="B40" s="222">
        <v>1640.1721073486328</v>
      </c>
      <c r="C40" s="223">
        <v>660.92286049094332</v>
      </c>
      <c r="D40" s="223">
        <f t="shared" si="0"/>
        <v>2301.0949678395764</v>
      </c>
      <c r="E40" s="224">
        <f>ROUND(D40/References!$H$23,0)</f>
        <v>192</v>
      </c>
      <c r="G40" s="115"/>
      <c r="H40" s="115"/>
    </row>
    <row r="41" spans="1:8">
      <c r="A41" s="114" t="s">
        <v>280</v>
      </c>
      <c r="B41" s="222">
        <v>4569.9710863748123</v>
      </c>
      <c r="C41" s="223">
        <v>3185.8465404172498</v>
      </c>
      <c r="D41" s="223">
        <f t="shared" si="0"/>
        <v>7755.8176267920626</v>
      </c>
      <c r="E41" s="224">
        <f>ROUND(D41/References!$H$23,0)</f>
        <v>646</v>
      </c>
      <c r="G41" s="115"/>
      <c r="H41" s="115"/>
    </row>
    <row r="42" spans="1:8">
      <c r="A42" s="114" t="s">
        <v>281</v>
      </c>
      <c r="B42" s="222">
        <v>68.64505420054202</v>
      </c>
      <c r="C42" s="223">
        <v>53.244986449864491</v>
      </c>
      <c r="D42" s="223">
        <f t="shared" si="0"/>
        <v>121.89004065040652</v>
      </c>
      <c r="E42" s="224">
        <f>ROUND(D42/References!$H$23,0)</f>
        <v>10</v>
      </c>
      <c r="G42" s="115"/>
      <c r="H42" s="115"/>
    </row>
    <row r="43" spans="1:8">
      <c r="A43" s="114" t="s">
        <v>282</v>
      </c>
      <c r="B43" s="222">
        <v>522.7403242091093</v>
      </c>
      <c r="C43" s="223">
        <v>309.76449966345075</v>
      </c>
      <c r="D43" s="223">
        <f t="shared" si="0"/>
        <v>832.50482387256011</v>
      </c>
      <c r="E43" s="224">
        <f>ROUND(D43/References!$H$23,0)</f>
        <v>69</v>
      </c>
      <c r="G43" s="115"/>
      <c r="H43" s="115"/>
    </row>
    <row r="44" spans="1:8">
      <c r="A44" s="114" t="s">
        <v>283</v>
      </c>
      <c r="B44" s="222">
        <v>12</v>
      </c>
      <c r="C44" s="223">
        <v>13.773934527486102</v>
      </c>
      <c r="D44" s="223">
        <f t="shared" si="0"/>
        <v>25.773934527486102</v>
      </c>
      <c r="E44" s="224">
        <f>ROUND(D44/References!$H$23,0)</f>
        <v>2</v>
      </c>
      <c r="G44" s="115"/>
      <c r="H44" s="115"/>
    </row>
    <row r="45" spans="1:8">
      <c r="A45" s="114" t="s">
        <v>284</v>
      </c>
      <c r="B45" s="222">
        <v>60.335920177383599</v>
      </c>
      <c r="C45" s="223">
        <v>28.500000000000004</v>
      </c>
      <c r="D45" s="223">
        <f t="shared" si="0"/>
        <v>88.835920177383599</v>
      </c>
      <c r="E45" s="224">
        <f>ROUND(D45/References!$H$23,0)</f>
        <v>7</v>
      </c>
      <c r="G45" s="115"/>
      <c r="H45" s="115"/>
    </row>
    <row r="46" spans="1:8">
      <c r="A46" s="114" t="s">
        <v>285</v>
      </c>
      <c r="B46" s="222">
        <v>0</v>
      </c>
      <c r="C46" s="223">
        <v>0</v>
      </c>
      <c r="D46" s="223">
        <f t="shared" si="0"/>
        <v>0</v>
      </c>
      <c r="E46" s="224">
        <f>ROUND(D46/References!$H$23,0)</f>
        <v>0</v>
      </c>
      <c r="G46" s="115"/>
      <c r="H46" s="115"/>
    </row>
    <row r="47" spans="1:8">
      <c r="A47" s="114" t="s">
        <v>286</v>
      </c>
      <c r="B47" s="222">
        <v>47.575595038551789</v>
      </c>
      <c r="C47" s="223">
        <v>19.962286288970837</v>
      </c>
      <c r="D47" s="223">
        <f t="shared" si="0"/>
        <v>67.537881327522626</v>
      </c>
      <c r="E47" s="224">
        <f>ROUND(D47/References!$H$23,0)</f>
        <v>6</v>
      </c>
      <c r="G47" s="115"/>
      <c r="H47" s="115"/>
    </row>
    <row r="48" spans="1:8">
      <c r="A48" s="114" t="s">
        <v>287</v>
      </c>
      <c r="B48" s="222">
        <v>0</v>
      </c>
      <c r="C48" s="223">
        <v>0</v>
      </c>
      <c r="D48" s="223">
        <f t="shared" si="0"/>
        <v>0</v>
      </c>
      <c r="E48" s="224">
        <f>ROUND(D48/References!$H$23,0)</f>
        <v>0</v>
      </c>
      <c r="G48" s="115"/>
      <c r="H48" s="115"/>
    </row>
    <row r="49" spans="1:8">
      <c r="A49" s="114" t="s">
        <v>288</v>
      </c>
      <c r="B49" s="222">
        <v>1437.4892706736705</v>
      </c>
      <c r="C49" s="223">
        <v>678.58168365789049</v>
      </c>
      <c r="D49" s="223">
        <f t="shared" si="0"/>
        <v>2116.0709543315611</v>
      </c>
      <c r="E49" s="224">
        <f>ROUND(D49/References!$H$23,0)</f>
        <v>176</v>
      </c>
      <c r="G49" s="115"/>
      <c r="H49" s="115"/>
    </row>
    <row r="50" spans="1:8">
      <c r="A50" s="114" t="s">
        <v>289</v>
      </c>
      <c r="B50" s="222">
        <v>67.748160432616444</v>
      </c>
      <c r="C50" s="223">
        <v>43.752509432121215</v>
      </c>
      <c r="D50" s="223">
        <f t="shared" si="0"/>
        <v>111.50066986473766</v>
      </c>
      <c r="E50" s="224">
        <f>ROUND(D50/References!$H$23,0)</f>
        <v>9</v>
      </c>
      <c r="G50" s="115"/>
      <c r="H50" s="115"/>
    </row>
    <row r="51" spans="1:8">
      <c r="A51" s="237" t="s">
        <v>16</v>
      </c>
      <c r="B51" s="225"/>
      <c r="C51" s="226">
        <v>265983.16110010608</v>
      </c>
      <c r="D51" s="226">
        <f t="shared" ref="D51" si="1">SUM(D34:D50)+D14</f>
        <v>771719.42417047964</v>
      </c>
      <c r="E51" s="226">
        <f>SUM(E34:E50)+E14</f>
        <v>64311</v>
      </c>
      <c r="G51" s="115"/>
      <c r="H51" s="115"/>
    </row>
    <row r="52" spans="1:8">
      <c r="A52" s="237"/>
      <c r="B52" s="222"/>
      <c r="C52" s="223"/>
      <c r="D52" s="223"/>
      <c r="E52" s="224"/>
    </row>
    <row r="53" spans="1:8">
      <c r="A53" s="236" t="s">
        <v>159</v>
      </c>
      <c r="B53" s="222"/>
      <c r="C53" s="223"/>
      <c r="D53" s="223"/>
      <c r="E53" s="224"/>
    </row>
    <row r="54" spans="1:8">
      <c r="A54" s="114" t="s">
        <v>290</v>
      </c>
      <c r="B54" s="222">
        <v>5953.3081134892991</v>
      </c>
      <c r="C54" s="223">
        <v>1250.7755102040815</v>
      </c>
      <c r="D54" s="223">
        <f t="shared" ref="D54:D56" si="2">SUM(B54:C54)</f>
        <v>7204.083623693381</v>
      </c>
      <c r="E54" s="224">
        <f>ROUND(D54/References!$H$23,0)</f>
        <v>600</v>
      </c>
    </row>
    <row r="55" spans="1:8">
      <c r="A55" s="114" t="s">
        <v>255</v>
      </c>
      <c r="B55" s="222">
        <v>5946.0492957746474</v>
      </c>
      <c r="C55" s="223">
        <v>1244.4802816901408</v>
      </c>
      <c r="D55" s="223">
        <f t="shared" si="2"/>
        <v>7190.5295774647884</v>
      </c>
      <c r="E55" s="224">
        <f>ROUND(D55/References!$H$23,0)</f>
        <v>599</v>
      </c>
    </row>
    <row r="56" spans="1:8">
      <c r="A56" s="114" t="s">
        <v>255</v>
      </c>
      <c r="B56" s="222">
        <v>0</v>
      </c>
      <c r="C56" s="223">
        <v>0</v>
      </c>
      <c r="D56" s="223">
        <f t="shared" si="2"/>
        <v>0</v>
      </c>
      <c r="E56" s="224">
        <f>ROUND(D56/References!$H$23,0)</f>
        <v>0</v>
      </c>
    </row>
    <row r="57" spans="1:8">
      <c r="A57" s="237"/>
      <c r="B57" s="222"/>
      <c r="C57" s="223"/>
      <c r="D57" s="223"/>
      <c r="E57" s="224"/>
    </row>
    <row r="58" spans="1:8">
      <c r="A58" s="114" t="s">
        <v>257</v>
      </c>
      <c r="B58" s="222">
        <v>5522.7063466628688</v>
      </c>
      <c r="C58" s="223">
        <v>756.66294555424997</v>
      </c>
      <c r="D58" s="223">
        <f t="shared" ref="D58" si="3">SUM(B58:C58)</f>
        <v>6279.3692922171185</v>
      </c>
      <c r="E58" s="224">
        <f>ROUND(D58/References!$H$23,0)</f>
        <v>523</v>
      </c>
    </row>
    <row r="59" spans="1:8">
      <c r="A59" s="114"/>
      <c r="B59" s="222"/>
      <c r="C59" s="223"/>
      <c r="D59" s="223"/>
      <c r="E59" s="224"/>
    </row>
    <row r="60" spans="1:8">
      <c r="A60" s="114" t="s">
        <v>291</v>
      </c>
      <c r="B60" s="222">
        <v>128</v>
      </c>
      <c r="C60" s="223">
        <v>58.668167492120666</v>
      </c>
      <c r="D60" s="223">
        <f t="shared" ref="D60:D61" si="4">SUM(B60:C60)</f>
        <v>186.66816749212066</v>
      </c>
      <c r="E60" s="224">
        <f>ROUND(D60/References!$H$23,0)</f>
        <v>16</v>
      </c>
    </row>
    <row r="61" spans="1:8">
      <c r="A61" s="114" t="s">
        <v>292</v>
      </c>
      <c r="B61" s="222">
        <v>172.00025575447569</v>
      </c>
      <c r="C61" s="223">
        <v>96.999999999999986</v>
      </c>
      <c r="D61" s="223">
        <f t="shared" si="4"/>
        <v>269.00025575447569</v>
      </c>
      <c r="E61" s="224">
        <f>ROUND(D61/References!$H$23,0)</f>
        <v>22</v>
      </c>
    </row>
    <row r="62" spans="1:8">
      <c r="A62" s="114"/>
      <c r="B62" s="222"/>
      <c r="C62" s="223"/>
      <c r="D62" s="223"/>
      <c r="E62" s="224"/>
    </row>
    <row r="63" spans="1:8">
      <c r="A63" s="114" t="s">
        <v>293</v>
      </c>
      <c r="B63" s="222">
        <v>12062.0466779736</v>
      </c>
      <c r="C63" s="223">
        <v>4156.4880761005825</v>
      </c>
      <c r="D63" s="223">
        <f t="shared" ref="D63:D64" si="5">SUM(B63:C63)</f>
        <v>16218.534754074182</v>
      </c>
      <c r="E63" s="224">
        <f>ROUND(D63/References!$H$23,0)</f>
        <v>1352</v>
      </c>
    </row>
    <row r="64" spans="1:8">
      <c r="A64" s="114" t="s">
        <v>294</v>
      </c>
      <c r="B64" s="222">
        <v>4238</v>
      </c>
      <c r="C64" s="223">
        <v>1688</v>
      </c>
      <c r="D64" s="223">
        <f t="shared" si="5"/>
        <v>5926</v>
      </c>
      <c r="E64" s="224">
        <f>ROUND(D64/References!$H$23,0)</f>
        <v>494</v>
      </c>
    </row>
    <row r="65" spans="1:8">
      <c r="A65" s="114"/>
      <c r="B65" s="222"/>
      <c r="C65" s="223"/>
      <c r="D65" s="223"/>
      <c r="E65" s="224"/>
    </row>
    <row r="66" spans="1:8">
      <c r="A66" s="114" t="s">
        <v>259</v>
      </c>
      <c r="B66" s="222">
        <v>125.85064935064932</v>
      </c>
      <c r="C66" s="223">
        <v>97.688311688311714</v>
      </c>
      <c r="D66" s="223">
        <f t="shared" ref="D66:D70" si="6">SUM(B66:C66)</f>
        <v>223.53896103896102</v>
      </c>
      <c r="E66" s="224">
        <f>ROUND(D66/References!$H$23,0)</f>
        <v>19</v>
      </c>
    </row>
    <row r="67" spans="1:8">
      <c r="A67" s="114" t="s">
        <v>260</v>
      </c>
      <c r="B67" s="222">
        <v>36</v>
      </c>
      <c r="C67" s="223">
        <v>306.61165048543694</v>
      </c>
      <c r="D67" s="223">
        <f t="shared" si="6"/>
        <v>342.61165048543694</v>
      </c>
      <c r="E67" s="224">
        <f>ROUND(D67/References!$H$23,0)</f>
        <v>29</v>
      </c>
    </row>
    <row r="68" spans="1:8">
      <c r="A68" s="114" t="s">
        <v>295</v>
      </c>
      <c r="B68" s="222">
        <v>47.938461538461546</v>
      </c>
      <c r="C68" s="223">
        <v>111.42820512820514</v>
      </c>
      <c r="D68" s="223">
        <f t="shared" si="6"/>
        <v>159.36666666666667</v>
      </c>
      <c r="E68" s="224">
        <f>ROUND(D68/References!$H$23,0)</f>
        <v>13</v>
      </c>
    </row>
    <row r="69" spans="1:8">
      <c r="A69" s="114" t="s">
        <v>263</v>
      </c>
      <c r="B69" s="222">
        <v>0</v>
      </c>
      <c r="C69" s="223">
        <v>0</v>
      </c>
      <c r="D69" s="223">
        <f t="shared" si="6"/>
        <v>0</v>
      </c>
      <c r="E69" s="224">
        <f>ROUND(D69/References!$H$23,0)</f>
        <v>0</v>
      </c>
    </row>
    <row r="70" spans="1:8">
      <c r="A70" s="114" t="s">
        <v>261</v>
      </c>
      <c r="B70" s="222">
        <v>0</v>
      </c>
      <c r="C70" s="223">
        <v>0</v>
      </c>
      <c r="D70" s="223">
        <f t="shared" si="6"/>
        <v>0</v>
      </c>
      <c r="E70" s="224">
        <f>ROUND(D70/References!$H$23,0)</f>
        <v>0</v>
      </c>
    </row>
    <row r="71" spans="1:8">
      <c r="A71" s="114"/>
      <c r="B71" s="222"/>
      <c r="C71" s="223"/>
      <c r="D71" s="223"/>
      <c r="E71" s="224"/>
    </row>
    <row r="72" spans="1:8">
      <c r="A72" s="114" t="s">
        <v>270</v>
      </c>
      <c r="B72" s="222">
        <v>4385.8728943338429</v>
      </c>
      <c r="C72" s="223">
        <v>534.30321592649318</v>
      </c>
      <c r="D72" s="223">
        <f t="shared" ref="D72:D74" si="7">SUM(B72:C72)</f>
        <v>4920.1761102603359</v>
      </c>
      <c r="E72" s="224">
        <f>ROUND(D72/References!$H$23,0)</f>
        <v>410</v>
      </c>
    </row>
    <row r="73" spans="1:8">
      <c r="A73" s="114" t="s">
        <v>296</v>
      </c>
      <c r="B73" s="222">
        <v>0</v>
      </c>
      <c r="C73" s="223">
        <v>0</v>
      </c>
      <c r="D73" s="223">
        <f t="shared" si="7"/>
        <v>0</v>
      </c>
      <c r="E73" s="224">
        <f>ROUND(D73/References!$H$23,0)</f>
        <v>0</v>
      </c>
    </row>
    <row r="74" spans="1:8">
      <c r="A74" s="114" t="s">
        <v>272</v>
      </c>
      <c r="B74" s="222">
        <v>0</v>
      </c>
      <c r="C74" s="223">
        <v>0</v>
      </c>
      <c r="D74" s="223">
        <f t="shared" si="7"/>
        <v>0</v>
      </c>
      <c r="E74" s="224">
        <f>ROUND(D74/References!$H$23,0)</f>
        <v>0</v>
      </c>
    </row>
    <row r="75" spans="1:8">
      <c r="A75" s="114"/>
      <c r="B75" s="222"/>
      <c r="C75" s="223"/>
      <c r="D75" s="223"/>
      <c r="E75" s="224"/>
    </row>
    <row r="76" spans="1:8">
      <c r="A76" s="114" t="s">
        <v>276</v>
      </c>
      <c r="B76" s="222">
        <v>5273.5292601673182</v>
      </c>
      <c r="C76" s="223">
        <v>1172.7399226946436</v>
      </c>
      <c r="D76" s="223">
        <f t="shared" ref="D76:D85" si="8">SUM(B76:C76)</f>
        <v>6446.2691828619618</v>
      </c>
      <c r="E76" s="224">
        <f>ROUND(D76/References!$H$23,0)</f>
        <v>537</v>
      </c>
      <c r="G76" s="115"/>
      <c r="H76" s="115"/>
    </row>
    <row r="77" spans="1:8">
      <c r="A77" s="114" t="s">
        <v>277</v>
      </c>
      <c r="B77" s="222">
        <v>25</v>
      </c>
      <c r="C77" s="223">
        <v>0</v>
      </c>
      <c r="D77" s="223">
        <f t="shared" si="8"/>
        <v>25</v>
      </c>
      <c r="E77" s="224">
        <f>ROUND(D77/References!$H$23,0)</f>
        <v>2</v>
      </c>
      <c r="G77" s="115"/>
      <c r="H77" s="115"/>
    </row>
    <row r="78" spans="1:8">
      <c r="A78" s="114" t="s">
        <v>278</v>
      </c>
      <c r="B78" s="222">
        <v>670.58381910042658</v>
      </c>
      <c r="C78" s="223">
        <v>43.750175685172174</v>
      </c>
      <c r="D78" s="223">
        <f t="shared" si="8"/>
        <v>714.33399478559875</v>
      </c>
      <c r="E78" s="224">
        <f>ROUND(D78/References!$H$23,0)</f>
        <v>60</v>
      </c>
      <c r="G78" s="115"/>
      <c r="H78" s="115"/>
    </row>
    <row r="79" spans="1:8">
      <c r="A79" s="114" t="s">
        <v>279</v>
      </c>
      <c r="B79" s="222">
        <v>0</v>
      </c>
      <c r="C79" s="223">
        <v>0</v>
      </c>
      <c r="D79" s="223">
        <f t="shared" si="8"/>
        <v>0</v>
      </c>
      <c r="E79" s="224">
        <f>ROUND(D79/References!$H$23,0)</f>
        <v>0</v>
      </c>
      <c r="G79" s="115"/>
      <c r="H79" s="115"/>
    </row>
    <row r="80" spans="1:8">
      <c r="A80" s="114" t="s">
        <v>280</v>
      </c>
      <c r="B80" s="222">
        <v>83.499999999999986</v>
      </c>
      <c r="C80" s="223">
        <v>24</v>
      </c>
      <c r="D80" s="223">
        <f t="shared" si="8"/>
        <v>107.49999999999999</v>
      </c>
      <c r="E80" s="224">
        <f>ROUND(D80/References!$H$23,0)</f>
        <v>9</v>
      </c>
      <c r="G80" s="115"/>
      <c r="H80" s="115"/>
    </row>
    <row r="81" spans="1:8">
      <c r="A81" s="114" t="s">
        <v>281</v>
      </c>
      <c r="B81" s="222">
        <v>12</v>
      </c>
      <c r="C81" s="223">
        <v>0</v>
      </c>
      <c r="D81" s="223">
        <f t="shared" si="8"/>
        <v>12</v>
      </c>
      <c r="E81" s="224">
        <f>ROUND(D81/References!$H$23,0)</f>
        <v>1</v>
      </c>
      <c r="G81" s="115"/>
      <c r="H81" s="115"/>
    </row>
    <row r="82" spans="1:8">
      <c r="A82" s="114" t="s">
        <v>282</v>
      </c>
      <c r="B82" s="222">
        <v>45</v>
      </c>
      <c r="C82" s="223">
        <v>12</v>
      </c>
      <c r="D82" s="223">
        <f t="shared" si="8"/>
        <v>57</v>
      </c>
      <c r="E82" s="224">
        <f>ROUND(D82/References!$H$23,0)</f>
        <v>5</v>
      </c>
      <c r="G82" s="115"/>
      <c r="H82" s="115"/>
    </row>
    <row r="83" spans="1:8">
      <c r="A83" s="114" t="s">
        <v>283</v>
      </c>
      <c r="B83" s="222">
        <v>12</v>
      </c>
      <c r="C83" s="223">
        <v>0</v>
      </c>
      <c r="D83" s="223">
        <f t="shared" si="8"/>
        <v>12</v>
      </c>
      <c r="E83" s="224">
        <f>ROUND(D83/References!$H$23,0)</f>
        <v>1</v>
      </c>
      <c r="G83" s="115"/>
      <c r="H83" s="115"/>
    </row>
    <row r="84" spans="1:8">
      <c r="A84" s="114" t="s">
        <v>286</v>
      </c>
      <c r="B84" s="222">
        <v>0</v>
      </c>
      <c r="C84" s="223">
        <v>0</v>
      </c>
      <c r="D84" s="223">
        <f t="shared" si="8"/>
        <v>0</v>
      </c>
      <c r="E84" s="224">
        <f>ROUND(D84/References!$H$23,0)</f>
        <v>0</v>
      </c>
      <c r="G84" s="115"/>
      <c r="H84" s="115"/>
    </row>
    <row r="85" spans="1:8">
      <c r="A85" s="114" t="s">
        <v>288</v>
      </c>
      <c r="B85" s="222">
        <v>11</v>
      </c>
      <c r="C85" s="223">
        <v>0</v>
      </c>
      <c r="D85" s="223">
        <f t="shared" si="8"/>
        <v>11</v>
      </c>
      <c r="E85" s="224">
        <f>ROUND(D85/References!$H$23,0)</f>
        <v>1</v>
      </c>
      <c r="G85" s="115"/>
      <c r="H85" s="115"/>
    </row>
    <row r="86" spans="1:8">
      <c r="A86" s="114"/>
      <c r="B86" s="222"/>
      <c r="C86" s="223"/>
      <c r="D86" s="223"/>
      <c r="E86" s="224"/>
      <c r="G86" s="115"/>
      <c r="H86" s="115"/>
    </row>
    <row r="87" spans="1:8">
      <c r="A87" s="237" t="s">
        <v>297</v>
      </c>
      <c r="B87" s="222"/>
      <c r="C87" s="223"/>
      <c r="D87" s="223"/>
      <c r="E87" s="224"/>
      <c r="G87" s="115"/>
      <c r="H87" s="115"/>
    </row>
    <row r="88" spans="1:8">
      <c r="A88" s="114" t="s">
        <v>298</v>
      </c>
      <c r="B88" s="222">
        <v>3119.6526536042479</v>
      </c>
      <c r="C88" s="223">
        <v>568.23442555875363</v>
      </c>
      <c r="D88" s="223">
        <f t="shared" ref="D88:D111" si="9">SUM(B88:C88)</f>
        <v>3687.8870791630015</v>
      </c>
      <c r="E88" s="224">
        <f>ROUND(D88/References!$H$23,0)</f>
        <v>307</v>
      </c>
      <c r="G88" s="115"/>
      <c r="H88" s="115"/>
    </row>
    <row r="89" spans="1:8">
      <c r="A89" s="114" t="s">
        <v>299</v>
      </c>
      <c r="B89" s="222">
        <v>0</v>
      </c>
      <c r="C89" s="223">
        <v>0</v>
      </c>
      <c r="D89" s="223">
        <f t="shared" si="9"/>
        <v>0</v>
      </c>
      <c r="E89" s="224">
        <f>ROUND(D89/References!$H$23,0)</f>
        <v>0</v>
      </c>
      <c r="G89" s="115"/>
      <c r="H89" s="115"/>
    </row>
    <row r="90" spans="1:8">
      <c r="A90" s="114" t="s">
        <v>300</v>
      </c>
      <c r="B90" s="222">
        <v>475.49450112179204</v>
      </c>
      <c r="C90" s="223">
        <v>191.24998329881757</v>
      </c>
      <c r="D90" s="223">
        <f t="shared" si="9"/>
        <v>666.74448442060964</v>
      </c>
      <c r="E90" s="224">
        <f>ROUND(D90/References!$H$23,0)</f>
        <v>56</v>
      </c>
      <c r="G90" s="115"/>
      <c r="H90" s="115"/>
    </row>
    <row r="91" spans="1:8">
      <c r="A91" s="114" t="s">
        <v>301</v>
      </c>
      <c r="B91" s="222">
        <v>0</v>
      </c>
      <c r="C91" s="223">
        <v>24.000000000000004</v>
      </c>
      <c r="D91" s="223">
        <f t="shared" si="9"/>
        <v>24.000000000000004</v>
      </c>
      <c r="E91" s="224">
        <f>ROUND(D91/References!$H$23,0)</f>
        <v>2</v>
      </c>
      <c r="G91" s="115"/>
      <c r="H91" s="115"/>
    </row>
    <row r="92" spans="1:8">
      <c r="A92" s="114" t="s">
        <v>302</v>
      </c>
      <c r="B92" s="222">
        <v>0</v>
      </c>
      <c r="C92" s="223">
        <v>0</v>
      </c>
      <c r="D92" s="223">
        <f t="shared" si="9"/>
        <v>0</v>
      </c>
      <c r="E92" s="224">
        <f>ROUND(D92/References!$H$23,0)</f>
        <v>0</v>
      </c>
      <c r="G92" s="115"/>
      <c r="H92" s="115"/>
    </row>
    <row r="93" spans="1:8">
      <c r="A93" s="114" t="s">
        <v>303</v>
      </c>
      <c r="B93" s="222">
        <v>937.74179118926463</v>
      </c>
      <c r="C93" s="223">
        <v>806.0498814204401</v>
      </c>
      <c r="D93" s="223">
        <f t="shared" si="9"/>
        <v>1743.7916726097046</v>
      </c>
      <c r="E93" s="224">
        <f>ROUND(D93/References!$H$23,0)</f>
        <v>145</v>
      </c>
      <c r="G93" s="115"/>
      <c r="H93" s="115"/>
    </row>
    <row r="94" spans="1:8">
      <c r="A94" s="114" t="s">
        <v>304</v>
      </c>
      <c r="B94" s="222">
        <v>50.750013468013471</v>
      </c>
      <c r="C94" s="223">
        <v>72</v>
      </c>
      <c r="D94" s="223">
        <f t="shared" si="9"/>
        <v>122.75001346801346</v>
      </c>
      <c r="E94" s="224">
        <f>ROUND(D94/References!$H$23,0)</f>
        <v>10</v>
      </c>
      <c r="G94" s="115"/>
      <c r="H94" s="115"/>
    </row>
    <row r="95" spans="1:8">
      <c r="A95" s="114" t="s">
        <v>305</v>
      </c>
      <c r="B95" s="222">
        <v>22.58066369774458</v>
      </c>
      <c r="C95" s="223">
        <v>0</v>
      </c>
      <c r="D95" s="223">
        <f t="shared" si="9"/>
        <v>22.58066369774458</v>
      </c>
      <c r="E95" s="224">
        <f>ROUND(D95/References!$H$23,0)</f>
        <v>2</v>
      </c>
      <c r="G95" s="115"/>
      <c r="H95" s="115"/>
    </row>
    <row r="96" spans="1:8">
      <c r="A96" s="114" t="s">
        <v>306</v>
      </c>
      <c r="B96" s="222">
        <v>230.49893765724232</v>
      </c>
      <c r="C96" s="223">
        <v>40.999999999999993</v>
      </c>
      <c r="D96" s="223">
        <f t="shared" si="9"/>
        <v>271.49893765724232</v>
      </c>
      <c r="E96" s="224">
        <f>ROUND(D96/References!$H$23,0)</f>
        <v>23</v>
      </c>
      <c r="G96" s="115"/>
      <c r="H96" s="115"/>
    </row>
    <row r="97" spans="1:8">
      <c r="A97" s="114" t="s">
        <v>307</v>
      </c>
      <c r="B97" s="222">
        <v>11.999971677004559</v>
      </c>
      <c r="C97" s="223">
        <v>12</v>
      </c>
      <c r="D97" s="223">
        <f t="shared" si="9"/>
        <v>23.999971677004559</v>
      </c>
      <c r="E97" s="224">
        <f>ROUND(D97/References!$H$23,0)</f>
        <v>2</v>
      </c>
      <c r="G97" s="115"/>
      <c r="H97" s="115"/>
    </row>
    <row r="98" spans="1:8">
      <c r="A98" s="114" t="s">
        <v>308</v>
      </c>
      <c r="B98" s="222">
        <v>0</v>
      </c>
      <c r="C98" s="223">
        <v>0</v>
      </c>
      <c r="D98" s="223">
        <f t="shared" si="9"/>
        <v>0</v>
      </c>
      <c r="E98" s="224">
        <f>ROUND(D98/References!$H$23,0)</f>
        <v>0</v>
      </c>
      <c r="G98" s="115"/>
      <c r="H98" s="115"/>
    </row>
    <row r="99" spans="1:8">
      <c r="A99" s="114" t="s">
        <v>309</v>
      </c>
      <c r="B99" s="222">
        <v>266.99915505263021</v>
      </c>
      <c r="C99" s="223">
        <v>84</v>
      </c>
      <c r="D99" s="223">
        <f t="shared" si="9"/>
        <v>350.99915505263021</v>
      </c>
      <c r="E99" s="224">
        <f>ROUND(D99/References!$H$23,0)</f>
        <v>29</v>
      </c>
      <c r="G99" s="115"/>
      <c r="H99" s="115"/>
    </row>
    <row r="100" spans="1:8">
      <c r="A100" s="114" t="s">
        <v>310</v>
      </c>
      <c r="B100" s="222">
        <v>174.67744400898127</v>
      </c>
      <c r="C100" s="223">
        <v>48.000000000000007</v>
      </c>
      <c r="D100" s="223">
        <f t="shared" si="9"/>
        <v>222.67744400898127</v>
      </c>
      <c r="E100" s="224">
        <f>ROUND(D100/References!$H$23,0)</f>
        <v>19</v>
      </c>
      <c r="G100" s="115"/>
      <c r="H100" s="115"/>
    </row>
    <row r="101" spans="1:8">
      <c r="A101" s="114" t="s">
        <v>311</v>
      </c>
      <c r="B101" s="222">
        <v>23.999999999999996</v>
      </c>
      <c r="C101" s="223">
        <v>0</v>
      </c>
      <c r="D101" s="223">
        <f t="shared" si="9"/>
        <v>23.999999999999996</v>
      </c>
      <c r="E101" s="224">
        <f>ROUND(D101/References!$H$23,0)</f>
        <v>2</v>
      </c>
      <c r="G101" s="115"/>
      <c r="H101" s="115"/>
    </row>
    <row r="102" spans="1:8">
      <c r="A102" s="114" t="s">
        <v>312</v>
      </c>
      <c r="B102" s="222">
        <v>0</v>
      </c>
      <c r="C102" s="223">
        <v>0</v>
      </c>
      <c r="D102" s="223">
        <f t="shared" si="9"/>
        <v>0</v>
      </c>
      <c r="E102" s="224">
        <f>ROUND(D102/References!$H$23,0)</f>
        <v>0</v>
      </c>
      <c r="G102" s="115"/>
      <c r="H102" s="115"/>
    </row>
    <row r="103" spans="1:8">
      <c r="A103" s="114" t="s">
        <v>313</v>
      </c>
      <c r="B103" s="222">
        <v>101.95609756097561</v>
      </c>
      <c r="C103" s="223">
        <v>44.672045028142598</v>
      </c>
      <c r="D103" s="223">
        <f t="shared" si="9"/>
        <v>146.6281425891182</v>
      </c>
      <c r="E103" s="224">
        <f>ROUND(D103/References!$H$23,0)</f>
        <v>12</v>
      </c>
      <c r="G103" s="115"/>
      <c r="H103" s="115"/>
    </row>
    <row r="104" spans="1:8">
      <c r="A104" s="114" t="s">
        <v>314</v>
      </c>
      <c r="B104" s="222">
        <v>4</v>
      </c>
      <c r="C104" s="223">
        <v>0</v>
      </c>
      <c r="D104" s="223">
        <f t="shared" si="9"/>
        <v>4</v>
      </c>
      <c r="E104" s="224">
        <f>ROUND(D104/References!$H$23,0)</f>
        <v>0</v>
      </c>
    </row>
    <row r="105" spans="1:8">
      <c r="A105" s="114" t="s">
        <v>315</v>
      </c>
      <c r="B105" s="222">
        <v>240.24221149627033</v>
      </c>
      <c r="C105" s="223">
        <v>71.765508138033795</v>
      </c>
      <c r="D105" s="223">
        <f t="shared" si="9"/>
        <v>312.00771963430412</v>
      </c>
      <c r="E105" s="224">
        <f>ROUND(D105/References!$H$23,0)</f>
        <v>26</v>
      </c>
    </row>
    <row r="106" spans="1:8">
      <c r="A106" s="114"/>
      <c r="B106" s="222"/>
      <c r="C106" s="223"/>
      <c r="D106" s="223"/>
      <c r="E106" s="224"/>
    </row>
    <row r="107" spans="1:8">
      <c r="A107" s="114" t="s">
        <v>316</v>
      </c>
      <c r="B107" s="222">
        <v>15</v>
      </c>
      <c r="C107" s="223">
        <v>7.0000000000000009</v>
      </c>
      <c r="D107" s="223">
        <f t="shared" si="9"/>
        <v>22</v>
      </c>
      <c r="E107" s="224">
        <f>ROUND(D107/References!$H$23,0)</f>
        <v>2</v>
      </c>
    </row>
    <row r="108" spans="1:8">
      <c r="A108" s="114" t="s">
        <v>317</v>
      </c>
      <c r="B108" s="222">
        <v>1</v>
      </c>
      <c r="C108" s="223">
        <v>0</v>
      </c>
      <c r="D108" s="223">
        <f t="shared" si="9"/>
        <v>1</v>
      </c>
      <c r="E108" s="224">
        <f>ROUND(D108/References!$H$23,0)</f>
        <v>0</v>
      </c>
    </row>
    <row r="109" spans="1:8">
      <c r="A109" s="114" t="s">
        <v>318</v>
      </c>
      <c r="B109" s="222">
        <v>13</v>
      </c>
      <c r="C109" s="223">
        <v>15.031154014918826</v>
      </c>
      <c r="D109" s="223">
        <f t="shared" si="9"/>
        <v>28.031154014918826</v>
      </c>
      <c r="E109" s="224">
        <f>ROUND(D109/References!$H$23,0)</f>
        <v>2</v>
      </c>
    </row>
    <row r="110" spans="1:8">
      <c r="A110" s="114" t="s">
        <v>319</v>
      </c>
      <c r="B110" s="222">
        <v>4</v>
      </c>
      <c r="C110" s="223">
        <v>0</v>
      </c>
      <c r="D110" s="223">
        <f t="shared" si="9"/>
        <v>4</v>
      </c>
      <c r="E110" s="224">
        <f>ROUND(D110/References!$H$23,0)</f>
        <v>0</v>
      </c>
    </row>
    <row r="111" spans="1:8">
      <c r="A111" s="114" t="s">
        <v>320</v>
      </c>
      <c r="B111" s="222">
        <v>5.0000000000000009</v>
      </c>
      <c r="C111" s="223">
        <v>0</v>
      </c>
      <c r="D111" s="223">
        <f t="shared" si="9"/>
        <v>5.0000000000000009</v>
      </c>
      <c r="E111" s="224">
        <f>ROUND(D111/References!$H$23,0)</f>
        <v>0</v>
      </c>
    </row>
    <row r="112" spans="1:8">
      <c r="A112" s="237"/>
      <c r="B112" s="222"/>
      <c r="C112" s="223"/>
      <c r="D112" s="223"/>
      <c r="E112" s="224"/>
    </row>
    <row r="113" spans="1:5">
      <c r="A113" s="236" t="s">
        <v>321</v>
      </c>
      <c r="B113" s="222"/>
      <c r="C113" s="227"/>
      <c r="D113" s="227"/>
      <c r="E113" s="224"/>
    </row>
    <row r="114" spans="1:5">
      <c r="A114" s="114" t="s">
        <v>322</v>
      </c>
      <c r="B114" s="222">
        <v>4373.3961604131091</v>
      </c>
      <c r="C114" s="223">
        <v>1567.2692410658515</v>
      </c>
      <c r="D114" s="223">
        <f t="shared" ref="D114:D125" si="10">SUM(B114:C114)</f>
        <v>5940.6654014789601</v>
      </c>
      <c r="E114" s="224">
        <f>ROUND(D114/References!$H$23,0)</f>
        <v>495</v>
      </c>
    </row>
    <row r="115" spans="1:5">
      <c r="A115" s="114"/>
      <c r="B115" s="222"/>
      <c r="C115" s="223"/>
      <c r="D115" s="223"/>
      <c r="E115" s="224"/>
    </row>
    <row r="116" spans="1:5">
      <c r="A116" s="114" t="s">
        <v>323</v>
      </c>
      <c r="B116" s="222">
        <v>1292.6460649177413</v>
      </c>
      <c r="C116" s="223">
        <v>630.50022232103163</v>
      </c>
      <c r="D116" s="223">
        <f t="shared" si="10"/>
        <v>1923.1462872387729</v>
      </c>
      <c r="E116" s="224">
        <f>ROUND(D116/References!$H$23,0)</f>
        <v>160</v>
      </c>
    </row>
    <row r="117" spans="1:5">
      <c r="A117" s="114" t="s">
        <v>324</v>
      </c>
      <c r="B117" s="222">
        <v>173.21410256410255</v>
      </c>
      <c r="C117" s="223">
        <v>296.82179487179485</v>
      </c>
      <c r="D117" s="223">
        <f t="shared" si="10"/>
        <v>470.03589743589737</v>
      </c>
      <c r="E117" s="224">
        <f>ROUND(D117/References!$H$23,0)</f>
        <v>39</v>
      </c>
    </row>
    <row r="118" spans="1:5">
      <c r="A118" s="114" t="s">
        <v>325</v>
      </c>
      <c r="B118" s="222">
        <v>57.691558441558435</v>
      </c>
      <c r="C118" s="223">
        <v>38.311688311688314</v>
      </c>
      <c r="D118" s="223">
        <f t="shared" si="10"/>
        <v>96.003246753246742</v>
      </c>
      <c r="E118" s="224">
        <f>ROUND(D118/References!$H$23,0)</f>
        <v>8</v>
      </c>
    </row>
    <row r="119" spans="1:5">
      <c r="A119" s="114"/>
      <c r="B119" s="222"/>
      <c r="C119" s="223"/>
      <c r="D119" s="223"/>
      <c r="E119" s="224"/>
    </row>
    <row r="120" spans="1:5">
      <c r="A120" s="114" t="s">
        <v>259</v>
      </c>
      <c r="B120" s="222">
        <v>151.96320346320343</v>
      </c>
      <c r="C120" s="223">
        <v>127.59523809523809</v>
      </c>
      <c r="D120" s="223">
        <f t="shared" si="10"/>
        <v>279.55844155844153</v>
      </c>
      <c r="E120" s="224">
        <f>ROUND(D120/References!$H$23,0)</f>
        <v>23</v>
      </c>
    </row>
    <row r="121" spans="1:5">
      <c r="A121" s="114" t="s">
        <v>260</v>
      </c>
      <c r="B121" s="222">
        <v>76.999999999999986</v>
      </c>
      <c r="C121" s="223">
        <v>67.582524271844648</v>
      </c>
      <c r="D121" s="223">
        <f t="shared" si="10"/>
        <v>144.58252427184465</v>
      </c>
      <c r="E121" s="224">
        <f>ROUND(D121/References!$H$23,0)</f>
        <v>12</v>
      </c>
    </row>
    <row r="122" spans="1:5">
      <c r="A122" s="114" t="s">
        <v>262</v>
      </c>
      <c r="B122" s="222">
        <v>0</v>
      </c>
      <c r="C122" s="223">
        <v>0</v>
      </c>
      <c r="D122" s="223">
        <f t="shared" si="10"/>
        <v>0</v>
      </c>
      <c r="E122" s="224">
        <f>ROUND(D122/References!$H$23,0)</f>
        <v>0</v>
      </c>
    </row>
    <row r="123" spans="1:5">
      <c r="A123" s="114" t="s">
        <v>326</v>
      </c>
      <c r="B123" s="222">
        <v>4.5066666666666668</v>
      </c>
      <c r="C123" s="223">
        <v>0</v>
      </c>
      <c r="D123" s="223">
        <f t="shared" si="10"/>
        <v>4.5066666666666668</v>
      </c>
      <c r="E123" s="224">
        <f>ROUND(D123/References!$H$23,0)</f>
        <v>0</v>
      </c>
    </row>
    <row r="124" spans="1:5">
      <c r="A124" s="114" t="s">
        <v>327</v>
      </c>
      <c r="B124" s="222">
        <v>52.190624999999997</v>
      </c>
      <c r="C124" s="223">
        <v>0.29062500000000002</v>
      </c>
      <c r="D124" s="223">
        <f t="shared" si="10"/>
        <v>52.481249999999996</v>
      </c>
      <c r="E124" s="224">
        <f>ROUND(D124/References!$H$23,0)</f>
        <v>4</v>
      </c>
    </row>
    <row r="125" spans="1:5">
      <c r="A125" s="114" t="s">
        <v>328</v>
      </c>
      <c r="B125" s="222">
        <v>73.999999999999986</v>
      </c>
      <c r="C125" s="223">
        <v>27</v>
      </c>
      <c r="D125" s="223">
        <f t="shared" si="10"/>
        <v>100.99999999999999</v>
      </c>
      <c r="E125" s="224">
        <f>ROUND(D125/References!$H$23,0)</f>
        <v>8</v>
      </c>
    </row>
    <row r="126" spans="1:5">
      <c r="A126" s="114"/>
      <c r="B126" s="222"/>
      <c r="C126" s="223"/>
      <c r="D126" s="223"/>
      <c r="E126" s="224"/>
    </row>
    <row r="127" spans="1:5">
      <c r="A127" s="114" t="s">
        <v>265</v>
      </c>
      <c r="B127" s="222">
        <v>0</v>
      </c>
      <c r="C127" s="223">
        <v>0</v>
      </c>
      <c r="D127" s="223"/>
      <c r="E127" s="224"/>
    </row>
    <row r="128" spans="1:5">
      <c r="A128" s="114"/>
      <c r="B128" s="222"/>
      <c r="C128" s="223"/>
      <c r="D128" s="223"/>
      <c r="E128" s="224"/>
    </row>
    <row r="129" spans="1:8">
      <c r="A129" s="114" t="s">
        <v>329</v>
      </c>
      <c r="B129" s="222">
        <v>848.97596111742132</v>
      </c>
      <c r="C129" s="223">
        <v>665.50142636275336</v>
      </c>
      <c r="D129" s="223">
        <f t="shared" ref="D129:D134" si="11">SUM(B129:C129)</f>
        <v>1514.4773874801747</v>
      </c>
      <c r="E129" s="224">
        <f>ROUND(D129/References!$H$23,0)</f>
        <v>126</v>
      </c>
      <c r="G129" s="115"/>
      <c r="H129" s="115"/>
    </row>
    <row r="130" spans="1:8">
      <c r="A130" s="114" t="s">
        <v>330</v>
      </c>
      <c r="B130" s="222">
        <v>331.23951795583002</v>
      </c>
      <c r="C130" s="223">
        <v>274.23508794992335</v>
      </c>
      <c r="D130" s="223">
        <f t="shared" si="11"/>
        <v>605.47460590575338</v>
      </c>
      <c r="E130" s="224">
        <f>ROUND(D130/References!$H$23,0)</f>
        <v>50</v>
      </c>
      <c r="G130" s="115"/>
      <c r="H130" s="115"/>
    </row>
    <row r="131" spans="1:8">
      <c r="A131" s="114" t="s">
        <v>331</v>
      </c>
      <c r="B131" s="222">
        <v>57</v>
      </c>
      <c r="C131" s="223">
        <v>48.250049222287856</v>
      </c>
      <c r="D131" s="223">
        <f t="shared" si="11"/>
        <v>105.25004922228786</v>
      </c>
      <c r="E131" s="224">
        <f>ROUND(D131/References!$H$23,0)</f>
        <v>9</v>
      </c>
      <c r="G131" s="115"/>
      <c r="H131" s="115"/>
    </row>
    <row r="132" spans="1:8">
      <c r="A132" s="114" t="s">
        <v>332</v>
      </c>
      <c r="B132" s="222">
        <v>0</v>
      </c>
      <c r="C132" s="223">
        <v>12.000000000000002</v>
      </c>
      <c r="D132" s="223">
        <f t="shared" si="11"/>
        <v>12.000000000000002</v>
      </c>
      <c r="E132" s="224">
        <f>ROUND(D132/References!$H$23,0)</f>
        <v>1</v>
      </c>
      <c r="G132" s="115"/>
      <c r="H132" s="115"/>
    </row>
    <row r="133" spans="1:8">
      <c r="A133" s="114" t="s">
        <v>333</v>
      </c>
      <c r="B133" s="222">
        <v>0</v>
      </c>
      <c r="C133" s="223">
        <v>0</v>
      </c>
      <c r="D133" s="223">
        <f t="shared" si="11"/>
        <v>0</v>
      </c>
      <c r="E133" s="224">
        <f>ROUND(D133/References!$H$23,0)</f>
        <v>0</v>
      </c>
      <c r="G133" s="115"/>
      <c r="H133" s="115"/>
    </row>
    <row r="134" spans="1:8">
      <c r="A134" s="114" t="s">
        <v>334</v>
      </c>
      <c r="B134" s="222">
        <v>1</v>
      </c>
      <c r="C134" s="223">
        <v>2</v>
      </c>
      <c r="D134" s="223">
        <f t="shared" si="11"/>
        <v>3</v>
      </c>
      <c r="E134" s="224">
        <f>ROUND(D134/References!$H$23,0)</f>
        <v>0</v>
      </c>
      <c r="G134" s="115"/>
      <c r="H134" s="115"/>
    </row>
    <row r="135" spans="1:8">
      <c r="A135" s="114"/>
      <c r="B135" s="222"/>
      <c r="C135" s="223"/>
      <c r="D135" s="223"/>
      <c r="E135" s="224"/>
      <c r="G135" s="115"/>
      <c r="H135" s="115"/>
    </row>
    <row r="136" spans="1:8">
      <c r="A136" s="114" t="s">
        <v>335</v>
      </c>
      <c r="B136" s="222">
        <v>100.49997152943854</v>
      </c>
      <c r="C136" s="223">
        <v>36</v>
      </c>
      <c r="D136" s="223">
        <f t="shared" ref="D136:D168" si="12">SUM(B136:C136)</f>
        <v>136.49997152943854</v>
      </c>
      <c r="E136" s="224">
        <f>ROUND(D136/References!$H$23,0)</f>
        <v>11</v>
      </c>
      <c r="G136" s="115"/>
      <c r="H136" s="115"/>
    </row>
    <row r="137" spans="1:8">
      <c r="A137" s="114" t="s">
        <v>336</v>
      </c>
      <c r="B137" s="222">
        <v>25.242659188386668</v>
      </c>
      <c r="C137" s="223">
        <v>12</v>
      </c>
      <c r="D137" s="223">
        <f t="shared" si="12"/>
        <v>37.242659188386668</v>
      </c>
      <c r="E137" s="224">
        <f>ROUND(D137/References!$H$23,0)</f>
        <v>3</v>
      </c>
      <c r="G137" s="115"/>
      <c r="H137" s="115"/>
    </row>
    <row r="138" spans="1:8">
      <c r="A138" s="114" t="s">
        <v>302</v>
      </c>
      <c r="B138" s="222">
        <v>0</v>
      </c>
      <c r="C138" s="223">
        <v>0</v>
      </c>
      <c r="D138" s="223">
        <f t="shared" si="12"/>
        <v>0</v>
      </c>
      <c r="E138" s="224">
        <f>ROUND(D138/References!$H$23,0)</f>
        <v>0</v>
      </c>
      <c r="G138" s="115"/>
      <c r="H138" s="115"/>
    </row>
    <row r="139" spans="1:8">
      <c r="A139" s="114" t="s">
        <v>337</v>
      </c>
      <c r="B139" s="222">
        <v>398.91441420699459</v>
      </c>
      <c r="C139" s="223">
        <v>108.5</v>
      </c>
      <c r="D139" s="223">
        <f t="shared" si="12"/>
        <v>507.41441420699459</v>
      </c>
      <c r="E139" s="224">
        <f>ROUND(D139/References!$H$23,0)</f>
        <v>42</v>
      </c>
      <c r="G139" s="115"/>
      <c r="H139" s="115"/>
    </row>
    <row r="140" spans="1:8">
      <c r="A140" s="114" t="s">
        <v>338</v>
      </c>
      <c r="B140" s="222">
        <v>40.375033479152137</v>
      </c>
      <c r="C140" s="223">
        <v>0</v>
      </c>
      <c r="D140" s="223">
        <f t="shared" si="12"/>
        <v>40.375033479152137</v>
      </c>
      <c r="E140" s="224">
        <f>ROUND(D140/References!$H$23,0)</f>
        <v>3</v>
      </c>
      <c r="G140" s="115"/>
      <c r="H140" s="115"/>
    </row>
    <row r="141" spans="1:8">
      <c r="A141" s="114" t="s">
        <v>305</v>
      </c>
      <c r="B141" s="222">
        <v>23.999999999999996</v>
      </c>
      <c r="C141" s="223">
        <v>0</v>
      </c>
      <c r="D141" s="223">
        <f t="shared" si="12"/>
        <v>23.999999999999996</v>
      </c>
      <c r="E141" s="224">
        <f>ROUND(D141/References!$H$23,0)</f>
        <v>2</v>
      </c>
      <c r="G141" s="115"/>
      <c r="H141" s="115"/>
    </row>
    <row r="142" spans="1:8">
      <c r="A142" s="114" t="s">
        <v>339</v>
      </c>
      <c r="B142" s="222">
        <v>1687.0002140453096</v>
      </c>
      <c r="C142" s="223">
        <v>568.73454654569855</v>
      </c>
      <c r="D142" s="223">
        <f t="shared" si="12"/>
        <v>2255.7347605910081</v>
      </c>
      <c r="E142" s="224">
        <f>ROUND(D142/References!$H$23,0)</f>
        <v>188</v>
      </c>
      <c r="G142" s="115"/>
      <c r="H142" s="115"/>
    </row>
    <row r="143" spans="1:8">
      <c r="A143" s="114" t="s">
        <v>340</v>
      </c>
      <c r="B143" s="222">
        <v>262.22224379567194</v>
      </c>
      <c r="C143" s="223">
        <v>130.37501323825325</v>
      </c>
      <c r="D143" s="223">
        <f t="shared" si="12"/>
        <v>392.59725703392519</v>
      </c>
      <c r="E143" s="224">
        <f>ROUND(D143/References!$H$23,0)</f>
        <v>33</v>
      </c>
      <c r="G143" s="115"/>
      <c r="H143" s="115"/>
    </row>
    <row r="144" spans="1:8">
      <c r="A144" s="114" t="s">
        <v>308</v>
      </c>
      <c r="B144" s="222">
        <v>37.16667849600173</v>
      </c>
      <c r="C144" s="223">
        <v>0</v>
      </c>
      <c r="D144" s="223">
        <f t="shared" si="12"/>
        <v>37.16667849600173</v>
      </c>
      <c r="E144" s="224">
        <f>ROUND(D144/References!$H$23,0)</f>
        <v>3</v>
      </c>
      <c r="G144" s="115"/>
      <c r="H144" s="115"/>
    </row>
    <row r="145" spans="1:8">
      <c r="A145" s="114" t="s">
        <v>414</v>
      </c>
      <c r="B145" s="222">
        <v>11.750002252881435</v>
      </c>
      <c r="C145" s="223">
        <v>0</v>
      </c>
      <c r="D145" s="223">
        <f t="shared" si="12"/>
        <v>11.750002252881435</v>
      </c>
      <c r="E145" s="224">
        <f>ROUND(D145/References!$H$23,0)</f>
        <v>1</v>
      </c>
      <c r="G145" s="115"/>
      <c r="H145" s="115"/>
    </row>
    <row r="146" spans="1:8">
      <c r="A146" s="114" t="s">
        <v>341</v>
      </c>
      <c r="B146" s="222">
        <v>1099.1254531066525</v>
      </c>
      <c r="C146" s="223">
        <v>490.83337162403637</v>
      </c>
      <c r="D146" s="223">
        <f t="shared" si="12"/>
        <v>1589.9588247306888</v>
      </c>
      <c r="E146" s="224">
        <f>ROUND(D146/References!$H$23,0)</f>
        <v>132</v>
      </c>
      <c r="G146" s="115"/>
      <c r="H146" s="115"/>
    </row>
    <row r="147" spans="1:8">
      <c r="A147" s="114" t="s">
        <v>342</v>
      </c>
      <c r="B147" s="222">
        <v>689.69451313865659</v>
      </c>
      <c r="C147" s="223">
        <v>401.75002233652845</v>
      </c>
      <c r="D147" s="223">
        <f t="shared" si="12"/>
        <v>1091.4445354751851</v>
      </c>
      <c r="E147" s="224">
        <f>ROUND(D147/References!$H$23,0)</f>
        <v>91</v>
      </c>
      <c r="G147" s="115"/>
      <c r="H147" s="115"/>
    </row>
    <row r="148" spans="1:8">
      <c r="A148" s="114" t="s">
        <v>311</v>
      </c>
      <c r="B148" s="222">
        <v>167.4935883799491</v>
      </c>
      <c r="C148" s="223">
        <v>0</v>
      </c>
      <c r="D148" s="223">
        <f t="shared" si="12"/>
        <v>167.4935883799491</v>
      </c>
      <c r="E148" s="224">
        <f>ROUND(D148/References!$H$23,0)</f>
        <v>14</v>
      </c>
      <c r="G148" s="115"/>
      <c r="H148" s="115"/>
    </row>
    <row r="149" spans="1:8">
      <c r="A149" s="114" t="s">
        <v>312</v>
      </c>
      <c r="B149" s="222">
        <v>47.375004853007525</v>
      </c>
      <c r="C149" s="223">
        <v>0</v>
      </c>
      <c r="D149" s="223">
        <f t="shared" si="12"/>
        <v>47.375004853007525</v>
      </c>
      <c r="E149" s="224">
        <f>ROUND(D149/References!$H$23,0)</f>
        <v>4</v>
      </c>
      <c r="G149" s="115"/>
      <c r="H149" s="115"/>
    </row>
    <row r="150" spans="1:8">
      <c r="A150" s="114" t="s">
        <v>343</v>
      </c>
      <c r="B150" s="222">
        <v>39.649998978904165</v>
      </c>
      <c r="C150" s="223">
        <v>0</v>
      </c>
      <c r="D150" s="223">
        <f t="shared" si="12"/>
        <v>39.649998978904165</v>
      </c>
      <c r="E150" s="224">
        <f>D150/References!H23</f>
        <v>3.3041665815753469</v>
      </c>
      <c r="G150" s="115"/>
      <c r="H150" s="115"/>
    </row>
    <row r="151" spans="1:8">
      <c r="A151" s="114" t="s">
        <v>344</v>
      </c>
      <c r="B151" s="222">
        <v>11.999999999999998</v>
      </c>
      <c r="C151" s="223">
        <v>0</v>
      </c>
      <c r="D151" s="223">
        <f t="shared" si="12"/>
        <v>11.999999999999998</v>
      </c>
      <c r="E151" s="224">
        <f>ROUND(D151/References!$H$23,0)</f>
        <v>1</v>
      </c>
      <c r="G151" s="115"/>
      <c r="H151" s="115"/>
    </row>
    <row r="152" spans="1:8">
      <c r="A152" s="114" t="s">
        <v>345</v>
      </c>
      <c r="B152" s="222">
        <v>0</v>
      </c>
      <c r="C152" s="223">
        <v>0</v>
      </c>
      <c r="D152" s="223">
        <f t="shared" si="12"/>
        <v>0</v>
      </c>
      <c r="E152" s="224">
        <f>ROUND(D152/References!$H$23,0)</f>
        <v>0</v>
      </c>
      <c r="G152" s="115"/>
      <c r="H152" s="115"/>
    </row>
    <row r="153" spans="1:8">
      <c r="A153" s="114" t="s">
        <v>346</v>
      </c>
      <c r="B153" s="222">
        <v>12.241522137619855</v>
      </c>
      <c r="C153" s="223">
        <v>0</v>
      </c>
      <c r="D153" s="223">
        <f t="shared" si="12"/>
        <v>12.241522137619855</v>
      </c>
      <c r="E153" s="224">
        <f>ROUND(D153/References!$H$23,0)</f>
        <v>1</v>
      </c>
      <c r="G153" s="115"/>
      <c r="H153" s="115"/>
    </row>
    <row r="154" spans="1:8">
      <c r="A154" s="114" t="s">
        <v>347</v>
      </c>
      <c r="B154" s="222">
        <v>11.999999999999998</v>
      </c>
      <c r="C154" s="223">
        <v>0</v>
      </c>
      <c r="D154" s="223">
        <f t="shared" si="12"/>
        <v>11.999999999999998</v>
      </c>
      <c r="E154" s="224">
        <f>ROUND(D154/References!$H$23,0)</f>
        <v>1</v>
      </c>
      <c r="G154" s="115"/>
      <c r="H154" s="115"/>
    </row>
    <row r="155" spans="1:8">
      <c r="A155" s="114" t="s">
        <v>348</v>
      </c>
      <c r="B155" s="222">
        <v>13</v>
      </c>
      <c r="C155" s="223">
        <v>0</v>
      </c>
      <c r="D155" s="223">
        <f t="shared" si="12"/>
        <v>13</v>
      </c>
      <c r="E155" s="224">
        <f>ROUND(D155/References!$H$23,0)</f>
        <v>1</v>
      </c>
      <c r="G155" s="115"/>
      <c r="H155" s="115"/>
    </row>
    <row r="156" spans="1:8">
      <c r="A156" s="114" t="s">
        <v>349</v>
      </c>
      <c r="B156" s="222">
        <v>0</v>
      </c>
      <c r="C156" s="223">
        <v>0</v>
      </c>
      <c r="D156" s="223">
        <f t="shared" si="12"/>
        <v>0</v>
      </c>
      <c r="E156" s="224">
        <f>ROUND(D156/References!$H$23,0)</f>
        <v>0</v>
      </c>
      <c r="G156" s="115"/>
      <c r="H156" s="115"/>
    </row>
    <row r="157" spans="1:8">
      <c r="A157" s="114" t="s">
        <v>350</v>
      </c>
      <c r="B157" s="222">
        <v>0</v>
      </c>
      <c r="C157" s="223">
        <v>0</v>
      </c>
      <c r="D157" s="223">
        <f t="shared" si="12"/>
        <v>0</v>
      </c>
      <c r="E157" s="224">
        <f>ROUND(D157/References!$H$23,0)</f>
        <v>0</v>
      </c>
      <c r="G157" s="115"/>
      <c r="H157" s="115"/>
    </row>
    <row r="158" spans="1:8">
      <c r="A158" s="238" t="s">
        <v>351</v>
      </c>
      <c r="B158" s="222">
        <v>0</v>
      </c>
      <c r="C158" s="223">
        <v>12</v>
      </c>
      <c r="D158" s="223">
        <f t="shared" si="12"/>
        <v>12</v>
      </c>
      <c r="E158" s="224">
        <f>ROUND(D158/References!$H$23,0)</f>
        <v>1</v>
      </c>
      <c r="G158" s="115"/>
      <c r="H158" s="115"/>
    </row>
    <row r="159" spans="1:8">
      <c r="A159" s="114" t="s">
        <v>352</v>
      </c>
      <c r="B159" s="222">
        <v>0</v>
      </c>
      <c r="C159" s="223">
        <v>0</v>
      </c>
      <c r="D159" s="223">
        <f t="shared" si="12"/>
        <v>0</v>
      </c>
      <c r="E159" s="224">
        <f>ROUND(D159/References!$H$23,0)</f>
        <v>0</v>
      </c>
      <c r="G159" s="115"/>
      <c r="H159" s="115"/>
    </row>
    <row r="160" spans="1:8">
      <c r="A160" s="114" t="s">
        <v>353</v>
      </c>
      <c r="B160" s="222">
        <v>9.250001946418978</v>
      </c>
      <c r="C160" s="223">
        <v>0</v>
      </c>
      <c r="D160" s="223">
        <f t="shared" si="12"/>
        <v>9.250001946418978</v>
      </c>
      <c r="E160" s="224">
        <f>D160/References!H23</f>
        <v>0.77083349553491487</v>
      </c>
      <c r="G160" s="115"/>
      <c r="H160" s="115"/>
    </row>
    <row r="161" spans="1:8">
      <c r="A161" s="114" t="s">
        <v>354</v>
      </c>
      <c r="B161" s="222">
        <v>0</v>
      </c>
      <c r="C161" s="223">
        <v>0</v>
      </c>
      <c r="D161" s="223">
        <f t="shared" si="12"/>
        <v>0</v>
      </c>
      <c r="E161" s="224">
        <f>ROUND(D161/References!$H$23,0)</f>
        <v>0</v>
      </c>
      <c r="G161" s="115"/>
      <c r="H161" s="115"/>
    </row>
    <row r="162" spans="1:8">
      <c r="A162" s="114" t="s">
        <v>355</v>
      </c>
      <c r="B162" s="222">
        <v>0</v>
      </c>
      <c r="C162" s="223">
        <v>0</v>
      </c>
      <c r="D162" s="223">
        <f t="shared" si="12"/>
        <v>0</v>
      </c>
      <c r="E162" s="224">
        <f>ROUND(D162/References!$H$23,0)</f>
        <v>0</v>
      </c>
      <c r="G162" s="115"/>
      <c r="H162" s="115"/>
    </row>
    <row r="163" spans="1:8">
      <c r="A163" s="238" t="s">
        <v>356</v>
      </c>
      <c r="B163" s="222">
        <v>0</v>
      </c>
      <c r="C163" s="223">
        <v>0</v>
      </c>
      <c r="D163" s="223">
        <f t="shared" si="12"/>
        <v>0</v>
      </c>
      <c r="E163" s="224">
        <f>ROUND(D163/References!$H$23,0)</f>
        <v>0</v>
      </c>
      <c r="G163" s="115"/>
      <c r="H163" s="115"/>
    </row>
    <row r="164" spans="1:8">
      <c r="A164" s="238" t="s">
        <v>357</v>
      </c>
      <c r="B164" s="222">
        <v>0</v>
      </c>
      <c r="C164" s="223">
        <v>12</v>
      </c>
      <c r="D164" s="223">
        <f t="shared" si="12"/>
        <v>12</v>
      </c>
      <c r="E164" s="224">
        <f>ROUND(D164/References!$H$23,0)</f>
        <v>1</v>
      </c>
      <c r="G164" s="115"/>
      <c r="H164" s="115"/>
    </row>
    <row r="165" spans="1:8">
      <c r="A165" s="238" t="s">
        <v>358</v>
      </c>
      <c r="B165" s="222">
        <v>0</v>
      </c>
      <c r="C165" s="223">
        <v>0</v>
      </c>
      <c r="D165" s="223">
        <f t="shared" si="12"/>
        <v>0</v>
      </c>
      <c r="E165" s="224">
        <f>ROUND(D165/References!$H$23,0)</f>
        <v>0</v>
      </c>
      <c r="G165" s="115"/>
      <c r="H165" s="115"/>
    </row>
    <row r="166" spans="1:8">
      <c r="A166" s="238" t="s">
        <v>359</v>
      </c>
      <c r="B166" s="222">
        <v>17.779278142352343</v>
      </c>
      <c r="C166" s="223">
        <v>0</v>
      </c>
      <c r="D166" s="223">
        <f t="shared" si="12"/>
        <v>17.779278142352343</v>
      </c>
      <c r="E166" s="224">
        <f>(D166/References!$H$23)</f>
        <v>1.4816065118626953</v>
      </c>
      <c r="G166" s="115"/>
      <c r="H166" s="115"/>
    </row>
    <row r="167" spans="1:8">
      <c r="A167" s="238" t="s">
        <v>360</v>
      </c>
      <c r="B167" s="222">
        <v>0</v>
      </c>
      <c r="C167" s="223">
        <v>11.999999999999998</v>
      </c>
      <c r="D167" s="223">
        <f t="shared" si="12"/>
        <v>11.999999999999998</v>
      </c>
      <c r="E167" s="224">
        <f>ROUND(D167/References!$H$23,0)</f>
        <v>1</v>
      </c>
      <c r="G167" s="115"/>
      <c r="H167" s="115"/>
    </row>
    <row r="168" spans="1:8">
      <c r="A168" s="114" t="s">
        <v>361</v>
      </c>
      <c r="B168" s="222">
        <v>2</v>
      </c>
      <c r="C168" s="223">
        <v>0</v>
      </c>
      <c r="D168" s="223">
        <f t="shared" si="12"/>
        <v>2</v>
      </c>
      <c r="E168" s="224">
        <f>ROUND(D168/References!$H$23,0)</f>
        <v>0</v>
      </c>
      <c r="G168" s="115"/>
      <c r="H168" s="115"/>
    </row>
    <row r="169" spans="1:8">
      <c r="A169" s="114"/>
      <c r="B169" s="222"/>
      <c r="C169" s="223"/>
      <c r="D169" s="223"/>
      <c r="E169" s="224"/>
      <c r="G169" s="115"/>
      <c r="H169" s="115"/>
    </row>
    <row r="170" spans="1:8">
      <c r="A170" s="114" t="s">
        <v>335</v>
      </c>
      <c r="B170" s="222">
        <v>3371.9789602550964</v>
      </c>
      <c r="C170" s="223">
        <v>1513.7471141456083</v>
      </c>
      <c r="D170" s="223">
        <f t="shared" ref="D170:D179" si="13">SUM(B170:C170)</f>
        <v>4885.7260744007044</v>
      </c>
      <c r="E170" s="224">
        <f>ROUND(D170/References!$H$23,0)</f>
        <v>407</v>
      </c>
      <c r="G170" s="115"/>
      <c r="H170" s="115"/>
    </row>
    <row r="171" spans="1:8">
      <c r="A171" s="114" t="s">
        <v>362</v>
      </c>
      <c r="B171" s="222">
        <v>11</v>
      </c>
      <c r="C171" s="223">
        <v>57.000000000000007</v>
      </c>
      <c r="D171" s="223">
        <f t="shared" si="13"/>
        <v>68</v>
      </c>
      <c r="E171" s="224">
        <f>ROUND(D171/References!$H$23,0)</f>
        <v>6</v>
      </c>
      <c r="G171" s="115"/>
      <c r="H171" s="115"/>
    </row>
    <row r="172" spans="1:8">
      <c r="A172" s="114" t="s">
        <v>363</v>
      </c>
      <c r="B172" s="222">
        <v>0</v>
      </c>
      <c r="C172" s="223">
        <v>72</v>
      </c>
      <c r="D172" s="223">
        <f t="shared" si="13"/>
        <v>72</v>
      </c>
      <c r="E172" s="224">
        <f>ROUND(D172/References!$H$23,0)</f>
        <v>6</v>
      </c>
      <c r="G172" s="115"/>
      <c r="H172" s="115"/>
    </row>
    <row r="173" spans="1:8">
      <c r="A173" s="114" t="s">
        <v>336</v>
      </c>
      <c r="B173" s="222">
        <v>634.53619906820734</v>
      </c>
      <c r="C173" s="223">
        <v>224.25000000000003</v>
      </c>
      <c r="D173" s="223">
        <f t="shared" si="13"/>
        <v>858.78619906820734</v>
      </c>
      <c r="E173" s="224">
        <f>ROUND(D173/References!$H$23,0)</f>
        <v>72</v>
      </c>
      <c r="G173" s="115"/>
      <c r="H173" s="115"/>
    </row>
    <row r="174" spans="1:8">
      <c r="A174" s="114" t="s">
        <v>364</v>
      </c>
      <c r="B174" s="222">
        <v>44.616332885662445</v>
      </c>
      <c r="C174" s="223">
        <v>48</v>
      </c>
      <c r="D174" s="223">
        <f t="shared" si="13"/>
        <v>92.616332885662445</v>
      </c>
      <c r="E174" s="224">
        <f>ROUND(D174/References!$H$23,0)</f>
        <v>8</v>
      </c>
      <c r="G174" s="115"/>
      <c r="H174" s="115"/>
    </row>
    <row r="175" spans="1:8">
      <c r="A175" s="114" t="s">
        <v>337</v>
      </c>
      <c r="B175" s="222">
        <v>3350.1823433880913</v>
      </c>
      <c r="C175" s="223">
        <v>1730.7326368201757</v>
      </c>
      <c r="D175" s="223">
        <f t="shared" si="13"/>
        <v>5080.9149802082666</v>
      </c>
      <c r="E175" s="224">
        <f>ROUND(D175/References!$H$23,0)</f>
        <v>423</v>
      </c>
      <c r="G175" s="115"/>
      <c r="H175" s="115"/>
    </row>
    <row r="176" spans="1:8">
      <c r="A176" s="114" t="s">
        <v>338</v>
      </c>
      <c r="B176" s="222">
        <v>414.87509974820455</v>
      </c>
      <c r="C176" s="223">
        <v>558.00003313452623</v>
      </c>
      <c r="D176" s="223">
        <f t="shared" si="13"/>
        <v>972.87513288273078</v>
      </c>
      <c r="E176" s="224">
        <f>ROUND(D176/References!$H$23,0)</f>
        <v>81</v>
      </c>
      <c r="G176" s="115"/>
      <c r="H176" s="115"/>
    </row>
    <row r="177" spans="1:8">
      <c r="A177" s="114" t="s">
        <v>305</v>
      </c>
      <c r="B177" s="222">
        <v>62.249875751254983</v>
      </c>
      <c r="C177" s="223">
        <v>47.999999999999993</v>
      </c>
      <c r="D177" s="223">
        <f t="shared" si="13"/>
        <v>110.24987575125498</v>
      </c>
      <c r="E177" s="224">
        <f>ROUND(D177/References!$H$23,0)</f>
        <v>9</v>
      </c>
      <c r="G177" s="115"/>
      <c r="H177" s="115"/>
    </row>
    <row r="178" spans="1:8">
      <c r="A178" s="114" t="s">
        <v>365</v>
      </c>
      <c r="B178" s="222">
        <v>12.000000000000002</v>
      </c>
      <c r="C178" s="223">
        <v>0</v>
      </c>
      <c r="D178" s="223">
        <f t="shared" si="13"/>
        <v>12.000000000000002</v>
      </c>
      <c r="E178" s="224">
        <f>ROUND(D178/References!$H$23,0)</f>
        <v>1</v>
      </c>
      <c r="G178" s="115"/>
      <c r="H178" s="115"/>
    </row>
    <row r="179" spans="1:8">
      <c r="A179" s="114" t="s">
        <v>366</v>
      </c>
      <c r="B179" s="222">
        <v>36</v>
      </c>
      <c r="C179" s="223">
        <v>0</v>
      </c>
      <c r="D179" s="223">
        <f t="shared" si="13"/>
        <v>36</v>
      </c>
      <c r="E179" s="224">
        <f>ROUND(D179/References!$H$23,0)</f>
        <v>3</v>
      </c>
      <c r="G179" s="115"/>
      <c r="H179" s="115"/>
    </row>
    <row r="180" spans="1:8">
      <c r="A180" s="114"/>
      <c r="B180" s="222"/>
      <c r="C180" s="223"/>
      <c r="D180" s="223"/>
      <c r="E180" s="224"/>
      <c r="G180" s="115"/>
      <c r="H180" s="115"/>
    </row>
    <row r="181" spans="1:8">
      <c r="A181" s="114" t="s">
        <v>313</v>
      </c>
      <c r="B181" s="222">
        <v>32.5435368043088</v>
      </c>
      <c r="C181" s="223">
        <v>47</v>
      </c>
      <c r="D181" s="223">
        <f t="shared" ref="D181:D183" si="14">SUM(B181:C181)</f>
        <v>79.5435368043088</v>
      </c>
      <c r="E181" s="224">
        <f>ROUND(D181/References!$H$23,0)</f>
        <v>7</v>
      </c>
    </row>
    <row r="182" spans="1:8">
      <c r="A182" s="114" t="s">
        <v>314</v>
      </c>
      <c r="B182" s="222">
        <v>14</v>
      </c>
      <c r="C182" s="223">
        <v>0</v>
      </c>
      <c r="D182" s="223">
        <f t="shared" si="14"/>
        <v>14</v>
      </c>
      <c r="E182" s="224">
        <f>ROUND(D182/References!$H$23,0)</f>
        <v>1</v>
      </c>
    </row>
    <row r="183" spans="1:8">
      <c r="A183" s="114" t="s">
        <v>315</v>
      </c>
      <c r="B183" s="222">
        <v>342.84531886024422</v>
      </c>
      <c r="C183" s="223">
        <v>171.79131614654005</v>
      </c>
      <c r="D183" s="223">
        <f t="shared" si="14"/>
        <v>514.63663500678422</v>
      </c>
      <c r="E183" s="224">
        <f>ROUND(D183/References!$H$23,0)</f>
        <v>43</v>
      </c>
    </row>
    <row r="184" spans="1:8">
      <c r="A184" s="114"/>
      <c r="B184" s="222">
        <v>0</v>
      </c>
      <c r="C184" s="223"/>
      <c r="D184" s="223"/>
      <c r="E184" s="224"/>
    </row>
    <row r="185" spans="1:8">
      <c r="A185" s="114" t="s">
        <v>316</v>
      </c>
      <c r="B185" s="222">
        <v>1</v>
      </c>
      <c r="C185" s="223">
        <v>0</v>
      </c>
      <c r="D185" s="223">
        <f t="shared" ref="D185:D189" si="15">SUM(B185:C185)</f>
        <v>1</v>
      </c>
      <c r="E185" s="224">
        <f>ROUND(D185/References!$H$23,0)</f>
        <v>0</v>
      </c>
    </row>
    <row r="186" spans="1:8">
      <c r="A186" s="114" t="s">
        <v>316</v>
      </c>
      <c r="B186" s="222">
        <v>18.999999999999996</v>
      </c>
      <c r="C186" s="223">
        <v>7</v>
      </c>
      <c r="D186" s="223">
        <f t="shared" si="15"/>
        <v>25.999999999999996</v>
      </c>
      <c r="E186" s="224">
        <f>ROUND(D186/References!$H$23,0)</f>
        <v>2</v>
      </c>
    </row>
    <row r="187" spans="1:8">
      <c r="A187" s="114" t="s">
        <v>317</v>
      </c>
      <c r="B187" s="222">
        <v>4</v>
      </c>
      <c r="C187" s="223">
        <v>0</v>
      </c>
      <c r="D187" s="223">
        <f t="shared" si="15"/>
        <v>4</v>
      </c>
      <c r="E187" s="224">
        <f>ROUND(D187/References!$H$23,0)</f>
        <v>0</v>
      </c>
    </row>
    <row r="188" spans="1:8">
      <c r="A188" s="114" t="s">
        <v>318</v>
      </c>
      <c r="B188" s="222">
        <v>18</v>
      </c>
      <c r="C188" s="223">
        <v>7.9999999999999991</v>
      </c>
      <c r="D188" s="223">
        <f t="shared" si="15"/>
        <v>26</v>
      </c>
      <c r="E188" s="224">
        <f>ROUND(D188/References!$H$23,0)</f>
        <v>2</v>
      </c>
    </row>
    <row r="189" spans="1:8">
      <c r="A189" s="114" t="s">
        <v>318</v>
      </c>
      <c r="B189" s="222">
        <v>33</v>
      </c>
      <c r="C189" s="223">
        <v>23.999999999999996</v>
      </c>
      <c r="D189" s="223">
        <f t="shared" si="15"/>
        <v>57</v>
      </c>
      <c r="E189" s="224">
        <f>ROUND(D189/References!$H$23,0)</f>
        <v>5</v>
      </c>
    </row>
    <row r="190" spans="1:8">
      <c r="A190" s="114" t="s">
        <v>319</v>
      </c>
      <c r="B190" s="222">
        <v>41.979976268169686</v>
      </c>
      <c r="C190" s="228">
        <v>8</v>
      </c>
      <c r="D190" s="223">
        <f t="shared" ref="D190:D191" si="16">SUM(B190:C190)</f>
        <v>49.979976268169686</v>
      </c>
      <c r="E190" s="224">
        <f>ROUND(D190/References!$H$23,0)</f>
        <v>4</v>
      </c>
    </row>
    <row r="191" spans="1:8">
      <c r="A191" s="114" t="s">
        <v>320</v>
      </c>
      <c r="B191" s="222">
        <v>118.09289499297068</v>
      </c>
      <c r="C191" s="228">
        <v>5</v>
      </c>
      <c r="D191" s="223">
        <f t="shared" si="16"/>
        <v>123.09289499297068</v>
      </c>
      <c r="E191" s="224">
        <f>ROUND(D191/References!$H$23,0)</f>
        <v>10</v>
      </c>
    </row>
    <row r="192" spans="1:8">
      <c r="A192" s="234"/>
      <c r="B192" s="197"/>
    </row>
    <row r="193" spans="1:5">
      <c r="A193" s="239" t="s">
        <v>367</v>
      </c>
      <c r="B193" s="197"/>
    </row>
    <row r="194" spans="1:5">
      <c r="A194" s="240" t="s">
        <v>368</v>
      </c>
      <c r="B194" s="197"/>
      <c r="D194" s="38" t="s">
        <v>408</v>
      </c>
    </row>
    <row r="195" spans="1:5">
      <c r="A195" s="234" t="s">
        <v>369</v>
      </c>
      <c r="B195" s="222">
        <v>370.31048192771084</v>
      </c>
      <c r="C195" s="223">
        <v>40.43397590361446</v>
      </c>
      <c r="D195" s="223">
        <f t="shared" ref="D195:D199" si="17">SUM(B195:C195)</f>
        <v>410.74445783132529</v>
      </c>
      <c r="E195" s="224">
        <f>ROUND(D195/References!$H$23,0)</f>
        <v>34</v>
      </c>
    </row>
    <row r="196" spans="1:5">
      <c r="A196" s="234" t="s">
        <v>370</v>
      </c>
      <c r="B196" s="222">
        <v>466.49032258064517</v>
      </c>
      <c r="C196" s="223">
        <v>48.805376344086021</v>
      </c>
      <c r="D196" s="223">
        <f t="shared" si="17"/>
        <v>515.29569892473114</v>
      </c>
      <c r="E196" s="224">
        <f>ROUND(D196/References!$H$23,0)</f>
        <v>43</v>
      </c>
    </row>
    <row r="197" spans="1:5">
      <c r="A197" s="234" t="s">
        <v>371</v>
      </c>
      <c r="B197" s="222">
        <v>1088.5683333333334</v>
      </c>
      <c r="C197" s="223">
        <v>69.290392156862737</v>
      </c>
      <c r="D197" s="223">
        <f t="shared" si="17"/>
        <v>1157.8587254901961</v>
      </c>
      <c r="E197" s="224">
        <f>ROUND(D197/References!$H$23,0)</f>
        <v>96</v>
      </c>
    </row>
    <row r="198" spans="1:5">
      <c r="A198" s="234" t="s">
        <v>372</v>
      </c>
      <c r="B198" s="222">
        <v>60</v>
      </c>
      <c r="C198" s="223">
        <v>0</v>
      </c>
      <c r="D198" s="223">
        <f t="shared" si="17"/>
        <v>60</v>
      </c>
      <c r="E198" s="224">
        <f>ROUND(D198/References!$H$23,0)</f>
        <v>5</v>
      </c>
    </row>
    <row r="199" spans="1:5">
      <c r="A199" s="234" t="s">
        <v>373</v>
      </c>
      <c r="B199" s="222">
        <v>0</v>
      </c>
      <c r="C199" s="223">
        <v>0</v>
      </c>
      <c r="D199" s="223">
        <f t="shared" si="17"/>
        <v>0</v>
      </c>
      <c r="E199" s="224">
        <f>ROUND(D199/References!$H$23,0)</f>
        <v>0</v>
      </c>
    </row>
    <row r="200" spans="1:5">
      <c r="A200" s="234"/>
      <c r="B200" s="233"/>
    </row>
    <row r="201" spans="1:5">
      <c r="A201" s="240" t="s">
        <v>374</v>
      </c>
      <c r="B201" s="232"/>
    </row>
    <row r="202" spans="1:5">
      <c r="A202" s="234" t="s">
        <v>369</v>
      </c>
      <c r="B202" s="222">
        <v>702.00000000000011</v>
      </c>
      <c r="C202" s="223">
        <v>104</v>
      </c>
      <c r="D202" s="223">
        <f t="shared" ref="D202:D206" si="18">SUM(B202:C202)</f>
        <v>806.00000000000011</v>
      </c>
      <c r="E202" s="224">
        <f>ROUND(D202/References!$H$23,0)</f>
        <v>67</v>
      </c>
    </row>
    <row r="203" spans="1:5">
      <c r="A203" s="234" t="s">
        <v>370</v>
      </c>
      <c r="B203" s="222">
        <v>1022.0367647058823</v>
      </c>
      <c r="C203" s="223">
        <v>86.999999999999986</v>
      </c>
      <c r="D203" s="223">
        <f t="shared" si="18"/>
        <v>1109.0367647058822</v>
      </c>
      <c r="E203" s="224">
        <f>ROUND(D203/References!$H$23,0)</f>
        <v>92</v>
      </c>
    </row>
    <row r="204" spans="1:5">
      <c r="A204" s="234" t="s">
        <v>371</v>
      </c>
      <c r="B204" s="222">
        <v>2821.0000000000005</v>
      </c>
      <c r="C204" s="223">
        <v>87</v>
      </c>
      <c r="D204" s="223">
        <f t="shared" si="18"/>
        <v>2908.0000000000005</v>
      </c>
      <c r="E204" s="224">
        <f>ROUND(D204/References!$H$23,0)</f>
        <v>242</v>
      </c>
    </row>
    <row r="205" spans="1:5">
      <c r="A205" s="234" t="s">
        <v>372</v>
      </c>
      <c r="B205" s="222">
        <v>236</v>
      </c>
      <c r="C205" s="223">
        <v>0</v>
      </c>
      <c r="D205" s="223">
        <f t="shared" si="18"/>
        <v>236</v>
      </c>
      <c r="E205" s="224">
        <f>ROUND(D205/References!$H$23,0)</f>
        <v>20</v>
      </c>
    </row>
    <row r="206" spans="1:5">
      <c r="A206" s="234" t="s">
        <v>373</v>
      </c>
      <c r="B206" s="222">
        <v>0</v>
      </c>
      <c r="C206" s="223">
        <v>0</v>
      </c>
      <c r="D206" s="223">
        <f t="shared" si="18"/>
        <v>0</v>
      </c>
      <c r="E206" s="224">
        <f>ROUND(D206/References!$H$23,0)</f>
        <v>0</v>
      </c>
    </row>
    <row r="207" spans="1:5">
      <c r="A207" s="234"/>
      <c r="B207" s="232"/>
    </row>
    <row r="208" spans="1:5">
      <c r="A208" s="240" t="s">
        <v>375</v>
      </c>
      <c r="B208" s="232"/>
    </row>
    <row r="209" spans="1:5">
      <c r="A209" s="234" t="s">
        <v>369</v>
      </c>
      <c r="B209" s="222">
        <v>4432.3489361702123</v>
      </c>
      <c r="C209" s="223">
        <v>2571.8702127659576</v>
      </c>
      <c r="D209" s="223">
        <f t="shared" ref="D209:D212" si="19">SUM(B209:C209)</f>
        <v>7004.2191489361703</v>
      </c>
      <c r="E209" s="224">
        <f>ROUND(D209/References!$H$23,0)</f>
        <v>584</v>
      </c>
    </row>
    <row r="210" spans="1:5">
      <c r="A210" s="234" t="s">
        <v>370</v>
      </c>
      <c r="B210" s="222">
        <v>1819.7428571428572</v>
      </c>
      <c r="C210" s="223">
        <v>802.92040816326528</v>
      </c>
      <c r="D210" s="223">
        <f t="shared" si="19"/>
        <v>2622.6632653061224</v>
      </c>
      <c r="E210" s="224">
        <f>ROUND(D210/References!$H$23,0)</f>
        <v>219</v>
      </c>
    </row>
    <row r="211" spans="1:5">
      <c r="A211" s="234" t="s">
        <v>371</v>
      </c>
      <c r="B211" s="222">
        <v>7889.2109375</v>
      </c>
      <c r="C211" s="223">
        <v>2658.978515625</v>
      </c>
      <c r="D211" s="223">
        <f t="shared" si="19"/>
        <v>10548.189453125</v>
      </c>
      <c r="E211" s="224">
        <f>ROUND(D211/References!$H$23,0)</f>
        <v>879</v>
      </c>
    </row>
    <row r="212" spans="1:5">
      <c r="A212" s="234" t="s">
        <v>372</v>
      </c>
      <c r="B212" s="222">
        <v>63.387096774193544</v>
      </c>
      <c r="C212" s="223">
        <v>0</v>
      </c>
      <c r="D212" s="223">
        <f t="shared" si="19"/>
        <v>63.387096774193544</v>
      </c>
      <c r="E212" s="224">
        <f>ROUND(D212/References!$H$23,0)</f>
        <v>5</v>
      </c>
    </row>
    <row r="213" spans="1:5">
      <c r="A213" s="234"/>
      <c r="B213" s="232"/>
    </row>
    <row r="214" spans="1:5">
      <c r="A214" s="240" t="s">
        <v>376</v>
      </c>
      <c r="B214" s="232"/>
    </row>
    <row r="215" spans="1:5">
      <c r="A215" s="234" t="s">
        <v>369</v>
      </c>
      <c r="B215" s="222">
        <v>264.12493970091651</v>
      </c>
      <c r="C215" s="223">
        <v>140</v>
      </c>
      <c r="D215" s="223">
        <f t="shared" ref="D215:D218" si="20">SUM(B215:C215)</f>
        <v>404.12493970091651</v>
      </c>
      <c r="E215" s="224">
        <f>ROUND(D215/References!$H$23,0)</f>
        <v>34</v>
      </c>
    </row>
    <row r="216" spans="1:5">
      <c r="A216" s="234" t="s">
        <v>370</v>
      </c>
      <c r="B216" s="222">
        <v>138</v>
      </c>
      <c r="C216" s="223">
        <v>51</v>
      </c>
      <c r="D216" s="223">
        <f t="shared" si="20"/>
        <v>189</v>
      </c>
      <c r="E216" s="224">
        <f>ROUND(D216/References!$H$23,0)</f>
        <v>16</v>
      </c>
    </row>
    <row r="217" spans="1:5">
      <c r="A217" s="234" t="s">
        <v>371</v>
      </c>
      <c r="B217" s="222">
        <v>743.74339622641514</v>
      </c>
      <c r="C217" s="223">
        <v>182.03001715265867</v>
      </c>
      <c r="D217" s="223">
        <f t="shared" si="20"/>
        <v>925.77341337907387</v>
      </c>
      <c r="E217" s="224">
        <f>ROUND(D217/References!$H$23,0)</f>
        <v>77</v>
      </c>
    </row>
    <row r="218" spans="1:5">
      <c r="A218" s="234" t="s">
        <v>372</v>
      </c>
      <c r="B218" s="222">
        <v>0</v>
      </c>
      <c r="C218" s="223">
        <v>0</v>
      </c>
      <c r="D218" s="223">
        <f t="shared" si="20"/>
        <v>0</v>
      </c>
      <c r="E218" s="224">
        <f>ROUND(D218/References!$H$23,0)</f>
        <v>0</v>
      </c>
    </row>
    <row r="219" spans="1:5">
      <c r="A219" s="234"/>
      <c r="B219" s="232"/>
    </row>
    <row r="220" spans="1:5">
      <c r="A220" s="240" t="s">
        <v>377</v>
      </c>
      <c r="B220" s="232"/>
    </row>
    <row r="221" spans="1:5">
      <c r="A221" s="234" t="s">
        <v>378</v>
      </c>
      <c r="B221" s="222">
        <v>0</v>
      </c>
      <c r="C221" s="223">
        <v>0</v>
      </c>
      <c r="D221" s="223">
        <f t="shared" ref="D221:D225" si="21">SUM(B221:C221)</f>
        <v>0</v>
      </c>
      <c r="E221" s="224">
        <f>ROUND(D221/References!$H$23,0)</f>
        <v>0</v>
      </c>
    </row>
    <row r="222" spans="1:5">
      <c r="A222" s="234" t="s">
        <v>369</v>
      </c>
      <c r="B222" s="222">
        <v>20</v>
      </c>
      <c r="C222" s="223">
        <v>0</v>
      </c>
      <c r="D222" s="223">
        <f t="shared" si="21"/>
        <v>20</v>
      </c>
      <c r="E222" s="224">
        <f>ROUND(D222/References!$H$23,0)</f>
        <v>2</v>
      </c>
    </row>
    <row r="223" spans="1:5">
      <c r="A223" s="234" t="s">
        <v>370</v>
      </c>
      <c r="B223" s="222">
        <v>0</v>
      </c>
      <c r="C223" s="223">
        <v>0</v>
      </c>
      <c r="D223" s="223">
        <f t="shared" si="21"/>
        <v>0</v>
      </c>
      <c r="E223" s="224">
        <f>ROUND(D223/References!$H$23,0)</f>
        <v>0</v>
      </c>
    </row>
    <row r="224" spans="1:5">
      <c r="A224" s="234" t="s">
        <v>371</v>
      </c>
      <c r="B224" s="222">
        <v>0</v>
      </c>
      <c r="C224" s="223">
        <v>0</v>
      </c>
      <c r="D224" s="223">
        <f t="shared" si="21"/>
        <v>0</v>
      </c>
      <c r="E224" s="224">
        <f>ROUND(D224/References!$H$23,0)</f>
        <v>0</v>
      </c>
    </row>
    <row r="225" spans="1:5">
      <c r="A225" s="234" t="s">
        <v>372</v>
      </c>
      <c r="B225" s="222">
        <v>0</v>
      </c>
      <c r="C225" s="223">
        <v>0</v>
      </c>
      <c r="D225" s="223">
        <f t="shared" si="21"/>
        <v>0</v>
      </c>
      <c r="E225" s="224">
        <f>ROUND(D225/References!$H$23,0)</f>
        <v>0</v>
      </c>
    </row>
    <row r="226" spans="1:5">
      <c r="A226" s="234"/>
      <c r="B226" s="232"/>
    </row>
    <row r="227" spans="1:5">
      <c r="A227" s="240" t="s">
        <v>379</v>
      </c>
      <c r="B227" s="232"/>
    </row>
    <row r="228" spans="1:5">
      <c r="A228" s="234" t="s">
        <v>378</v>
      </c>
      <c r="B228" s="222">
        <v>0</v>
      </c>
      <c r="C228" s="223">
        <v>129</v>
      </c>
      <c r="D228" s="223">
        <f t="shared" ref="D228:D234" si="22">SUM(B228:C228)</f>
        <v>129</v>
      </c>
      <c r="E228" s="224">
        <f>ROUND(D228/References!$H$23,0)</f>
        <v>11</v>
      </c>
    </row>
    <row r="229" spans="1:5">
      <c r="A229" s="234" t="s">
        <v>380</v>
      </c>
      <c r="B229" s="222">
        <v>22.999999999999996</v>
      </c>
      <c r="C229" s="223">
        <v>12.999999999999998</v>
      </c>
      <c r="D229" s="223">
        <f t="shared" si="22"/>
        <v>35.999999999999993</v>
      </c>
      <c r="E229" s="224">
        <f>ROUND(D229/References!$H$23,0)</f>
        <v>3</v>
      </c>
    </row>
    <row r="230" spans="1:5">
      <c r="A230" s="234" t="s">
        <v>369</v>
      </c>
      <c r="B230" s="222">
        <v>245</v>
      </c>
      <c r="C230" s="223">
        <v>67</v>
      </c>
      <c r="D230" s="223">
        <f t="shared" si="22"/>
        <v>312</v>
      </c>
      <c r="E230" s="224">
        <f>ROUND(D230/References!$H$23,0)</f>
        <v>26</v>
      </c>
    </row>
    <row r="231" spans="1:5">
      <c r="A231" s="234" t="s">
        <v>370</v>
      </c>
      <c r="B231" s="222">
        <v>528.99999999999989</v>
      </c>
      <c r="C231" s="223">
        <v>99.999999999999986</v>
      </c>
      <c r="D231" s="223">
        <f t="shared" si="22"/>
        <v>628.99999999999989</v>
      </c>
      <c r="E231" s="224">
        <f>ROUND(D231/References!$H$23,0)</f>
        <v>52</v>
      </c>
    </row>
    <row r="232" spans="1:5">
      <c r="A232" s="234" t="s">
        <v>371</v>
      </c>
      <c r="B232" s="222">
        <v>813</v>
      </c>
      <c r="C232" s="223">
        <v>223</v>
      </c>
      <c r="D232" s="223">
        <f t="shared" si="22"/>
        <v>1036</v>
      </c>
      <c r="E232" s="224">
        <f>ROUND(D232/References!$H$23,0)</f>
        <v>86</v>
      </c>
    </row>
    <row r="233" spans="1:5">
      <c r="A233" s="234" t="s">
        <v>381</v>
      </c>
      <c r="B233" s="222">
        <v>26</v>
      </c>
      <c r="C233" s="223">
        <v>0</v>
      </c>
      <c r="D233" s="223">
        <f t="shared" si="22"/>
        <v>26</v>
      </c>
      <c r="E233" s="224">
        <f>ROUND(D233/References!$H$23,0)</f>
        <v>2</v>
      </c>
    </row>
    <row r="234" spans="1:5">
      <c r="A234" s="234" t="s">
        <v>372</v>
      </c>
      <c r="B234" s="222">
        <v>420</v>
      </c>
      <c r="C234" s="223">
        <v>28</v>
      </c>
      <c r="D234" s="223">
        <f t="shared" si="22"/>
        <v>448</v>
      </c>
      <c r="E234" s="224">
        <f>ROUND(D234/References!$H$23,0)</f>
        <v>37</v>
      </c>
    </row>
    <row r="235" spans="1:5">
      <c r="A235" s="234"/>
      <c r="B235" s="232"/>
    </row>
    <row r="236" spans="1:5">
      <c r="A236" s="240" t="s">
        <v>382</v>
      </c>
      <c r="B236" s="232"/>
    </row>
    <row r="237" spans="1:5">
      <c r="A237" s="234" t="s">
        <v>383</v>
      </c>
      <c r="B237" s="222">
        <v>549.86955056179772</v>
      </c>
      <c r="C237" s="223">
        <v>219</v>
      </c>
      <c r="D237" s="223">
        <f t="shared" ref="D237:D246" si="23">SUM(B237:C237)</f>
        <v>768.86955056179772</v>
      </c>
      <c r="E237" s="224">
        <f>ROUND(D237/References!$H$23,0)</f>
        <v>64</v>
      </c>
    </row>
    <row r="238" spans="1:5">
      <c r="A238" s="234" t="s">
        <v>384</v>
      </c>
      <c r="B238" s="222">
        <v>121651.38857142859</v>
      </c>
      <c r="C238" s="223">
        <v>2630</v>
      </c>
      <c r="D238" s="223">
        <f t="shared" si="23"/>
        <v>124281.38857142859</v>
      </c>
      <c r="E238" s="224">
        <f>ROUND(D238/References!$H$23,0)</f>
        <v>10357</v>
      </c>
    </row>
    <row r="239" spans="1:5">
      <c r="A239" s="234" t="s">
        <v>385</v>
      </c>
      <c r="B239" s="222">
        <v>2016.2519083969466</v>
      </c>
      <c r="C239" s="223">
        <v>535.01374045801526</v>
      </c>
      <c r="D239" s="223">
        <f t="shared" si="23"/>
        <v>2551.2656488549619</v>
      </c>
      <c r="E239" s="224">
        <f>ROUND(D239/References!$H$23,0)</f>
        <v>213</v>
      </c>
    </row>
    <row r="240" spans="1:5">
      <c r="A240" s="234" t="s">
        <v>386</v>
      </c>
      <c r="B240" s="222">
        <v>1852</v>
      </c>
      <c r="C240" s="223">
        <v>422</v>
      </c>
      <c r="D240" s="223">
        <f t="shared" si="23"/>
        <v>2274</v>
      </c>
      <c r="E240" s="224">
        <f>ROUND(D240/References!$H$23,0)</f>
        <v>190</v>
      </c>
    </row>
    <row r="241" spans="1:5">
      <c r="A241" s="234" t="s">
        <v>387</v>
      </c>
      <c r="B241" s="222">
        <v>164.20771113831088</v>
      </c>
      <c r="C241" s="223">
        <v>12.579742962056303</v>
      </c>
      <c r="D241" s="223">
        <f t="shared" si="23"/>
        <v>176.7874541003672</v>
      </c>
      <c r="E241" s="224">
        <f>ROUND(D241/References!$H$23,0)</f>
        <v>15</v>
      </c>
    </row>
    <row r="242" spans="1:5">
      <c r="A242" s="234" t="s">
        <v>388</v>
      </c>
      <c r="B242" s="222">
        <v>57.75</v>
      </c>
      <c r="C242" s="223">
        <v>14.418604651162791</v>
      </c>
      <c r="D242" s="223">
        <f t="shared" si="23"/>
        <v>72.168604651162795</v>
      </c>
      <c r="E242" s="224">
        <f>ROUND(D242/References!$H$23,0)</f>
        <v>6</v>
      </c>
    </row>
    <row r="243" spans="1:5">
      <c r="A243" s="234" t="s">
        <v>389</v>
      </c>
      <c r="B243" s="222">
        <v>43</v>
      </c>
      <c r="C243" s="223">
        <v>4</v>
      </c>
      <c r="D243" s="223">
        <f t="shared" si="23"/>
        <v>47</v>
      </c>
      <c r="E243" s="224">
        <f>ROUND(D243/References!$H$23,0)</f>
        <v>4</v>
      </c>
    </row>
    <row r="244" spans="1:5">
      <c r="A244" s="234" t="s">
        <v>390</v>
      </c>
      <c r="B244" s="222">
        <v>180.86956521739128</v>
      </c>
      <c r="C244" s="223">
        <v>30.869565217391301</v>
      </c>
      <c r="D244" s="223">
        <f t="shared" si="23"/>
        <v>211.7391304347826</v>
      </c>
      <c r="E244" s="224">
        <f>ROUND(D244/References!$H$23,0)</f>
        <v>18</v>
      </c>
    </row>
    <row r="245" spans="1:5">
      <c r="A245" s="234" t="s">
        <v>391</v>
      </c>
      <c r="B245" s="222">
        <v>24488.45792584258</v>
      </c>
      <c r="C245" s="223">
        <v>4340.3148129281299</v>
      </c>
      <c r="D245" s="223">
        <f t="shared" si="23"/>
        <v>28828.772738770709</v>
      </c>
      <c r="E245" s="224">
        <f>ROUND(D245/References!$H$23,0)</f>
        <v>2402</v>
      </c>
    </row>
    <row r="246" spans="1:5">
      <c r="A246" s="241" t="s">
        <v>392</v>
      </c>
      <c r="B246" s="222">
        <v>0</v>
      </c>
      <c r="C246" s="223">
        <v>0</v>
      </c>
      <c r="D246" s="223">
        <f t="shared" si="23"/>
        <v>0</v>
      </c>
      <c r="E246" s="224">
        <f>ROUND(D246/References!$H$23,0)</f>
        <v>0</v>
      </c>
    </row>
    <row r="247" spans="1:5">
      <c r="A247" s="234" t="s">
        <v>393</v>
      </c>
      <c r="B247" s="222">
        <v>0</v>
      </c>
      <c r="C247" s="223">
        <v>0</v>
      </c>
      <c r="D247" s="223">
        <f t="shared" ref="D247:D248" si="24">SUM(B247:C247)</f>
        <v>0</v>
      </c>
      <c r="E247" s="224">
        <f>ROUND(D247/References!$H$23,0)</f>
        <v>0</v>
      </c>
    </row>
    <row r="248" spans="1:5">
      <c r="A248" s="234" t="s">
        <v>394</v>
      </c>
      <c r="B248" s="222">
        <v>0</v>
      </c>
      <c r="C248" s="223">
        <v>0</v>
      </c>
      <c r="D248" s="223">
        <f t="shared" si="24"/>
        <v>0</v>
      </c>
      <c r="E248" s="224">
        <f>ROUND(D248/References!$H$23,0)</f>
        <v>0</v>
      </c>
    </row>
    <row r="249" spans="1:5">
      <c r="A249" s="234" t="s">
        <v>395</v>
      </c>
      <c r="B249" s="222">
        <v>0</v>
      </c>
      <c r="C249" s="223">
        <v>0</v>
      </c>
    </row>
    <row r="250" spans="1:5">
      <c r="A250" s="234"/>
      <c r="B250" s="232"/>
    </row>
    <row r="251" spans="1:5">
      <c r="A251" s="234" t="s">
        <v>396</v>
      </c>
      <c r="B251" s="222">
        <v>11824.000000000002</v>
      </c>
      <c r="C251" s="223">
        <v>1629.9999999999998</v>
      </c>
      <c r="D251" s="223">
        <f t="shared" ref="D251:D253" si="25">SUM(B251:C251)</f>
        <v>13454.000000000002</v>
      </c>
      <c r="E251" s="224">
        <f>ROUND(D251/References!$H$23,0)</f>
        <v>1121</v>
      </c>
    </row>
    <row r="252" spans="1:5">
      <c r="A252" s="234" t="s">
        <v>397</v>
      </c>
      <c r="B252" s="222">
        <v>41547.036649214657</v>
      </c>
      <c r="C252" s="223">
        <v>4905.0000000000009</v>
      </c>
      <c r="D252" s="223">
        <f t="shared" si="25"/>
        <v>46452.036649214657</v>
      </c>
      <c r="E252" s="224">
        <f>ROUND(D252/References!$H$23,0)</f>
        <v>3871</v>
      </c>
    </row>
    <row r="253" spans="1:5">
      <c r="A253" s="234" t="s">
        <v>290</v>
      </c>
      <c r="B253" s="222">
        <v>11824</v>
      </c>
      <c r="C253" s="223">
        <v>1629.9999999999998</v>
      </c>
      <c r="D253" s="223">
        <f t="shared" si="25"/>
        <v>13454</v>
      </c>
      <c r="E253" s="224">
        <f>ROUND(D253/References!$H$23,0)</f>
        <v>1121</v>
      </c>
    </row>
    <row r="254" spans="1:5">
      <c r="A254" s="234"/>
      <c r="B254" s="232"/>
    </row>
    <row r="255" spans="1:5">
      <c r="A255" s="234" t="s">
        <v>259</v>
      </c>
      <c r="B255" s="222">
        <v>0</v>
      </c>
      <c r="C255" s="223">
        <v>0</v>
      </c>
      <c r="D255" s="223">
        <f t="shared" ref="D255:D256" si="26">SUM(B255:C255)</f>
        <v>0</v>
      </c>
      <c r="E255" s="224">
        <f>ROUND(D255/References!$H$23,0)</f>
        <v>0</v>
      </c>
    </row>
    <row r="256" spans="1:5">
      <c r="A256" s="234" t="s">
        <v>260</v>
      </c>
      <c r="B256" s="222">
        <v>0</v>
      </c>
      <c r="C256" s="223">
        <v>0</v>
      </c>
      <c r="D256" s="223">
        <f t="shared" si="26"/>
        <v>0</v>
      </c>
      <c r="E256" s="224">
        <f>ROUND(D256/References!$H$23,0)</f>
        <v>0</v>
      </c>
    </row>
    <row r="257" spans="1:5">
      <c r="A257" s="234"/>
      <c r="B257" s="232"/>
    </row>
    <row r="258" spans="1:5">
      <c r="A258" s="240" t="s">
        <v>398</v>
      </c>
      <c r="B258" s="232"/>
    </row>
    <row r="259" spans="1:5">
      <c r="A259" s="234" t="s">
        <v>399</v>
      </c>
      <c r="B259" s="222">
        <v>1643.2304147465441</v>
      </c>
      <c r="C259" s="223">
        <v>103.91705069124424</v>
      </c>
      <c r="D259" s="223">
        <f t="shared" ref="D259:D266" si="27">SUM(B259:C259)</f>
        <v>1747.1474654377882</v>
      </c>
      <c r="E259" s="224">
        <f>ROUND(D259/References!$H$23,0)</f>
        <v>146</v>
      </c>
    </row>
    <row r="260" spans="1:5">
      <c r="A260" s="234" t="s">
        <v>400</v>
      </c>
      <c r="B260" s="222">
        <v>246</v>
      </c>
      <c r="C260" s="223">
        <v>12.000000000000002</v>
      </c>
      <c r="D260" s="223">
        <f t="shared" si="27"/>
        <v>258</v>
      </c>
      <c r="E260" s="224">
        <f>ROUND(D260/References!$H$23,0)</f>
        <v>22</v>
      </c>
    </row>
    <row r="261" spans="1:5">
      <c r="A261" s="234" t="s">
        <v>401</v>
      </c>
      <c r="B261" s="222">
        <v>2238.6065533382607</v>
      </c>
      <c r="C261" s="223">
        <v>415.67775314116778</v>
      </c>
      <c r="D261" s="223">
        <f t="shared" si="27"/>
        <v>2654.2843064794283</v>
      </c>
      <c r="E261" s="224">
        <f>ROUND(D261/References!$H$23,0)</f>
        <v>221</v>
      </c>
    </row>
    <row r="262" spans="1:5">
      <c r="A262" s="234" t="s">
        <v>402</v>
      </c>
      <c r="B262" s="222">
        <v>265.99999999999994</v>
      </c>
      <c r="C262" s="223">
        <v>59.999999999999993</v>
      </c>
      <c r="D262" s="223">
        <f t="shared" si="27"/>
        <v>325.99999999999994</v>
      </c>
      <c r="E262" s="224">
        <f>ROUND(D262/References!$H$23,0)</f>
        <v>27</v>
      </c>
    </row>
    <row r="263" spans="1:5">
      <c r="A263" s="234" t="s">
        <v>403</v>
      </c>
      <c r="B263" s="222">
        <v>3676.1130573248406</v>
      </c>
      <c r="C263" s="223">
        <v>1757.8248407643309</v>
      </c>
      <c r="D263" s="223">
        <f t="shared" si="27"/>
        <v>5433.9378980891715</v>
      </c>
      <c r="E263" s="224">
        <f>ROUND(D263/References!$H$23,0)</f>
        <v>453</v>
      </c>
    </row>
    <row r="264" spans="1:5">
      <c r="A264" s="234" t="s">
        <v>404</v>
      </c>
      <c r="B264" s="222">
        <v>872.99999999999989</v>
      </c>
      <c r="C264" s="223">
        <v>406</v>
      </c>
      <c r="D264" s="223">
        <f t="shared" si="27"/>
        <v>1279</v>
      </c>
      <c r="E264" s="224">
        <f>ROUND(D264/References!$H$23,0)</f>
        <v>107</v>
      </c>
    </row>
    <row r="265" spans="1:5">
      <c r="A265" s="234" t="s">
        <v>290</v>
      </c>
      <c r="B265" s="222">
        <v>18829.226718403548</v>
      </c>
      <c r="C265" s="223">
        <v>3481.0720620842571</v>
      </c>
      <c r="D265" s="223">
        <f t="shared" si="27"/>
        <v>22310.298780487807</v>
      </c>
      <c r="E265" s="224">
        <f>ROUND(D265/References!$H$23,0)</f>
        <v>1859</v>
      </c>
    </row>
    <row r="266" spans="1:5">
      <c r="A266" s="234" t="s">
        <v>294</v>
      </c>
      <c r="B266" s="222">
        <v>8837.9999999999982</v>
      </c>
      <c r="C266" s="223">
        <v>2464</v>
      </c>
      <c r="D266" s="223">
        <f t="shared" si="27"/>
        <v>11301.999999999998</v>
      </c>
      <c r="E266" s="224">
        <f>ROUND(D266/References!$H$23,0)</f>
        <v>942</v>
      </c>
    </row>
    <row r="267" spans="1:5">
      <c r="A267" s="234"/>
      <c r="B267" s="232"/>
    </row>
    <row r="268" spans="1:5">
      <c r="A268" s="234" t="s">
        <v>270</v>
      </c>
      <c r="B268" s="222">
        <v>2150.2067381317001</v>
      </c>
      <c r="C268" s="223">
        <v>510.45022970903517</v>
      </c>
      <c r="D268" s="223">
        <f t="shared" ref="D268" si="28">SUM(B268:C268)</f>
        <v>2660.6569678407354</v>
      </c>
      <c r="E268" s="224">
        <f>ROUND(D268/References!$H$23,0)</f>
        <v>222</v>
      </c>
    </row>
    <row r="269" spans="1:5">
      <c r="A269" s="234"/>
      <c r="B269" s="232"/>
    </row>
    <row r="270" spans="1:5">
      <c r="A270" s="234" t="s">
        <v>405</v>
      </c>
      <c r="B270" s="222">
        <v>0</v>
      </c>
      <c r="C270" s="223">
        <v>0</v>
      </c>
    </row>
    <row r="271" spans="1:5">
      <c r="A271" s="229" t="s">
        <v>406</v>
      </c>
      <c r="B271" s="232"/>
    </row>
    <row r="272" spans="1:5">
      <c r="A272" s="234" t="s">
        <v>416</v>
      </c>
      <c r="B272" s="222">
        <v>345.64159292035396</v>
      </c>
      <c r="D272" s="223">
        <f t="shared" ref="D272:D274" si="29">SUM(B272:C272)</f>
        <v>345.64159292035396</v>
      </c>
      <c r="E272" s="224">
        <f>ROUND(D272/References!$H$23,0)</f>
        <v>29</v>
      </c>
    </row>
    <row r="273" spans="1:5">
      <c r="A273" s="234" t="s">
        <v>417</v>
      </c>
      <c r="B273" s="222">
        <v>1434.1056149732619</v>
      </c>
      <c r="D273" s="223">
        <f t="shared" si="29"/>
        <v>1434.1056149732619</v>
      </c>
      <c r="E273" s="224">
        <f>ROUND(D273/References!$H$23,0)</f>
        <v>120</v>
      </c>
    </row>
    <row r="274" spans="1:5">
      <c r="A274" s="234" t="s">
        <v>418</v>
      </c>
      <c r="B274" s="222">
        <v>593.3975155279503</v>
      </c>
      <c r="D274" s="223">
        <f t="shared" si="29"/>
        <v>593.3975155279503</v>
      </c>
      <c r="E274" s="224">
        <f>ROUND(D274/References!$H$23,0)</f>
        <v>49</v>
      </c>
    </row>
    <row r="275" spans="1:5">
      <c r="A275" s="232"/>
      <c r="B275" s="232"/>
    </row>
    <row r="276" spans="1:5">
      <c r="A276" s="232"/>
      <c r="B276" s="232"/>
    </row>
    <row r="277" spans="1:5">
      <c r="A277" s="232"/>
      <c r="B277" s="232"/>
    </row>
    <row r="278" spans="1:5">
      <c r="A278" s="232"/>
      <c r="B278" s="232"/>
    </row>
    <row r="279" spans="1:5">
      <c r="A279" s="232"/>
      <c r="B279" s="232"/>
    </row>
    <row r="280" spans="1:5">
      <c r="A280" s="232"/>
      <c r="B280" s="232"/>
    </row>
    <row r="281" spans="1:5">
      <c r="A281" s="232"/>
      <c r="B281" s="232"/>
    </row>
    <row r="282" spans="1:5">
      <c r="A282" s="232"/>
      <c r="B282" s="232"/>
    </row>
    <row r="283" spans="1:5">
      <c r="A283" s="232"/>
      <c r="B283" s="232"/>
    </row>
    <row r="284" spans="1:5">
      <c r="A284" s="232"/>
      <c r="B284" s="232"/>
    </row>
    <row r="285" spans="1:5">
      <c r="A285" s="232"/>
      <c r="B285" s="232"/>
    </row>
    <row r="286" spans="1:5">
      <c r="A286" s="232"/>
      <c r="B286" s="232"/>
    </row>
    <row r="287" spans="1:5">
      <c r="A287" s="232"/>
      <c r="B287" s="232"/>
    </row>
    <row r="288" spans="1:5">
      <c r="A288" s="232"/>
      <c r="B288" s="232"/>
    </row>
    <row r="289" spans="1:2">
      <c r="A289" s="232"/>
      <c r="B289" s="232"/>
    </row>
    <row r="290" spans="1:2">
      <c r="A290" s="232"/>
      <c r="B290" s="232"/>
    </row>
    <row r="291" spans="1:2">
      <c r="A291" s="232"/>
      <c r="B291" s="232"/>
    </row>
    <row r="292" spans="1:2">
      <c r="A292" s="232"/>
      <c r="B292" s="232"/>
    </row>
    <row r="293" spans="1:2">
      <c r="A293" s="232"/>
      <c r="B293" s="232"/>
    </row>
    <row r="294" spans="1:2">
      <c r="A294" s="232"/>
      <c r="B294" s="232"/>
    </row>
    <row r="295" spans="1:2">
      <c r="A295" s="232"/>
      <c r="B295" s="232"/>
    </row>
    <row r="296" spans="1:2">
      <c r="A296" s="232"/>
      <c r="B296" s="232"/>
    </row>
    <row r="297" spans="1:2">
      <c r="A297" s="232"/>
      <c r="B297" s="232"/>
    </row>
    <row r="298" spans="1:2">
      <c r="A298" s="232"/>
      <c r="B298" s="232"/>
    </row>
    <row r="299" spans="1:2">
      <c r="A299" s="232"/>
      <c r="B299" s="232"/>
    </row>
    <row r="300" spans="1:2">
      <c r="A300" s="232"/>
      <c r="B300" s="232"/>
    </row>
    <row r="301" spans="1:2">
      <c r="A301" s="232"/>
      <c r="B301" s="232"/>
    </row>
    <row r="302" spans="1:2">
      <c r="A302" s="232"/>
      <c r="B302" s="232"/>
    </row>
    <row r="303" spans="1:2">
      <c r="A303" s="232"/>
      <c r="B303" s="232"/>
    </row>
    <row r="304" spans="1:2">
      <c r="A304" s="232"/>
      <c r="B304" s="232"/>
    </row>
    <row r="305" spans="1:2">
      <c r="A305" s="232"/>
      <c r="B305" s="232"/>
    </row>
    <row r="306" spans="1:2">
      <c r="A306" s="232"/>
      <c r="B306" s="232"/>
    </row>
    <row r="307" spans="1:2">
      <c r="A307" s="232"/>
      <c r="B307" s="232"/>
    </row>
    <row r="308" spans="1:2">
      <c r="A308" s="232"/>
      <c r="B308" s="232"/>
    </row>
    <row r="309" spans="1:2">
      <c r="A309" s="232"/>
      <c r="B309" s="232"/>
    </row>
    <row r="310" spans="1:2">
      <c r="A310" s="232"/>
      <c r="B310" s="232"/>
    </row>
    <row r="311" spans="1:2">
      <c r="A311" s="232"/>
      <c r="B311" s="232"/>
    </row>
    <row r="312" spans="1:2">
      <c r="A312" s="232"/>
      <c r="B312" s="232"/>
    </row>
    <row r="313" spans="1:2">
      <c r="A313" s="232"/>
      <c r="B313" s="232"/>
    </row>
    <row r="314" spans="1:2">
      <c r="A314" s="232"/>
      <c r="B314" s="232"/>
    </row>
    <row r="315" spans="1:2">
      <c r="A315" s="232"/>
      <c r="B315" s="232"/>
    </row>
    <row r="316" spans="1:2">
      <c r="A316" s="232"/>
      <c r="B316" s="232"/>
    </row>
    <row r="317" spans="1:2">
      <c r="A317" s="232"/>
      <c r="B317" s="232"/>
    </row>
    <row r="318" spans="1:2">
      <c r="A318" s="232"/>
      <c r="B318" s="232"/>
    </row>
    <row r="319" spans="1:2">
      <c r="A319" s="232"/>
      <c r="B319" s="232"/>
    </row>
    <row r="320" spans="1:2">
      <c r="A320" s="232"/>
      <c r="B320" s="232"/>
    </row>
    <row r="321" spans="1:2">
      <c r="A321" s="232"/>
      <c r="B321" s="232"/>
    </row>
    <row r="322" spans="1:2">
      <c r="A322" s="232"/>
      <c r="B322" s="232"/>
    </row>
    <row r="323" spans="1:2">
      <c r="A323" s="232"/>
      <c r="B323" s="232"/>
    </row>
    <row r="324" spans="1:2">
      <c r="A324" s="232"/>
      <c r="B324" s="232"/>
    </row>
    <row r="325" spans="1:2">
      <c r="A325" s="232"/>
      <c r="B325" s="232"/>
    </row>
    <row r="326" spans="1:2">
      <c r="A326" s="232"/>
      <c r="B326" s="232"/>
    </row>
    <row r="327" spans="1:2">
      <c r="A327" s="232"/>
      <c r="B327" s="232"/>
    </row>
    <row r="328" spans="1:2">
      <c r="A328" s="232"/>
      <c r="B328" s="232"/>
    </row>
    <row r="329" spans="1:2">
      <c r="A329" s="232"/>
      <c r="B329" s="232"/>
    </row>
    <row r="330" spans="1:2">
      <c r="A330" s="232"/>
      <c r="B330" s="232"/>
    </row>
    <row r="331" spans="1:2">
      <c r="A331" s="232"/>
      <c r="B331" s="232"/>
    </row>
    <row r="332" spans="1:2">
      <c r="A332" s="232"/>
      <c r="B332" s="232"/>
    </row>
    <row r="333" spans="1:2">
      <c r="A333" s="232"/>
      <c r="B333" s="232"/>
    </row>
    <row r="334" spans="1:2">
      <c r="A334" s="232"/>
      <c r="B334" s="232"/>
    </row>
    <row r="335" spans="1:2">
      <c r="A335" s="232"/>
      <c r="B335" s="232"/>
    </row>
    <row r="336" spans="1:2">
      <c r="A336" s="232"/>
      <c r="B336" s="232"/>
    </row>
    <row r="337" spans="1:2">
      <c r="A337" s="232"/>
      <c r="B337" s="232"/>
    </row>
    <row r="338" spans="1:2">
      <c r="A338" s="232"/>
      <c r="B338" s="232"/>
    </row>
    <row r="339" spans="1:2">
      <c r="A339" s="232"/>
      <c r="B339" s="232"/>
    </row>
    <row r="340" spans="1:2">
      <c r="A340" s="232"/>
      <c r="B340" s="232"/>
    </row>
    <row r="341" spans="1:2">
      <c r="A341" s="232"/>
      <c r="B341" s="232"/>
    </row>
    <row r="342" spans="1:2">
      <c r="A342" s="232"/>
      <c r="B342" s="232"/>
    </row>
    <row r="343" spans="1:2">
      <c r="A343" s="232"/>
      <c r="B343" s="232"/>
    </row>
    <row r="344" spans="1:2">
      <c r="A344" s="232"/>
      <c r="B344" s="232"/>
    </row>
    <row r="345" spans="1:2">
      <c r="A345" s="232"/>
      <c r="B345" s="232"/>
    </row>
    <row r="346" spans="1:2">
      <c r="A346" s="232"/>
      <c r="B346" s="232"/>
    </row>
    <row r="347" spans="1:2">
      <c r="A347" s="232"/>
      <c r="B347" s="232"/>
    </row>
    <row r="348" spans="1:2">
      <c r="A348" s="232"/>
      <c r="B348" s="232"/>
    </row>
    <row r="349" spans="1:2">
      <c r="A349" s="232"/>
      <c r="B349" s="232"/>
    </row>
    <row r="350" spans="1:2">
      <c r="A350" s="232"/>
      <c r="B350" s="232"/>
    </row>
    <row r="351" spans="1:2">
      <c r="A351" s="232"/>
      <c r="B351" s="232"/>
    </row>
    <row r="352" spans="1:2">
      <c r="A352" s="232"/>
      <c r="B352" s="232"/>
    </row>
    <row r="353" spans="1:2">
      <c r="A353" s="232"/>
      <c r="B353" s="232"/>
    </row>
    <row r="354" spans="1:2">
      <c r="A354" s="232"/>
      <c r="B354" s="232"/>
    </row>
    <row r="355" spans="1:2">
      <c r="A355" s="232"/>
      <c r="B355" s="232"/>
    </row>
    <row r="356" spans="1:2">
      <c r="A356" s="232"/>
      <c r="B356" s="232"/>
    </row>
    <row r="357" spans="1:2">
      <c r="A357" s="232"/>
      <c r="B357" s="232"/>
    </row>
    <row r="358" spans="1:2">
      <c r="A358" s="232"/>
      <c r="B358" s="232"/>
    </row>
    <row r="359" spans="1:2">
      <c r="A359" s="232"/>
      <c r="B359" s="232"/>
    </row>
    <row r="360" spans="1:2">
      <c r="A360" s="232"/>
      <c r="B360" s="232"/>
    </row>
    <row r="361" spans="1:2">
      <c r="A361" s="232"/>
      <c r="B361" s="232"/>
    </row>
    <row r="362" spans="1:2">
      <c r="A362" s="232"/>
      <c r="B362" s="232"/>
    </row>
    <row r="363" spans="1:2">
      <c r="A363" s="232"/>
      <c r="B363" s="232"/>
    </row>
    <row r="364" spans="1:2">
      <c r="A364" s="232"/>
      <c r="B364" s="232"/>
    </row>
    <row r="365" spans="1:2">
      <c r="A365" s="232"/>
      <c r="B365" s="232"/>
    </row>
    <row r="366" spans="1:2">
      <c r="A366" s="232"/>
      <c r="B366" s="232"/>
    </row>
    <row r="367" spans="1:2">
      <c r="A367" s="232"/>
      <c r="B367" s="232"/>
    </row>
    <row r="368" spans="1:2">
      <c r="A368" s="232"/>
      <c r="B368" s="232"/>
    </row>
    <row r="369" spans="1:2">
      <c r="A369" s="232"/>
      <c r="B369" s="232"/>
    </row>
    <row r="370" spans="1:2">
      <c r="A370" s="232"/>
      <c r="B370" s="232"/>
    </row>
    <row r="371" spans="1:2">
      <c r="A371" s="232"/>
      <c r="B371" s="232"/>
    </row>
    <row r="372" spans="1:2">
      <c r="A372" s="232"/>
      <c r="B372" s="232"/>
    </row>
    <row r="373" spans="1:2">
      <c r="A373" s="232"/>
      <c r="B373" s="232"/>
    </row>
    <row r="374" spans="1:2">
      <c r="A374" s="232"/>
      <c r="B374" s="232"/>
    </row>
    <row r="375" spans="1:2">
      <c r="A375" s="232"/>
      <c r="B375" s="232"/>
    </row>
    <row r="376" spans="1:2">
      <c r="A376" s="232"/>
      <c r="B376" s="232"/>
    </row>
    <row r="377" spans="1:2">
      <c r="A377" s="232"/>
      <c r="B377" s="232"/>
    </row>
    <row r="378" spans="1:2">
      <c r="A378" s="232"/>
      <c r="B378" s="232"/>
    </row>
    <row r="379" spans="1:2">
      <c r="A379" s="232"/>
      <c r="B379" s="232"/>
    </row>
    <row r="380" spans="1:2">
      <c r="A380" s="232"/>
      <c r="B380" s="232"/>
    </row>
    <row r="381" spans="1:2">
      <c r="A381" s="232"/>
      <c r="B381" s="232"/>
    </row>
    <row r="382" spans="1:2">
      <c r="A382" s="232"/>
      <c r="B382" s="232"/>
    </row>
    <row r="383" spans="1:2">
      <c r="A383" s="232"/>
      <c r="B383" s="232"/>
    </row>
    <row r="384" spans="1:2">
      <c r="A384" s="232"/>
      <c r="B384" s="232"/>
    </row>
    <row r="385" spans="1:2">
      <c r="A385" s="232"/>
      <c r="B385" s="232"/>
    </row>
    <row r="386" spans="1:2">
      <c r="A386" s="232"/>
      <c r="B386" s="232"/>
    </row>
    <row r="387" spans="1:2">
      <c r="A387" s="232"/>
      <c r="B387" s="232"/>
    </row>
    <row r="388" spans="1:2">
      <c r="A388" s="232"/>
      <c r="B388" s="232"/>
    </row>
    <row r="389" spans="1:2">
      <c r="A389" s="232"/>
      <c r="B389" s="232"/>
    </row>
    <row r="390" spans="1:2">
      <c r="A390" s="232"/>
      <c r="B390" s="232"/>
    </row>
    <row r="391" spans="1:2">
      <c r="A391" s="232"/>
      <c r="B391" s="232"/>
    </row>
    <row r="392" spans="1:2">
      <c r="A392" s="232"/>
      <c r="B392" s="232"/>
    </row>
    <row r="393" spans="1:2">
      <c r="A393" s="232"/>
      <c r="B393" s="232"/>
    </row>
    <row r="394" spans="1:2">
      <c r="A394" s="232"/>
      <c r="B394" s="232"/>
    </row>
    <row r="395" spans="1:2">
      <c r="A395" s="232"/>
      <c r="B395" s="232"/>
    </row>
    <row r="396" spans="1:2">
      <c r="A396" s="232"/>
      <c r="B396" s="232"/>
    </row>
    <row r="397" spans="1:2">
      <c r="A397" s="232"/>
      <c r="B397" s="232"/>
    </row>
    <row r="398" spans="1:2">
      <c r="A398" s="232"/>
      <c r="B398" s="232"/>
    </row>
    <row r="399" spans="1:2">
      <c r="A399" s="232"/>
      <c r="B399" s="232"/>
    </row>
    <row r="400" spans="1:2">
      <c r="A400" s="232"/>
      <c r="B400" s="232"/>
    </row>
    <row r="401" spans="1:2">
      <c r="A401" s="232"/>
      <c r="B401" s="232"/>
    </row>
    <row r="402" spans="1:2">
      <c r="A402" s="232"/>
      <c r="B402" s="232"/>
    </row>
    <row r="403" spans="1:2">
      <c r="A403" s="232"/>
      <c r="B403" s="232"/>
    </row>
    <row r="404" spans="1:2">
      <c r="A404" s="232"/>
      <c r="B404" s="232"/>
    </row>
    <row r="405" spans="1:2">
      <c r="A405" s="232"/>
      <c r="B405" s="232"/>
    </row>
    <row r="406" spans="1:2">
      <c r="A406" s="232"/>
      <c r="B406" s="232"/>
    </row>
    <row r="407" spans="1:2">
      <c r="A407" s="232"/>
      <c r="B407" s="232"/>
    </row>
    <row r="408" spans="1:2">
      <c r="A408" s="232"/>
      <c r="B408" s="232"/>
    </row>
    <row r="409" spans="1:2">
      <c r="A409" s="232"/>
      <c r="B409" s="232"/>
    </row>
    <row r="410" spans="1:2">
      <c r="A410" s="232"/>
      <c r="B410" s="232"/>
    </row>
    <row r="411" spans="1:2">
      <c r="A411" s="232"/>
      <c r="B411" s="232"/>
    </row>
    <row r="412" spans="1:2">
      <c r="A412" s="232"/>
      <c r="B412" s="232"/>
    </row>
    <row r="413" spans="1:2">
      <c r="A413" s="232"/>
      <c r="B413" s="232"/>
    </row>
    <row r="414" spans="1:2">
      <c r="A414" s="232"/>
      <c r="B414" s="232"/>
    </row>
    <row r="415" spans="1:2">
      <c r="A415" s="232"/>
      <c r="B415" s="232"/>
    </row>
    <row r="416" spans="1:2">
      <c r="A416" s="232"/>
      <c r="B416" s="232"/>
    </row>
    <row r="417" spans="1:2">
      <c r="A417" s="232"/>
      <c r="B417" s="232"/>
    </row>
    <row r="418" spans="1:2">
      <c r="A418" s="232"/>
      <c r="B418" s="232"/>
    </row>
    <row r="419" spans="1:2">
      <c r="A419" s="232"/>
      <c r="B419" s="232"/>
    </row>
    <row r="420" spans="1:2">
      <c r="A420" s="232"/>
      <c r="B420" s="232"/>
    </row>
    <row r="421" spans="1:2">
      <c r="A421" s="232"/>
      <c r="B421" s="232"/>
    </row>
    <row r="422" spans="1:2">
      <c r="A422" s="232"/>
      <c r="B422" s="232"/>
    </row>
    <row r="423" spans="1:2">
      <c r="A423" s="232"/>
      <c r="B423" s="232"/>
    </row>
    <row r="424" spans="1:2">
      <c r="A424" s="232"/>
      <c r="B424" s="232"/>
    </row>
    <row r="425" spans="1:2">
      <c r="A425" s="232"/>
      <c r="B425" s="232"/>
    </row>
    <row r="426" spans="1:2">
      <c r="A426" s="232"/>
      <c r="B426" s="232"/>
    </row>
    <row r="427" spans="1:2">
      <c r="A427" s="232"/>
      <c r="B427" s="232"/>
    </row>
    <row r="428" spans="1:2">
      <c r="A428" s="232"/>
      <c r="B428" s="232"/>
    </row>
    <row r="429" spans="1:2">
      <c r="A429" s="232"/>
      <c r="B429" s="232"/>
    </row>
    <row r="430" spans="1:2">
      <c r="A430" s="232"/>
      <c r="B430" s="232"/>
    </row>
    <row r="431" spans="1:2">
      <c r="A431" s="232"/>
      <c r="B431" s="232"/>
    </row>
    <row r="432" spans="1:2">
      <c r="A432" s="232"/>
      <c r="B432" s="232"/>
    </row>
    <row r="433" spans="1:2">
      <c r="A433" s="232"/>
      <c r="B433" s="232"/>
    </row>
    <row r="434" spans="1:2">
      <c r="A434" s="232"/>
      <c r="B434" s="232"/>
    </row>
    <row r="435" spans="1:2">
      <c r="A435" s="232"/>
      <c r="B435" s="232"/>
    </row>
    <row r="436" spans="1:2">
      <c r="A436" s="232"/>
      <c r="B436" s="232"/>
    </row>
    <row r="437" spans="1:2">
      <c r="A437" s="232"/>
      <c r="B437" s="232"/>
    </row>
    <row r="438" spans="1:2">
      <c r="A438" s="232"/>
      <c r="B438" s="232"/>
    </row>
    <row r="439" spans="1:2">
      <c r="A439" s="232"/>
      <c r="B439" s="232"/>
    </row>
    <row r="440" spans="1:2">
      <c r="A440" s="232"/>
      <c r="B440" s="232"/>
    </row>
    <row r="441" spans="1:2">
      <c r="A441" s="232"/>
      <c r="B441" s="232"/>
    </row>
    <row r="442" spans="1:2">
      <c r="A442" s="232"/>
      <c r="B442" s="232"/>
    </row>
    <row r="443" spans="1:2">
      <c r="A443" s="232"/>
      <c r="B443" s="232"/>
    </row>
    <row r="444" spans="1:2">
      <c r="A444" s="232"/>
      <c r="B444" s="232"/>
    </row>
    <row r="445" spans="1:2">
      <c r="A445" s="232"/>
      <c r="B445" s="232"/>
    </row>
    <row r="446" spans="1:2">
      <c r="A446" s="232"/>
      <c r="B446" s="232"/>
    </row>
    <row r="447" spans="1:2">
      <c r="A447" s="232"/>
      <c r="B447" s="232"/>
    </row>
    <row r="448" spans="1:2">
      <c r="A448" s="232"/>
      <c r="B448" s="232"/>
    </row>
    <row r="449" spans="1:2">
      <c r="A449" s="232"/>
      <c r="B449" s="232"/>
    </row>
    <row r="450" spans="1:2">
      <c r="A450" s="232"/>
      <c r="B450" s="232"/>
    </row>
    <row r="451" spans="1:2">
      <c r="A451" s="232"/>
      <c r="B451" s="232"/>
    </row>
    <row r="452" spans="1:2">
      <c r="A452" s="232"/>
      <c r="B452" s="232"/>
    </row>
    <row r="453" spans="1:2">
      <c r="A453" s="232"/>
      <c r="B453" s="232"/>
    </row>
    <row r="454" spans="1:2">
      <c r="A454" s="232"/>
      <c r="B454" s="232"/>
    </row>
    <row r="455" spans="1:2">
      <c r="A455" s="232"/>
      <c r="B455" s="232"/>
    </row>
    <row r="456" spans="1:2">
      <c r="A456" s="232"/>
      <c r="B456" s="232"/>
    </row>
    <row r="457" spans="1:2">
      <c r="A457" s="232"/>
      <c r="B457" s="232"/>
    </row>
    <row r="458" spans="1:2">
      <c r="A458" s="232"/>
      <c r="B458" s="232"/>
    </row>
    <row r="459" spans="1:2">
      <c r="A459" s="232"/>
      <c r="B459" s="232"/>
    </row>
    <row r="460" spans="1:2">
      <c r="A460" s="232"/>
      <c r="B460" s="232"/>
    </row>
    <row r="461" spans="1:2">
      <c r="A461" s="232"/>
      <c r="B461" s="232"/>
    </row>
    <row r="462" spans="1:2">
      <c r="A462" s="232"/>
      <c r="B462" s="232"/>
    </row>
    <row r="463" spans="1:2">
      <c r="A463" s="232"/>
      <c r="B463" s="232"/>
    </row>
    <row r="464" spans="1:2">
      <c r="A464" s="232"/>
      <c r="B464" s="232"/>
    </row>
    <row r="465" spans="1:2">
      <c r="A465" s="232"/>
      <c r="B465" s="232"/>
    </row>
    <row r="466" spans="1:2">
      <c r="A466" s="232"/>
      <c r="B466" s="232"/>
    </row>
    <row r="467" spans="1:2">
      <c r="A467" s="232"/>
      <c r="B467" s="232"/>
    </row>
    <row r="468" spans="1:2">
      <c r="A468" s="232"/>
      <c r="B468" s="232"/>
    </row>
    <row r="469" spans="1:2">
      <c r="A469" s="232"/>
      <c r="B469" s="232"/>
    </row>
    <row r="470" spans="1:2">
      <c r="A470" s="232"/>
      <c r="B470" s="232"/>
    </row>
    <row r="471" spans="1:2">
      <c r="A471" s="232"/>
      <c r="B471" s="232"/>
    </row>
    <row r="472" spans="1:2">
      <c r="A472" s="232"/>
      <c r="B472" s="232"/>
    </row>
    <row r="473" spans="1:2">
      <c r="A473" s="232"/>
      <c r="B473" s="232"/>
    </row>
    <row r="474" spans="1:2">
      <c r="A474" s="232"/>
      <c r="B474" s="232"/>
    </row>
    <row r="475" spans="1:2">
      <c r="A475" s="232"/>
      <c r="B475" s="232"/>
    </row>
    <row r="476" spans="1:2">
      <c r="A476" s="232"/>
      <c r="B476" s="232"/>
    </row>
    <row r="477" spans="1:2">
      <c r="A477" s="232"/>
      <c r="B477" s="232"/>
    </row>
    <row r="478" spans="1:2">
      <c r="A478" s="232"/>
      <c r="B478" s="232"/>
    </row>
    <row r="479" spans="1:2">
      <c r="A479" s="232"/>
      <c r="B479" s="232"/>
    </row>
    <row r="480" spans="1:2">
      <c r="A480" s="232"/>
      <c r="B480" s="232"/>
    </row>
    <row r="481" spans="1:2">
      <c r="A481" s="232"/>
      <c r="B481" s="232"/>
    </row>
    <row r="482" spans="1:2">
      <c r="A482" s="232"/>
      <c r="B482" s="232"/>
    </row>
    <row r="483" spans="1:2">
      <c r="A483" s="232"/>
      <c r="B483" s="232"/>
    </row>
    <row r="484" spans="1:2">
      <c r="A484" s="232"/>
      <c r="B484" s="232"/>
    </row>
    <row r="485" spans="1:2">
      <c r="A485" s="232"/>
      <c r="B485" s="232"/>
    </row>
    <row r="486" spans="1:2">
      <c r="A486" s="232"/>
      <c r="B486" s="232"/>
    </row>
    <row r="487" spans="1:2">
      <c r="A487" s="232"/>
      <c r="B487" s="232"/>
    </row>
    <row r="488" spans="1:2">
      <c r="A488" s="232"/>
      <c r="B488" s="232"/>
    </row>
    <row r="489" spans="1:2">
      <c r="A489" s="232"/>
      <c r="B489" s="232"/>
    </row>
    <row r="490" spans="1:2">
      <c r="A490" s="232"/>
      <c r="B490" s="232"/>
    </row>
    <row r="491" spans="1:2">
      <c r="A491" s="232"/>
      <c r="B491" s="232"/>
    </row>
    <row r="492" spans="1:2">
      <c r="A492" s="232"/>
      <c r="B492" s="232"/>
    </row>
    <row r="493" spans="1:2">
      <c r="A493" s="232"/>
      <c r="B493" s="232"/>
    </row>
    <row r="494" spans="1:2">
      <c r="A494" s="232"/>
      <c r="B494" s="232"/>
    </row>
    <row r="495" spans="1:2">
      <c r="A495" s="232"/>
      <c r="B495" s="232"/>
    </row>
    <row r="496" spans="1:2">
      <c r="A496" s="232"/>
      <c r="B496" s="232"/>
    </row>
    <row r="497" spans="1:2">
      <c r="A497" s="232"/>
      <c r="B497" s="232"/>
    </row>
    <row r="498" spans="1:2">
      <c r="A498" s="232"/>
      <c r="B498" s="232"/>
    </row>
    <row r="499" spans="1:2">
      <c r="A499" s="232"/>
      <c r="B499" s="232"/>
    </row>
    <row r="500" spans="1:2">
      <c r="A500" s="232"/>
      <c r="B500" s="232"/>
    </row>
    <row r="501" spans="1:2">
      <c r="A501" s="232"/>
      <c r="B501" s="232"/>
    </row>
    <row r="502" spans="1:2">
      <c r="A502" s="232"/>
      <c r="B502" s="232"/>
    </row>
    <row r="503" spans="1:2">
      <c r="A503" s="232"/>
      <c r="B503" s="232"/>
    </row>
    <row r="504" spans="1:2">
      <c r="A504" s="232"/>
      <c r="B504" s="232"/>
    </row>
    <row r="505" spans="1:2">
      <c r="A505" s="232"/>
      <c r="B505" s="232"/>
    </row>
    <row r="506" spans="1:2">
      <c r="A506" s="232"/>
      <c r="B506" s="232"/>
    </row>
    <row r="507" spans="1:2">
      <c r="A507" s="232"/>
      <c r="B507" s="232"/>
    </row>
    <row r="508" spans="1:2">
      <c r="A508" s="232"/>
      <c r="B508" s="232"/>
    </row>
    <row r="509" spans="1:2">
      <c r="A509" s="232"/>
      <c r="B509" s="232"/>
    </row>
    <row r="510" spans="1:2">
      <c r="A510" s="232"/>
      <c r="B510" s="232"/>
    </row>
    <row r="511" spans="1:2">
      <c r="A511" s="232"/>
      <c r="B511" s="232"/>
    </row>
    <row r="512" spans="1:2">
      <c r="A512" s="232"/>
      <c r="B512" s="232"/>
    </row>
    <row r="513" spans="1:2">
      <c r="A513" s="232"/>
      <c r="B513" s="232"/>
    </row>
    <row r="514" spans="1:2">
      <c r="A514" s="232"/>
      <c r="B514" s="232"/>
    </row>
    <row r="515" spans="1:2">
      <c r="A515" s="232"/>
      <c r="B515" s="232"/>
    </row>
    <row r="516" spans="1:2">
      <c r="A516" s="232"/>
      <c r="B516" s="232"/>
    </row>
    <row r="517" spans="1:2">
      <c r="A517" s="232"/>
      <c r="B517" s="232"/>
    </row>
    <row r="518" spans="1:2">
      <c r="A518" s="232"/>
      <c r="B518" s="232"/>
    </row>
    <row r="519" spans="1:2">
      <c r="A519" s="232"/>
      <c r="B519" s="232"/>
    </row>
    <row r="520" spans="1:2">
      <c r="A520" s="232"/>
      <c r="B520" s="232"/>
    </row>
    <row r="521" spans="1:2">
      <c r="A521" s="232"/>
      <c r="B521" s="232"/>
    </row>
    <row r="522" spans="1:2">
      <c r="A522" s="232"/>
      <c r="B522" s="232"/>
    </row>
    <row r="523" spans="1:2">
      <c r="A523" s="232"/>
      <c r="B523" s="232"/>
    </row>
    <row r="524" spans="1:2">
      <c r="A524" s="232"/>
      <c r="B524" s="232"/>
    </row>
    <row r="525" spans="1:2">
      <c r="A525" s="232"/>
      <c r="B525" s="232"/>
    </row>
    <row r="526" spans="1:2">
      <c r="A526" s="232"/>
      <c r="B526" s="232"/>
    </row>
    <row r="527" spans="1:2">
      <c r="A527" s="232"/>
      <c r="B527" s="232"/>
    </row>
    <row r="528" spans="1:2">
      <c r="A528" s="232"/>
      <c r="B528" s="232"/>
    </row>
    <row r="529" spans="1:2">
      <c r="A529" s="232"/>
      <c r="B529" s="232"/>
    </row>
    <row r="530" spans="1:2">
      <c r="A530" s="232"/>
      <c r="B530" s="232"/>
    </row>
    <row r="531" spans="1:2">
      <c r="A531" s="232"/>
      <c r="B531" s="232"/>
    </row>
    <row r="532" spans="1:2">
      <c r="A532" s="232"/>
      <c r="B532" s="232"/>
    </row>
    <row r="533" spans="1:2">
      <c r="A533" s="232"/>
      <c r="B533" s="232"/>
    </row>
    <row r="534" spans="1:2">
      <c r="A534" s="232"/>
      <c r="B534" s="232"/>
    </row>
    <row r="535" spans="1:2">
      <c r="A535" s="232"/>
      <c r="B535" s="232"/>
    </row>
    <row r="536" spans="1:2">
      <c r="A536" s="232"/>
      <c r="B536" s="232"/>
    </row>
    <row r="537" spans="1:2">
      <c r="A537" s="232"/>
      <c r="B537" s="232"/>
    </row>
    <row r="538" spans="1:2">
      <c r="A538" s="232"/>
      <c r="B538" s="232"/>
    </row>
    <row r="539" spans="1:2">
      <c r="A539" s="232"/>
      <c r="B539" s="232"/>
    </row>
    <row r="540" spans="1:2">
      <c r="A540" s="232"/>
      <c r="B540" s="232"/>
    </row>
    <row r="541" spans="1:2">
      <c r="A541" s="232"/>
      <c r="B541" s="232"/>
    </row>
    <row r="542" spans="1:2">
      <c r="A542" s="232"/>
      <c r="B542" s="232"/>
    </row>
    <row r="543" spans="1:2">
      <c r="A543" s="232"/>
      <c r="B543" s="232"/>
    </row>
    <row r="544" spans="1:2">
      <c r="A544" s="232"/>
      <c r="B544" s="232"/>
    </row>
    <row r="545" spans="1:2">
      <c r="A545" s="232"/>
      <c r="B545" s="232"/>
    </row>
    <row r="546" spans="1:2">
      <c r="A546" s="232"/>
      <c r="B546" s="232"/>
    </row>
    <row r="547" spans="1:2">
      <c r="A547" s="232"/>
      <c r="B547" s="232"/>
    </row>
    <row r="548" spans="1:2">
      <c r="A548" s="232"/>
      <c r="B548" s="232"/>
    </row>
    <row r="549" spans="1:2">
      <c r="A549" s="232"/>
      <c r="B549" s="232"/>
    </row>
    <row r="550" spans="1:2">
      <c r="A550" s="232"/>
      <c r="B550" s="232"/>
    </row>
    <row r="551" spans="1:2">
      <c r="A551" s="232"/>
      <c r="B551" s="232"/>
    </row>
    <row r="552" spans="1:2">
      <c r="A552" s="232"/>
      <c r="B552" s="232"/>
    </row>
    <row r="553" spans="1:2">
      <c r="A553" s="232"/>
      <c r="B553" s="232"/>
    </row>
    <row r="554" spans="1:2">
      <c r="A554" s="232"/>
      <c r="B554" s="232"/>
    </row>
    <row r="555" spans="1:2">
      <c r="A555" s="232"/>
      <c r="B555" s="232"/>
    </row>
    <row r="556" spans="1:2">
      <c r="A556" s="232"/>
      <c r="B556" s="232"/>
    </row>
    <row r="557" spans="1:2">
      <c r="A557" s="232"/>
      <c r="B557" s="232"/>
    </row>
    <row r="558" spans="1:2">
      <c r="A558" s="232"/>
      <c r="B558" s="232"/>
    </row>
    <row r="559" spans="1:2">
      <c r="A559" s="232"/>
      <c r="B559" s="232"/>
    </row>
    <row r="560" spans="1:2">
      <c r="A560" s="232"/>
      <c r="B560" s="232"/>
    </row>
    <row r="561" spans="1:2">
      <c r="A561" s="232"/>
      <c r="B561" s="232"/>
    </row>
    <row r="562" spans="1:2">
      <c r="A562" s="232"/>
      <c r="B562" s="232"/>
    </row>
    <row r="563" spans="1:2">
      <c r="A563" s="232"/>
      <c r="B563" s="232"/>
    </row>
    <row r="564" spans="1:2">
      <c r="A564" s="232"/>
      <c r="B564" s="232"/>
    </row>
    <row r="565" spans="1:2">
      <c r="A565" s="232"/>
      <c r="B565" s="232"/>
    </row>
    <row r="566" spans="1:2">
      <c r="A566" s="232"/>
      <c r="B566" s="232"/>
    </row>
    <row r="567" spans="1:2">
      <c r="A567" s="232"/>
      <c r="B567" s="232"/>
    </row>
    <row r="568" spans="1:2">
      <c r="A568" s="232"/>
      <c r="B568" s="232"/>
    </row>
    <row r="569" spans="1:2">
      <c r="A569" s="232"/>
      <c r="B569" s="232"/>
    </row>
    <row r="570" spans="1:2">
      <c r="A570" s="232"/>
      <c r="B570" s="232"/>
    </row>
    <row r="571" spans="1:2">
      <c r="A571" s="232"/>
      <c r="B571" s="232"/>
    </row>
    <row r="572" spans="1:2">
      <c r="A572" s="232"/>
      <c r="B572" s="232"/>
    </row>
    <row r="573" spans="1:2">
      <c r="A573" s="232"/>
      <c r="B573" s="232"/>
    </row>
    <row r="574" spans="1:2">
      <c r="A574" s="232"/>
      <c r="B574" s="232"/>
    </row>
    <row r="575" spans="1:2">
      <c r="A575" s="232"/>
      <c r="B575" s="232"/>
    </row>
    <row r="576" spans="1:2">
      <c r="A576" s="232"/>
      <c r="B576" s="232"/>
    </row>
    <row r="577" spans="1:2">
      <c r="A577" s="232"/>
      <c r="B577" s="232"/>
    </row>
    <row r="578" spans="1:2">
      <c r="A578" s="232"/>
      <c r="B578" s="232"/>
    </row>
    <row r="579" spans="1:2">
      <c r="A579" s="232"/>
      <c r="B579" s="232"/>
    </row>
  </sheetData>
  <pageMargins left="0.7" right="0.7" top="0.75" bottom="0.75" header="0.3" footer="0.3"/>
  <pageSetup scale="93" fitToHeight="0" orientation="portrait" r:id="rId1"/>
  <headerFooter>
    <oddFooter>&amp;L&amp;F - &amp;A&amp;R&amp;P of &amp;N</oddFooter>
  </headerFooter>
  <rowBreaks count="5" manualBreakCount="5">
    <brk id="51" max="4" man="1"/>
    <brk id="96" max="4" man="1"/>
    <brk id="141" max="4" man="1"/>
    <brk id="184" max="4" man="1"/>
    <brk id="229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2018-01-16T08:00:00+00:00</OpenedDate>
    <SignificantOrder xmlns="dc463f71-b30c-4ab2-9473-d307f9d35888">false</SignificantOrder>
    <Date1 xmlns="dc463f71-b30c-4ab2-9473-d307f9d35888">2018-01-16T08:00:00+00:00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MURREY'S DISPOSAL COMPANY, INC.</CaseCompanyNames>
    <Nickname xmlns="http://schemas.microsoft.com/sharepoint/v3" xsi:nil="true"/>
    <DocketNumber xmlns="dc463f71-b30c-4ab2-9473-d307f9d35888">180051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759BA0CA46E5C45893641E881B105F6" ma:contentTypeVersion="76" ma:contentTypeDescription="" ma:contentTypeScope="" ma:versionID="747b72e6ce04ad1a945acb8369aa2d0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311DB4-3EBC-4224-B614-8F3A5117EE7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98FA305-A519-4B6E-9C27-D6F535D862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4968A3-9EDD-4B79-884C-A216F97278C3}"/>
</file>

<file path=customXml/itemProps4.xml><?xml version="1.0" encoding="utf-8"?>
<ds:datastoreItem xmlns:ds="http://schemas.openxmlformats.org/officeDocument/2006/customXml" ds:itemID="{DA7AFE4D-4875-45F0-9067-90529AE37E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References</vt:lpstr>
      <vt:lpstr>DF Calculation</vt:lpstr>
      <vt:lpstr>Proposed Rates</vt:lpstr>
      <vt:lpstr>Consolidated Cust Cnt</vt:lpstr>
      <vt:lpstr>'Consolidated Cust Cnt'!Print_Area</vt:lpstr>
      <vt:lpstr>'Consolidated Cust Cnt'!Print_Titles</vt:lpstr>
      <vt:lpstr>'DF Calculation'!Print_Titles</vt:lpstr>
      <vt:lpstr>'Proposed Rates'!Print_Titles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Huff, Ashley (UTC)</cp:lastModifiedBy>
  <cp:lastPrinted>2017-01-10T00:32:01Z</cp:lastPrinted>
  <dcterms:created xsi:type="dcterms:W3CDTF">2013-10-29T22:33:54Z</dcterms:created>
  <dcterms:modified xsi:type="dcterms:W3CDTF">2018-01-17T17:33:49Z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0x0101006E56B4D1795A2E4DB2F0B01679ED314A00E759BA0CA46E5C45893641E881B105F6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